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1\Desktop\"/>
    </mc:Choice>
  </mc:AlternateContent>
  <bookViews>
    <workbookView xWindow="0" yWindow="0" windowWidth="28800" windowHeight="12435"/>
  </bookViews>
  <sheets>
    <sheet name="Лист2" sheetId="1" r:id="rId1"/>
  </sheets>
  <externalReferences>
    <externalReference r:id="rId2"/>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675" i="1" l="1"/>
  <c r="C2675" i="1"/>
  <c r="N2674" i="1"/>
  <c r="C2674" i="1"/>
  <c r="N2673" i="1"/>
  <c r="C2673" i="1"/>
  <c r="N2672" i="1"/>
  <c r="C2672" i="1"/>
  <c r="N2671" i="1"/>
  <c r="C2671" i="1"/>
  <c r="N2670" i="1"/>
  <c r="C2670" i="1"/>
  <c r="N2669" i="1"/>
  <c r="C2669" i="1"/>
  <c r="N2668" i="1"/>
  <c r="C2668" i="1"/>
  <c r="N2667" i="1"/>
  <c r="C2667" i="1"/>
  <c r="N2666" i="1"/>
  <c r="C2666" i="1"/>
  <c r="N2665" i="1"/>
  <c r="C2665" i="1"/>
  <c r="N2664" i="1"/>
  <c r="C2664" i="1"/>
  <c r="N2663" i="1"/>
  <c r="C2663" i="1"/>
  <c r="N2662" i="1"/>
  <c r="C2662" i="1"/>
  <c r="N2661" i="1"/>
  <c r="C2661" i="1"/>
  <c r="N2660" i="1"/>
  <c r="C2660" i="1"/>
  <c r="N2659" i="1"/>
  <c r="C2659" i="1"/>
  <c r="N2658" i="1"/>
  <c r="C2658" i="1"/>
  <c r="N2657" i="1"/>
  <c r="C2657" i="1"/>
  <c r="N2656" i="1"/>
  <c r="C2656" i="1"/>
  <c r="N2655" i="1"/>
  <c r="C2655" i="1"/>
  <c r="N2654" i="1"/>
  <c r="C2654" i="1"/>
  <c r="N2653" i="1"/>
  <c r="C2653" i="1"/>
  <c r="N2652" i="1"/>
  <c r="C2652" i="1"/>
  <c r="N2651" i="1"/>
  <c r="C2651" i="1"/>
  <c r="N2650" i="1"/>
  <c r="C2650" i="1"/>
  <c r="N2649" i="1"/>
  <c r="C2649" i="1"/>
  <c r="N2648" i="1"/>
  <c r="C2648" i="1"/>
  <c r="N2647" i="1"/>
  <c r="C2647" i="1"/>
  <c r="N2646" i="1"/>
  <c r="C2646" i="1"/>
  <c r="N2645" i="1"/>
  <c r="C2645" i="1"/>
  <c r="N2644" i="1"/>
  <c r="C2644" i="1"/>
  <c r="N2643" i="1"/>
  <c r="C2643" i="1"/>
  <c r="N2642" i="1"/>
  <c r="C2642" i="1"/>
  <c r="N2641" i="1"/>
  <c r="C2641" i="1"/>
  <c r="N2640" i="1"/>
  <c r="C2640" i="1"/>
  <c r="N2639" i="1"/>
  <c r="C2639" i="1"/>
  <c r="N2638" i="1"/>
  <c r="C2638" i="1"/>
  <c r="N2637" i="1"/>
  <c r="C2637" i="1"/>
  <c r="N2636" i="1"/>
  <c r="C2636" i="1"/>
  <c r="N2635" i="1"/>
  <c r="C2635" i="1"/>
  <c r="N2634" i="1"/>
  <c r="C2634" i="1"/>
  <c r="N2633" i="1"/>
  <c r="C2633" i="1"/>
  <c r="N2632" i="1"/>
  <c r="C2632" i="1"/>
  <c r="N2631" i="1"/>
  <c r="C2631" i="1"/>
  <c r="N2630" i="1"/>
  <c r="C2630" i="1"/>
  <c r="N2629" i="1"/>
  <c r="C2629" i="1"/>
  <c r="N2628" i="1"/>
  <c r="C2628" i="1"/>
  <c r="N2627" i="1"/>
  <c r="C2627" i="1"/>
  <c r="N2626" i="1"/>
  <c r="C2626" i="1"/>
  <c r="N2625" i="1"/>
  <c r="C2625" i="1"/>
  <c r="N2624" i="1"/>
  <c r="C2624" i="1"/>
  <c r="N2623" i="1"/>
  <c r="C2623" i="1"/>
  <c r="N2622" i="1"/>
  <c r="C2622" i="1"/>
  <c r="N2621" i="1"/>
  <c r="C2621" i="1"/>
  <c r="N2620" i="1"/>
  <c r="C2620" i="1"/>
  <c r="N2619" i="1"/>
  <c r="C2619" i="1"/>
  <c r="N2618" i="1"/>
  <c r="C2618" i="1"/>
  <c r="N2617" i="1"/>
  <c r="C2617" i="1"/>
  <c r="N2616" i="1"/>
  <c r="N2615" i="1"/>
  <c r="C2615" i="1"/>
  <c r="N2614" i="1"/>
  <c r="C2614" i="1"/>
  <c r="N2613" i="1"/>
  <c r="C2613" i="1"/>
  <c r="N2612" i="1"/>
  <c r="C2612" i="1"/>
  <c r="N2611" i="1"/>
  <c r="C2611" i="1"/>
  <c r="N2610" i="1"/>
  <c r="C2610" i="1"/>
  <c r="N2609" i="1"/>
  <c r="C2609" i="1"/>
  <c r="N2608" i="1"/>
  <c r="C2608" i="1"/>
  <c r="N2607" i="1"/>
  <c r="C2607" i="1"/>
  <c r="N2606" i="1"/>
  <c r="C2606" i="1"/>
  <c r="N2605" i="1"/>
  <c r="C2605" i="1"/>
  <c r="N2604" i="1"/>
  <c r="C2604" i="1"/>
  <c r="N2603" i="1"/>
  <c r="C2603" i="1"/>
  <c r="N2602" i="1"/>
  <c r="C2602" i="1"/>
  <c r="N2601" i="1"/>
  <c r="C2601" i="1"/>
  <c r="N2600" i="1"/>
  <c r="C2600" i="1"/>
  <c r="N2599" i="1"/>
  <c r="C2599" i="1"/>
  <c r="N2598" i="1"/>
  <c r="C2598" i="1"/>
  <c r="N2597" i="1"/>
  <c r="C2597" i="1"/>
  <c r="N2596" i="1"/>
  <c r="C2596" i="1"/>
  <c r="N2595" i="1"/>
  <c r="C2595" i="1"/>
  <c r="N2594" i="1"/>
  <c r="C2594" i="1"/>
  <c r="N2593" i="1"/>
  <c r="C2593" i="1"/>
  <c r="N2592" i="1"/>
  <c r="C2592" i="1"/>
  <c r="N2591" i="1"/>
  <c r="C2591" i="1"/>
  <c r="N2590" i="1"/>
  <c r="C2590" i="1"/>
  <c r="N2589" i="1"/>
  <c r="C2589" i="1"/>
  <c r="N2588" i="1"/>
  <c r="C2588" i="1"/>
  <c r="N2587" i="1"/>
  <c r="C2587" i="1"/>
  <c r="N2586" i="1"/>
  <c r="C2586" i="1"/>
  <c r="N2585" i="1"/>
  <c r="C2585" i="1"/>
  <c r="N2584" i="1"/>
  <c r="C2584" i="1"/>
  <c r="N2583" i="1"/>
  <c r="C2583" i="1"/>
  <c r="N2582" i="1"/>
  <c r="C2582" i="1"/>
  <c r="N2581" i="1"/>
  <c r="C2581" i="1"/>
  <c r="N2580" i="1"/>
  <c r="C2580" i="1"/>
  <c r="N2579" i="1"/>
  <c r="C2579" i="1"/>
  <c r="N2578" i="1"/>
  <c r="C2578" i="1"/>
  <c r="N2577" i="1"/>
  <c r="C2577" i="1"/>
  <c r="N2576" i="1"/>
  <c r="C2576" i="1"/>
  <c r="N2575" i="1"/>
  <c r="C2575" i="1"/>
  <c r="N2574" i="1"/>
  <c r="C2574" i="1"/>
  <c r="N2573" i="1"/>
  <c r="C2573" i="1"/>
  <c r="N2572" i="1"/>
  <c r="C2572" i="1"/>
  <c r="N2571" i="1"/>
  <c r="C2571" i="1"/>
  <c r="N2570" i="1"/>
  <c r="C2570" i="1"/>
  <c r="N2569" i="1"/>
  <c r="C2569" i="1"/>
  <c r="N2568" i="1"/>
  <c r="C2568" i="1"/>
  <c r="N2567" i="1"/>
  <c r="C2567" i="1"/>
  <c r="N2566" i="1"/>
  <c r="C2566" i="1"/>
  <c r="N2565" i="1"/>
  <c r="C2565" i="1"/>
  <c r="N2564" i="1"/>
  <c r="C2564" i="1"/>
  <c r="N2563" i="1"/>
  <c r="C2563" i="1"/>
  <c r="N2562" i="1"/>
  <c r="C2562" i="1"/>
  <c r="N2561" i="1"/>
  <c r="C2561" i="1"/>
  <c r="N2560" i="1"/>
  <c r="C2560" i="1"/>
  <c r="N2559" i="1"/>
  <c r="C2559" i="1"/>
  <c r="N2558" i="1"/>
  <c r="C2558" i="1"/>
  <c r="N2557" i="1"/>
  <c r="C2557" i="1"/>
  <c r="N2556" i="1"/>
  <c r="C2556" i="1"/>
  <c r="N2555" i="1"/>
  <c r="C2555" i="1"/>
  <c r="N2554" i="1"/>
  <c r="C2554" i="1"/>
  <c r="N2553" i="1"/>
  <c r="C2553" i="1"/>
  <c r="N2552" i="1"/>
  <c r="C2552" i="1"/>
  <c r="N2551" i="1"/>
  <c r="C2551" i="1"/>
  <c r="N2550" i="1"/>
  <c r="C2550" i="1"/>
  <c r="N2549" i="1"/>
  <c r="C2549" i="1"/>
  <c r="N2548" i="1"/>
  <c r="C2548" i="1"/>
  <c r="N2547" i="1"/>
  <c r="C2547" i="1"/>
  <c r="N2546" i="1"/>
  <c r="C2546" i="1"/>
  <c r="N2545" i="1"/>
  <c r="C2545" i="1"/>
  <c r="N2544" i="1"/>
  <c r="C2544" i="1"/>
  <c r="N2543" i="1"/>
  <c r="C2543" i="1"/>
  <c r="N2542" i="1"/>
  <c r="C2542" i="1"/>
  <c r="N2541" i="1"/>
  <c r="C2541" i="1"/>
  <c r="N2540" i="1"/>
  <c r="C2540" i="1"/>
  <c r="N2539" i="1"/>
  <c r="C2539" i="1"/>
  <c r="N2538" i="1"/>
  <c r="C2538" i="1"/>
  <c r="N2537" i="1"/>
  <c r="C2537" i="1"/>
  <c r="N2536" i="1"/>
  <c r="C2536" i="1"/>
  <c r="N2535" i="1"/>
  <c r="C2535" i="1"/>
  <c r="N2534" i="1"/>
  <c r="C2534" i="1"/>
  <c r="N2533" i="1"/>
  <c r="C2533" i="1"/>
  <c r="N2532" i="1"/>
  <c r="C2532" i="1"/>
  <c r="N2531" i="1"/>
  <c r="C2531" i="1"/>
  <c r="N2530" i="1"/>
  <c r="C2530" i="1"/>
  <c r="N2529" i="1"/>
  <c r="C2529" i="1"/>
  <c r="N2528" i="1"/>
  <c r="C2528" i="1"/>
  <c r="N2527" i="1"/>
  <c r="C2527" i="1"/>
  <c r="N2526" i="1"/>
  <c r="C2526" i="1"/>
  <c r="N2525" i="1"/>
  <c r="C2525" i="1"/>
  <c r="N2524" i="1"/>
  <c r="C2524" i="1"/>
  <c r="N2523" i="1"/>
  <c r="C2523" i="1"/>
  <c r="N2522" i="1"/>
  <c r="C2522" i="1"/>
  <c r="N2521" i="1"/>
  <c r="C2521" i="1"/>
  <c r="N2520" i="1"/>
  <c r="C2520" i="1"/>
  <c r="N2519" i="1"/>
  <c r="C2519" i="1"/>
  <c r="N2518" i="1"/>
  <c r="C2518" i="1"/>
  <c r="N2517" i="1"/>
  <c r="C2517" i="1"/>
  <c r="N2516" i="1"/>
  <c r="C2516" i="1"/>
  <c r="N2515" i="1"/>
  <c r="C2515" i="1"/>
  <c r="N2514" i="1"/>
  <c r="C2514" i="1"/>
  <c r="N2513" i="1"/>
  <c r="C2513" i="1"/>
  <c r="N2512" i="1"/>
  <c r="C2512" i="1"/>
  <c r="N2511" i="1"/>
  <c r="C2511" i="1"/>
  <c r="N2510" i="1"/>
  <c r="C2510" i="1"/>
  <c r="N2509" i="1"/>
  <c r="C2509" i="1"/>
  <c r="N2508" i="1"/>
  <c r="C2508" i="1"/>
  <c r="N2507" i="1"/>
  <c r="C2507" i="1"/>
  <c r="N2506" i="1"/>
  <c r="C2506" i="1"/>
  <c r="N2505" i="1"/>
  <c r="C2505" i="1"/>
  <c r="N2504" i="1"/>
  <c r="C2504" i="1"/>
  <c r="N2503" i="1"/>
  <c r="C2503" i="1"/>
  <c r="N2502" i="1"/>
  <c r="C2502" i="1"/>
  <c r="N2501" i="1"/>
  <c r="C2501" i="1"/>
  <c r="N2500" i="1"/>
  <c r="C2500" i="1"/>
  <c r="N2499" i="1"/>
  <c r="C2499" i="1"/>
  <c r="N2498" i="1"/>
  <c r="C2498" i="1"/>
  <c r="N2497" i="1"/>
  <c r="C2497" i="1"/>
  <c r="N2496" i="1"/>
  <c r="C2496" i="1"/>
  <c r="N2495" i="1"/>
  <c r="C2495" i="1"/>
  <c r="N2494" i="1"/>
  <c r="C2494" i="1"/>
  <c r="N2493" i="1"/>
  <c r="C2493" i="1"/>
  <c r="N2492" i="1"/>
  <c r="C2492" i="1"/>
  <c r="N2491" i="1"/>
  <c r="C2491" i="1"/>
  <c r="N2490" i="1"/>
  <c r="C2490" i="1"/>
  <c r="N2489" i="1"/>
  <c r="C2489" i="1"/>
  <c r="N2488" i="1"/>
  <c r="C2488" i="1"/>
  <c r="N2487" i="1"/>
  <c r="C2487" i="1"/>
  <c r="N2486" i="1"/>
  <c r="C2486" i="1"/>
  <c r="N2485" i="1"/>
  <c r="C2485" i="1"/>
  <c r="N2484" i="1"/>
  <c r="C2484" i="1"/>
  <c r="N2483" i="1"/>
  <c r="C2483" i="1"/>
  <c r="N2482" i="1"/>
  <c r="C2482" i="1"/>
  <c r="N2481" i="1"/>
  <c r="C2481" i="1"/>
  <c r="N2480" i="1"/>
  <c r="C2480" i="1"/>
  <c r="N2479" i="1"/>
  <c r="C2479" i="1"/>
  <c r="N2478" i="1"/>
  <c r="C2478" i="1"/>
  <c r="N2477" i="1"/>
  <c r="C2477" i="1"/>
  <c r="N2476" i="1"/>
  <c r="C2476" i="1"/>
  <c r="N2475" i="1"/>
  <c r="C2475" i="1"/>
  <c r="N2474" i="1"/>
  <c r="C2474" i="1"/>
  <c r="N2473" i="1"/>
  <c r="C2473" i="1"/>
  <c r="N2472" i="1"/>
  <c r="C2472" i="1"/>
  <c r="N2471" i="1"/>
  <c r="C2471" i="1"/>
  <c r="N2470" i="1"/>
  <c r="C2470" i="1"/>
  <c r="N2469" i="1"/>
  <c r="C2469" i="1"/>
  <c r="N2468" i="1"/>
  <c r="C2468" i="1"/>
  <c r="N2467" i="1"/>
  <c r="C2467" i="1"/>
  <c r="N2466" i="1"/>
  <c r="C2466" i="1"/>
  <c r="N2465" i="1"/>
  <c r="C2465" i="1"/>
  <c r="N2464" i="1"/>
  <c r="C2464" i="1"/>
  <c r="N2463" i="1"/>
  <c r="C2463" i="1"/>
  <c r="N2462" i="1"/>
  <c r="C2462" i="1"/>
  <c r="N2461" i="1"/>
  <c r="C2461" i="1"/>
  <c r="N2460" i="1"/>
  <c r="C2460" i="1"/>
  <c r="N2459" i="1"/>
  <c r="C2459" i="1"/>
  <c r="N2458" i="1"/>
  <c r="C2458" i="1"/>
  <c r="N2457" i="1"/>
  <c r="C2457" i="1"/>
  <c r="N2456" i="1"/>
  <c r="C2456" i="1"/>
  <c r="N2455" i="1"/>
  <c r="C2455" i="1"/>
  <c r="N2454" i="1"/>
  <c r="C2454" i="1"/>
  <c r="N2453" i="1"/>
  <c r="C2453" i="1"/>
  <c r="N2452" i="1"/>
  <c r="C2452" i="1"/>
  <c r="N2451" i="1"/>
  <c r="C2451" i="1"/>
  <c r="N2450" i="1"/>
  <c r="C2450" i="1"/>
  <c r="N2449" i="1"/>
  <c r="C2449" i="1"/>
  <c r="N2448" i="1"/>
  <c r="C2448" i="1"/>
  <c r="N2447" i="1"/>
  <c r="C2447" i="1"/>
  <c r="N2446" i="1"/>
  <c r="C2446" i="1"/>
  <c r="N2445" i="1"/>
  <c r="C2445" i="1"/>
  <c r="N2444" i="1"/>
  <c r="C2444" i="1"/>
  <c r="N2443" i="1"/>
  <c r="C2443" i="1"/>
  <c r="N2442" i="1"/>
  <c r="C2442" i="1"/>
  <c r="N2441" i="1"/>
  <c r="C2441" i="1"/>
  <c r="N2440" i="1"/>
  <c r="C2440" i="1"/>
  <c r="N2439" i="1"/>
  <c r="C2439" i="1"/>
  <c r="N2438" i="1"/>
  <c r="C2438" i="1"/>
  <c r="N2437" i="1"/>
  <c r="C2437" i="1"/>
  <c r="N2436" i="1"/>
  <c r="C2436" i="1"/>
  <c r="N2435" i="1"/>
  <c r="C2435" i="1"/>
  <c r="N2434" i="1"/>
  <c r="C2434" i="1"/>
  <c r="N2433" i="1"/>
  <c r="C2433" i="1"/>
  <c r="N2432" i="1"/>
  <c r="C2432" i="1"/>
  <c r="N2431" i="1"/>
  <c r="C2431" i="1"/>
  <c r="N2430" i="1"/>
  <c r="C2430" i="1"/>
  <c r="N2429" i="1"/>
  <c r="C2429" i="1"/>
  <c r="N2428" i="1"/>
  <c r="C2428" i="1"/>
  <c r="N2427" i="1"/>
  <c r="C2427" i="1"/>
  <c r="N2426" i="1"/>
  <c r="C2426" i="1"/>
  <c r="N2425" i="1"/>
  <c r="C2425" i="1"/>
  <c r="N2424" i="1"/>
  <c r="C2424" i="1"/>
  <c r="N2423" i="1"/>
  <c r="C2423" i="1"/>
  <c r="N2422" i="1"/>
  <c r="C2422" i="1"/>
  <c r="N2421" i="1"/>
  <c r="C2421" i="1"/>
  <c r="N2420" i="1"/>
  <c r="C2420" i="1"/>
  <c r="N2419" i="1"/>
  <c r="C2419" i="1"/>
  <c r="N2418" i="1"/>
  <c r="C2418" i="1"/>
  <c r="N2417" i="1"/>
  <c r="C2417" i="1"/>
  <c r="N2416" i="1"/>
  <c r="C2416" i="1"/>
  <c r="N2415" i="1"/>
  <c r="C2415" i="1"/>
  <c r="N2414" i="1"/>
  <c r="C2414" i="1"/>
  <c r="N2413" i="1"/>
  <c r="C2413" i="1"/>
  <c r="N2412" i="1"/>
  <c r="C2412" i="1"/>
  <c r="N2411" i="1"/>
  <c r="C2411" i="1"/>
  <c r="N2410" i="1"/>
  <c r="C2410" i="1"/>
  <c r="N2409" i="1"/>
  <c r="C2409" i="1"/>
  <c r="N2408" i="1"/>
  <c r="C2408" i="1"/>
  <c r="N2407" i="1"/>
  <c r="C2407" i="1"/>
  <c r="N2406" i="1"/>
  <c r="C2406" i="1"/>
  <c r="N2405" i="1"/>
  <c r="C2405" i="1"/>
  <c r="N2404" i="1"/>
  <c r="C2404" i="1"/>
  <c r="N2403" i="1"/>
  <c r="C2403" i="1"/>
  <c r="N2402" i="1"/>
  <c r="C2402" i="1"/>
  <c r="N2401" i="1"/>
  <c r="C2401" i="1"/>
  <c r="N2400" i="1"/>
  <c r="C2400" i="1"/>
  <c r="N2399" i="1"/>
  <c r="C2399" i="1"/>
  <c r="N2398" i="1"/>
  <c r="C2398" i="1"/>
  <c r="N2397" i="1"/>
  <c r="C2397" i="1"/>
  <c r="N2396" i="1"/>
  <c r="C2396" i="1"/>
  <c r="N2395" i="1"/>
  <c r="C2395" i="1"/>
  <c r="N2394" i="1"/>
  <c r="C2394" i="1"/>
  <c r="N2393" i="1"/>
  <c r="C2393" i="1"/>
  <c r="N2392" i="1"/>
  <c r="C2392" i="1"/>
  <c r="N2391" i="1"/>
  <c r="C2391" i="1"/>
  <c r="N2390" i="1"/>
  <c r="C2390" i="1"/>
  <c r="N2389" i="1"/>
  <c r="C2389" i="1"/>
  <c r="N2388" i="1"/>
  <c r="C2388" i="1"/>
  <c r="N2387" i="1"/>
  <c r="C2387" i="1"/>
  <c r="N2386" i="1"/>
  <c r="C2386" i="1"/>
  <c r="N2385" i="1"/>
  <c r="C2385" i="1"/>
  <c r="N2384" i="1"/>
  <c r="C2384" i="1"/>
  <c r="N2383" i="1"/>
  <c r="C2383" i="1"/>
  <c r="N2382" i="1"/>
  <c r="C2382" i="1"/>
  <c r="N2381" i="1"/>
  <c r="C2381" i="1"/>
  <c r="N2380" i="1"/>
  <c r="C2380" i="1"/>
  <c r="N2379" i="1"/>
  <c r="C2379" i="1"/>
  <c r="N2378" i="1"/>
  <c r="C2378" i="1"/>
  <c r="N2377" i="1"/>
  <c r="C2377" i="1"/>
  <c r="N2376" i="1"/>
  <c r="C2376" i="1"/>
  <c r="N2375" i="1"/>
  <c r="C2375" i="1"/>
  <c r="N2374" i="1"/>
  <c r="C2374" i="1"/>
  <c r="N2373" i="1"/>
  <c r="C2373" i="1"/>
  <c r="N2372" i="1"/>
  <c r="C2372" i="1"/>
  <c r="N2371" i="1"/>
  <c r="C2371" i="1"/>
  <c r="N2370" i="1"/>
  <c r="C2370" i="1"/>
  <c r="N2369" i="1"/>
  <c r="C2369" i="1"/>
  <c r="N2368" i="1"/>
  <c r="C2368" i="1"/>
  <c r="N2367" i="1"/>
  <c r="C2367" i="1"/>
  <c r="N2366" i="1"/>
  <c r="C2366" i="1"/>
  <c r="N2365" i="1"/>
  <c r="C2365" i="1"/>
  <c r="N2364" i="1"/>
  <c r="C2364" i="1"/>
  <c r="N2363" i="1"/>
  <c r="C2363" i="1"/>
  <c r="N2362" i="1"/>
  <c r="C2362" i="1"/>
  <c r="N2361" i="1"/>
  <c r="C2361" i="1"/>
  <c r="N2360" i="1"/>
  <c r="C2360" i="1"/>
  <c r="N2359" i="1"/>
  <c r="C2359" i="1"/>
  <c r="N2358" i="1"/>
  <c r="C2358" i="1"/>
  <c r="N2357" i="1"/>
  <c r="C2357" i="1"/>
  <c r="N2356" i="1"/>
  <c r="C2356" i="1"/>
  <c r="N2355" i="1"/>
  <c r="C2355" i="1"/>
  <c r="N2354" i="1"/>
  <c r="C2354" i="1"/>
  <c r="N2353" i="1"/>
  <c r="C2353" i="1"/>
  <c r="N2352" i="1"/>
  <c r="C2352" i="1"/>
  <c r="N2351" i="1"/>
  <c r="C2351" i="1"/>
  <c r="N2350" i="1"/>
  <c r="C2350" i="1"/>
  <c r="N2349" i="1"/>
  <c r="C2349" i="1"/>
  <c r="N2348" i="1"/>
  <c r="C2348" i="1"/>
  <c r="N2347" i="1"/>
  <c r="C2347" i="1"/>
  <c r="N2346" i="1"/>
  <c r="C2346" i="1"/>
  <c r="N2345" i="1"/>
  <c r="C2345" i="1"/>
  <c r="N2344" i="1"/>
  <c r="C2344" i="1"/>
  <c r="N2343" i="1"/>
  <c r="C2343" i="1"/>
  <c r="N2342" i="1"/>
  <c r="C2342" i="1"/>
  <c r="N2341" i="1"/>
  <c r="C2341" i="1"/>
  <c r="N2340" i="1"/>
  <c r="C2340" i="1"/>
  <c r="N2339" i="1"/>
  <c r="C2339" i="1"/>
  <c r="N2338" i="1"/>
  <c r="C2338" i="1"/>
  <c r="N2337" i="1"/>
  <c r="C2337" i="1"/>
  <c r="N2336" i="1"/>
  <c r="C2336" i="1"/>
  <c r="N2335" i="1"/>
  <c r="C2335" i="1"/>
  <c r="N2334" i="1"/>
  <c r="C2334" i="1"/>
  <c r="N2333" i="1"/>
  <c r="C2333" i="1"/>
  <c r="N2332" i="1"/>
  <c r="C2332" i="1"/>
  <c r="N2331" i="1"/>
  <c r="C2331" i="1"/>
  <c r="N2330" i="1"/>
  <c r="C2330" i="1"/>
  <c r="N2329" i="1"/>
  <c r="C2329" i="1"/>
  <c r="N2328" i="1"/>
  <c r="C2328" i="1"/>
  <c r="N2327" i="1"/>
  <c r="C2327" i="1"/>
  <c r="N2326" i="1"/>
  <c r="C2326" i="1"/>
  <c r="N2325" i="1"/>
  <c r="C2325" i="1"/>
  <c r="N2324" i="1"/>
  <c r="C2324" i="1"/>
  <c r="N2323" i="1"/>
  <c r="C2323" i="1"/>
  <c r="N2322" i="1"/>
  <c r="C2322" i="1"/>
  <c r="N2321" i="1"/>
  <c r="C2321" i="1"/>
  <c r="N2320" i="1"/>
  <c r="C2320" i="1"/>
  <c r="N2319" i="1"/>
  <c r="C2319" i="1"/>
  <c r="N2318" i="1"/>
  <c r="C2318" i="1"/>
  <c r="N2317" i="1"/>
  <c r="C2317" i="1"/>
  <c r="N2316" i="1"/>
  <c r="C2316" i="1"/>
  <c r="N2315" i="1"/>
  <c r="C2315" i="1"/>
  <c r="N2314" i="1"/>
  <c r="C2314" i="1"/>
  <c r="N2313" i="1"/>
  <c r="C2313" i="1"/>
  <c r="N2312" i="1"/>
  <c r="C2312" i="1"/>
  <c r="N2311" i="1"/>
  <c r="C2311" i="1"/>
  <c r="N2310" i="1"/>
  <c r="C2310" i="1"/>
  <c r="N2309" i="1"/>
  <c r="C2309" i="1"/>
  <c r="N2308" i="1"/>
  <c r="C2308" i="1"/>
  <c r="N2307" i="1"/>
  <c r="C2307" i="1"/>
  <c r="N2306" i="1"/>
  <c r="C2306" i="1"/>
  <c r="N2305" i="1"/>
  <c r="C2305" i="1"/>
  <c r="N2304" i="1"/>
  <c r="C2304" i="1"/>
  <c r="N2303" i="1"/>
  <c r="C2303" i="1"/>
  <c r="N2302" i="1"/>
  <c r="C2302" i="1"/>
  <c r="N2301" i="1"/>
  <c r="C2301" i="1"/>
  <c r="N2300" i="1"/>
  <c r="C2300" i="1"/>
  <c r="N2299" i="1"/>
  <c r="C2299" i="1"/>
  <c r="N2298" i="1"/>
  <c r="C2298" i="1"/>
  <c r="N2297" i="1"/>
  <c r="C2297" i="1"/>
  <c r="N2296" i="1"/>
  <c r="C2296" i="1"/>
  <c r="N2295" i="1"/>
  <c r="C2295" i="1"/>
  <c r="N2294" i="1"/>
  <c r="C2294" i="1"/>
  <c r="N2293" i="1"/>
  <c r="C2293" i="1"/>
  <c r="N2292" i="1"/>
  <c r="C2292" i="1"/>
  <c r="N2291" i="1"/>
  <c r="C2291" i="1"/>
  <c r="N2290" i="1"/>
  <c r="C2290" i="1"/>
  <c r="N2289" i="1"/>
  <c r="C2289" i="1"/>
  <c r="N2288" i="1"/>
  <c r="C2288" i="1"/>
  <c r="N2287" i="1"/>
  <c r="C2287" i="1"/>
  <c r="N2286" i="1"/>
  <c r="C2286" i="1"/>
  <c r="N2285" i="1"/>
  <c r="C2285" i="1"/>
  <c r="N2284" i="1"/>
  <c r="C2284" i="1"/>
  <c r="N2283" i="1"/>
  <c r="C2283" i="1"/>
  <c r="N2282" i="1"/>
  <c r="C2282" i="1"/>
  <c r="N2281" i="1"/>
  <c r="C2281" i="1"/>
  <c r="N2280" i="1"/>
  <c r="C2280" i="1"/>
  <c r="N2279" i="1"/>
  <c r="C2279" i="1"/>
  <c r="N2278" i="1"/>
  <c r="C2278" i="1"/>
  <c r="N2277" i="1"/>
  <c r="C2277" i="1"/>
  <c r="N2276" i="1"/>
  <c r="C2276" i="1"/>
  <c r="N2275" i="1"/>
  <c r="C2275" i="1"/>
  <c r="N2274" i="1"/>
  <c r="C2274" i="1"/>
  <c r="N2273" i="1"/>
  <c r="C2273" i="1"/>
  <c r="N2272" i="1"/>
  <c r="C2272" i="1"/>
  <c r="N2271" i="1"/>
  <c r="C2271" i="1"/>
  <c r="N2270" i="1"/>
  <c r="C2270" i="1"/>
  <c r="N2269" i="1"/>
  <c r="C2269" i="1"/>
  <c r="N2268" i="1"/>
  <c r="C2268" i="1"/>
  <c r="N2267" i="1"/>
  <c r="C2267" i="1"/>
  <c r="N2266" i="1"/>
  <c r="C2266" i="1"/>
  <c r="N2265" i="1"/>
  <c r="C2265" i="1"/>
  <c r="N2264" i="1"/>
  <c r="C2264" i="1"/>
  <c r="N2263" i="1"/>
  <c r="C2263" i="1"/>
  <c r="N2262" i="1"/>
  <c r="C2262" i="1"/>
  <c r="N2261" i="1"/>
  <c r="C2261" i="1"/>
  <c r="N2260" i="1"/>
  <c r="C2260" i="1"/>
  <c r="N2259" i="1"/>
  <c r="C2259" i="1"/>
  <c r="N2258" i="1"/>
  <c r="C2258" i="1"/>
  <c r="N2257" i="1"/>
  <c r="C2257" i="1"/>
  <c r="N2256" i="1"/>
  <c r="C2256" i="1"/>
  <c r="N2255" i="1"/>
  <c r="C2255" i="1"/>
  <c r="N2254" i="1"/>
  <c r="C2254" i="1"/>
  <c r="N2253" i="1"/>
  <c r="C2253" i="1"/>
  <c r="N2252" i="1"/>
  <c r="C2252" i="1"/>
  <c r="N2251" i="1"/>
  <c r="C2251" i="1"/>
  <c r="N2250" i="1"/>
  <c r="C2250" i="1"/>
  <c r="N2249" i="1"/>
  <c r="C2249" i="1"/>
  <c r="N2248" i="1"/>
  <c r="C2248" i="1"/>
  <c r="N2247" i="1"/>
  <c r="C2247" i="1"/>
  <c r="N2246" i="1"/>
  <c r="C2246" i="1"/>
  <c r="N2245" i="1"/>
  <c r="C2245" i="1"/>
  <c r="N2244" i="1"/>
  <c r="C2244" i="1"/>
  <c r="N2243" i="1"/>
  <c r="C2243" i="1"/>
  <c r="N2242" i="1"/>
  <c r="C2242" i="1"/>
  <c r="N2241" i="1"/>
  <c r="C2241" i="1"/>
  <c r="N2240" i="1"/>
  <c r="C2240" i="1"/>
  <c r="N2239" i="1"/>
  <c r="C2239" i="1"/>
  <c r="N2238" i="1"/>
  <c r="C2238" i="1"/>
  <c r="N2237" i="1"/>
  <c r="C2237" i="1"/>
  <c r="N2236" i="1"/>
  <c r="C2236" i="1"/>
  <c r="N2235" i="1"/>
  <c r="C2235" i="1"/>
  <c r="N2234" i="1"/>
  <c r="C2234" i="1"/>
  <c r="N2233" i="1"/>
  <c r="C2233" i="1"/>
  <c r="N2232" i="1"/>
  <c r="C2232" i="1"/>
  <c r="N2231" i="1"/>
  <c r="C2231" i="1"/>
  <c r="N2230" i="1"/>
  <c r="C2230" i="1"/>
  <c r="N2229" i="1"/>
  <c r="C2229" i="1"/>
  <c r="N2228" i="1"/>
  <c r="C2228" i="1"/>
  <c r="N2227" i="1"/>
  <c r="C2227" i="1"/>
  <c r="N2226" i="1"/>
  <c r="C2226" i="1"/>
  <c r="N2225" i="1"/>
  <c r="C2225" i="1"/>
  <c r="N2224" i="1"/>
  <c r="C2224" i="1"/>
  <c r="N2223" i="1"/>
  <c r="C2223" i="1"/>
  <c r="N2222" i="1"/>
  <c r="C2222" i="1"/>
  <c r="N2221" i="1"/>
  <c r="C2221" i="1"/>
  <c r="N2220" i="1"/>
  <c r="C2220" i="1"/>
  <c r="N2219" i="1"/>
  <c r="C2219" i="1"/>
  <c r="N2218" i="1"/>
  <c r="C2218" i="1"/>
  <c r="N2217" i="1"/>
  <c r="C2217" i="1"/>
  <c r="N2216" i="1"/>
  <c r="C2216" i="1"/>
  <c r="N2215" i="1"/>
  <c r="C2215" i="1"/>
  <c r="N2214" i="1"/>
  <c r="C2214" i="1"/>
  <c r="N2213" i="1"/>
  <c r="C2213" i="1"/>
  <c r="N2212" i="1"/>
  <c r="C2212" i="1"/>
  <c r="N2211" i="1"/>
  <c r="C2211" i="1"/>
  <c r="N2210" i="1"/>
  <c r="C2210" i="1"/>
  <c r="N2209" i="1"/>
  <c r="C2209" i="1"/>
  <c r="N2208" i="1"/>
  <c r="C2208" i="1"/>
  <c r="N2207" i="1"/>
  <c r="C2207" i="1"/>
  <c r="N2206" i="1"/>
  <c r="C2206" i="1"/>
  <c r="N2205" i="1"/>
  <c r="C2205" i="1"/>
  <c r="N2204" i="1"/>
  <c r="C2204" i="1"/>
  <c r="N2203" i="1"/>
  <c r="C2203" i="1"/>
  <c r="N2202" i="1"/>
  <c r="C2202" i="1"/>
  <c r="N2201" i="1"/>
  <c r="C2201" i="1"/>
  <c r="N2200" i="1"/>
  <c r="C2200" i="1"/>
  <c r="N2199" i="1"/>
  <c r="C2199" i="1"/>
  <c r="N2198" i="1"/>
  <c r="C2198" i="1"/>
  <c r="N2197" i="1"/>
  <c r="C2197" i="1"/>
  <c r="N2196" i="1"/>
  <c r="C2196" i="1"/>
  <c r="N2195" i="1"/>
  <c r="C2195" i="1"/>
  <c r="N2194" i="1"/>
  <c r="C2194" i="1"/>
  <c r="N2193" i="1"/>
  <c r="C2193" i="1"/>
  <c r="N2192" i="1"/>
  <c r="C2192" i="1"/>
  <c r="N2191" i="1"/>
  <c r="C2191" i="1"/>
  <c r="N2190" i="1"/>
  <c r="C2190" i="1"/>
  <c r="N2189" i="1"/>
  <c r="C2189" i="1"/>
  <c r="N2188" i="1"/>
  <c r="C2188" i="1"/>
  <c r="N2187" i="1"/>
  <c r="C2187" i="1"/>
  <c r="N2186" i="1"/>
  <c r="C2186" i="1"/>
  <c r="N2185" i="1"/>
  <c r="C2185" i="1"/>
  <c r="N2184" i="1"/>
  <c r="C2184" i="1"/>
  <c r="N2183" i="1"/>
  <c r="C2183" i="1"/>
  <c r="N2182" i="1"/>
  <c r="C2182" i="1"/>
  <c r="N2181" i="1"/>
  <c r="C2181" i="1"/>
  <c r="N2180" i="1"/>
  <c r="C2180" i="1"/>
  <c r="N2179" i="1"/>
  <c r="C2179" i="1"/>
  <c r="N2178" i="1"/>
  <c r="C2178" i="1"/>
  <c r="N2177" i="1"/>
  <c r="C2177" i="1"/>
  <c r="N2176" i="1"/>
  <c r="C2176" i="1"/>
  <c r="N2175" i="1"/>
  <c r="C2175" i="1"/>
  <c r="N2174" i="1"/>
  <c r="C2174" i="1"/>
  <c r="N2173" i="1"/>
  <c r="C2173" i="1"/>
  <c r="N2172" i="1"/>
  <c r="C2172" i="1"/>
  <c r="N2171" i="1"/>
  <c r="C2171" i="1"/>
  <c r="N2170" i="1"/>
  <c r="C2170" i="1"/>
  <c r="N2169" i="1"/>
  <c r="C2169" i="1"/>
  <c r="N2168" i="1"/>
  <c r="C2168" i="1"/>
  <c r="N2167" i="1"/>
  <c r="C2167" i="1"/>
  <c r="N2166" i="1"/>
  <c r="C2166" i="1"/>
  <c r="N2165" i="1"/>
  <c r="C2165" i="1"/>
  <c r="N2164" i="1"/>
  <c r="C2164" i="1"/>
  <c r="N2163" i="1"/>
  <c r="C2163" i="1"/>
  <c r="N2162" i="1"/>
  <c r="C2162" i="1"/>
  <c r="N2161" i="1"/>
  <c r="C2161" i="1"/>
  <c r="N2160" i="1"/>
  <c r="C2160" i="1"/>
  <c r="N2159" i="1"/>
  <c r="C2159" i="1"/>
  <c r="N2158" i="1"/>
  <c r="C2158" i="1"/>
  <c r="N2157" i="1"/>
  <c r="C2157" i="1"/>
  <c r="N2156" i="1"/>
  <c r="C2156" i="1"/>
  <c r="N2155" i="1"/>
  <c r="C2155" i="1"/>
  <c r="N2154" i="1"/>
  <c r="C2154" i="1"/>
  <c r="N2153" i="1"/>
  <c r="C2153" i="1"/>
  <c r="N2152" i="1"/>
  <c r="C2152" i="1"/>
  <c r="N2151" i="1"/>
  <c r="C2151" i="1"/>
  <c r="N2150" i="1"/>
  <c r="C2150" i="1"/>
  <c r="N2149" i="1"/>
  <c r="C2149" i="1"/>
  <c r="N2148" i="1"/>
  <c r="C2148" i="1"/>
  <c r="N2147" i="1"/>
  <c r="C2147" i="1"/>
  <c r="N2146" i="1"/>
  <c r="C2146" i="1"/>
  <c r="N2145" i="1"/>
  <c r="C2145" i="1"/>
  <c r="N2144" i="1"/>
  <c r="C2144" i="1"/>
  <c r="N2143" i="1"/>
  <c r="C2143" i="1"/>
  <c r="N2142" i="1"/>
  <c r="C2142" i="1"/>
  <c r="N2141" i="1"/>
  <c r="C2141" i="1"/>
  <c r="N2140" i="1"/>
  <c r="C2140" i="1"/>
  <c r="N2139" i="1"/>
  <c r="C2139" i="1"/>
  <c r="N2138" i="1"/>
  <c r="C2138" i="1"/>
  <c r="N2137" i="1"/>
  <c r="C2137" i="1"/>
  <c r="N2136" i="1"/>
  <c r="C2136" i="1"/>
  <c r="N2135" i="1"/>
  <c r="C2135" i="1"/>
  <c r="N2134" i="1"/>
  <c r="C2134" i="1"/>
  <c r="N2133" i="1"/>
  <c r="C2133" i="1"/>
  <c r="N2132" i="1"/>
  <c r="C2132" i="1"/>
  <c r="N2131" i="1"/>
  <c r="C2131" i="1"/>
  <c r="N2130" i="1"/>
  <c r="C2130" i="1"/>
  <c r="N2129" i="1"/>
  <c r="C2129" i="1"/>
  <c r="N2128" i="1"/>
  <c r="C2128" i="1"/>
  <c r="N2127" i="1"/>
  <c r="C2127" i="1"/>
  <c r="N2126" i="1"/>
  <c r="C2126" i="1"/>
  <c r="N2125" i="1"/>
  <c r="C2125" i="1"/>
  <c r="N2124" i="1"/>
  <c r="C2124" i="1"/>
  <c r="N2123" i="1"/>
  <c r="C2123" i="1"/>
  <c r="N2122" i="1"/>
  <c r="C2122" i="1"/>
  <c r="N2121" i="1"/>
  <c r="C2121" i="1"/>
  <c r="N2120" i="1"/>
  <c r="C2120" i="1"/>
  <c r="N2119" i="1"/>
  <c r="C2119" i="1"/>
  <c r="N2118" i="1"/>
  <c r="C2118" i="1"/>
  <c r="N2117" i="1"/>
  <c r="C2117" i="1"/>
  <c r="N2116" i="1"/>
  <c r="C2116" i="1"/>
  <c r="N2115" i="1"/>
  <c r="C2115" i="1"/>
  <c r="N2114" i="1"/>
  <c r="C2114" i="1"/>
  <c r="N2113" i="1"/>
  <c r="C2113" i="1"/>
  <c r="N2112" i="1"/>
  <c r="C2112" i="1"/>
  <c r="N2111" i="1"/>
  <c r="C2111" i="1"/>
  <c r="N2110" i="1"/>
  <c r="C2110" i="1"/>
  <c r="N2109" i="1"/>
  <c r="C2109" i="1"/>
  <c r="N2108" i="1"/>
  <c r="C2108" i="1"/>
  <c r="N2107" i="1"/>
  <c r="C2107" i="1"/>
  <c r="N2106" i="1"/>
  <c r="C2106" i="1"/>
  <c r="N2105" i="1"/>
  <c r="C2105" i="1"/>
  <c r="N2104" i="1"/>
  <c r="C2104" i="1"/>
  <c r="N2103" i="1"/>
  <c r="C2103" i="1"/>
  <c r="N2102" i="1"/>
  <c r="C2102" i="1"/>
  <c r="N2101" i="1"/>
  <c r="C2101" i="1"/>
  <c r="N2100" i="1"/>
  <c r="C2100" i="1"/>
  <c r="N2099" i="1"/>
  <c r="C2099" i="1"/>
  <c r="N2098" i="1"/>
  <c r="C2098" i="1"/>
  <c r="N2097" i="1"/>
  <c r="C2097" i="1"/>
  <c r="N2096" i="1"/>
  <c r="C2096" i="1"/>
  <c r="N2095" i="1"/>
  <c r="C2095" i="1"/>
  <c r="N2094" i="1"/>
  <c r="C2094" i="1"/>
  <c r="N2093" i="1"/>
  <c r="C2093" i="1"/>
  <c r="N2092" i="1"/>
  <c r="C2092" i="1"/>
  <c r="N2091" i="1"/>
  <c r="C2091" i="1"/>
  <c r="N2090" i="1"/>
  <c r="C2090" i="1"/>
  <c r="N2089" i="1"/>
  <c r="C2089" i="1"/>
  <c r="N2088" i="1"/>
  <c r="C2088" i="1"/>
  <c r="N2087" i="1"/>
  <c r="C2087" i="1"/>
  <c r="N2086" i="1"/>
  <c r="C2086" i="1"/>
  <c r="N2085" i="1"/>
  <c r="C2085" i="1"/>
  <c r="N2084" i="1"/>
  <c r="C2084" i="1"/>
  <c r="N2083" i="1"/>
  <c r="C2083" i="1"/>
  <c r="N2082" i="1"/>
  <c r="C2082" i="1"/>
  <c r="N2081" i="1"/>
  <c r="C2081" i="1"/>
  <c r="N2080" i="1"/>
  <c r="C2080" i="1"/>
  <c r="N2079" i="1"/>
  <c r="C2079" i="1"/>
  <c r="N2078" i="1"/>
  <c r="C2078" i="1"/>
  <c r="N2077" i="1"/>
  <c r="C2077" i="1"/>
  <c r="N2076" i="1"/>
  <c r="C2076" i="1"/>
  <c r="N2075" i="1"/>
  <c r="C2075" i="1"/>
  <c r="N2074" i="1"/>
  <c r="C2074" i="1"/>
  <c r="N2073" i="1"/>
  <c r="C2073" i="1"/>
  <c r="N2072" i="1"/>
  <c r="C2072" i="1"/>
  <c r="N2071" i="1"/>
  <c r="C2071" i="1"/>
  <c r="N2070" i="1"/>
  <c r="C2070" i="1"/>
  <c r="N2069" i="1"/>
  <c r="C2069" i="1"/>
  <c r="N2068" i="1"/>
  <c r="C2068" i="1"/>
  <c r="N2067" i="1"/>
  <c r="C2067" i="1"/>
  <c r="N2066" i="1"/>
  <c r="C2066" i="1"/>
  <c r="N2065" i="1"/>
  <c r="C2065" i="1"/>
  <c r="N2064" i="1"/>
  <c r="C2064" i="1"/>
  <c r="N2063" i="1"/>
  <c r="C2063" i="1"/>
  <c r="N2062" i="1"/>
  <c r="C2062" i="1"/>
  <c r="N2061" i="1"/>
  <c r="C2061" i="1"/>
  <c r="N2060" i="1"/>
  <c r="C2060" i="1"/>
  <c r="N2059" i="1"/>
  <c r="C2059" i="1"/>
  <c r="N2058" i="1"/>
  <c r="C2058" i="1"/>
  <c r="N2057" i="1"/>
  <c r="C2057" i="1"/>
  <c r="N2056" i="1"/>
  <c r="C2056" i="1"/>
  <c r="N2055" i="1"/>
  <c r="C2055" i="1"/>
  <c r="N2054" i="1"/>
  <c r="C2054" i="1"/>
  <c r="N2053" i="1"/>
  <c r="C2053" i="1"/>
  <c r="N2052" i="1"/>
  <c r="C2052" i="1"/>
  <c r="N2051" i="1"/>
  <c r="C2051" i="1"/>
  <c r="N2050" i="1"/>
  <c r="C2050" i="1"/>
  <c r="N2049" i="1"/>
  <c r="C2049" i="1"/>
  <c r="N2048" i="1"/>
  <c r="C2048" i="1"/>
  <c r="N2047" i="1"/>
  <c r="C2047" i="1"/>
  <c r="N2046" i="1"/>
  <c r="C2046" i="1"/>
  <c r="N2045" i="1"/>
  <c r="C2045" i="1"/>
  <c r="N2044" i="1"/>
  <c r="C2044" i="1"/>
  <c r="N2043" i="1"/>
  <c r="C2043" i="1"/>
  <c r="N2042" i="1"/>
  <c r="C2042" i="1"/>
  <c r="N2041" i="1"/>
  <c r="C2041" i="1"/>
  <c r="N2040" i="1"/>
  <c r="C2040" i="1"/>
  <c r="N2039" i="1"/>
  <c r="C2039" i="1"/>
  <c r="N2038" i="1"/>
  <c r="C2038" i="1"/>
  <c r="N2037" i="1"/>
  <c r="C2037" i="1"/>
  <c r="N2036" i="1"/>
  <c r="C2036" i="1"/>
  <c r="N2035" i="1"/>
  <c r="C2035" i="1"/>
  <c r="N2034" i="1"/>
  <c r="C2034" i="1"/>
  <c r="N2033" i="1"/>
  <c r="C2033" i="1"/>
  <c r="N2032" i="1"/>
  <c r="C2032" i="1"/>
  <c r="N2031" i="1"/>
  <c r="C2031" i="1"/>
  <c r="N2030" i="1"/>
  <c r="C2030" i="1"/>
  <c r="N2029" i="1"/>
  <c r="C2029" i="1"/>
  <c r="N2028" i="1"/>
  <c r="C2028" i="1"/>
  <c r="N2027" i="1"/>
  <c r="C2027" i="1"/>
  <c r="N2026" i="1"/>
  <c r="C2026" i="1"/>
  <c r="N2025" i="1"/>
  <c r="C2025" i="1"/>
  <c r="N2024" i="1"/>
  <c r="C2024" i="1"/>
  <c r="N2023" i="1"/>
  <c r="C2023" i="1"/>
  <c r="N2022" i="1"/>
  <c r="C2022" i="1"/>
  <c r="N2021" i="1"/>
  <c r="C2021" i="1"/>
  <c r="N2020" i="1"/>
  <c r="C2020" i="1"/>
  <c r="N2019" i="1"/>
  <c r="C2019" i="1"/>
  <c r="N2018" i="1"/>
  <c r="C2018" i="1"/>
  <c r="N2017" i="1"/>
  <c r="C2017" i="1"/>
  <c r="N2016" i="1"/>
  <c r="C2016" i="1"/>
  <c r="N2015" i="1"/>
  <c r="C2015" i="1"/>
  <c r="N2014" i="1"/>
  <c r="C2014" i="1"/>
  <c r="N2013" i="1"/>
  <c r="C2013" i="1"/>
  <c r="N2012" i="1"/>
  <c r="C2012" i="1"/>
  <c r="N2011" i="1"/>
  <c r="C2011" i="1"/>
  <c r="N2010" i="1"/>
  <c r="C2010" i="1"/>
  <c r="N2009" i="1"/>
  <c r="C2009" i="1"/>
  <c r="N2008" i="1"/>
  <c r="C2008" i="1"/>
  <c r="N2007" i="1"/>
  <c r="C2007" i="1"/>
  <c r="N2006" i="1"/>
  <c r="C2006" i="1"/>
  <c r="N2005" i="1"/>
  <c r="C2005" i="1"/>
  <c r="N2004" i="1"/>
  <c r="C2004" i="1"/>
  <c r="N2003" i="1"/>
  <c r="C2003" i="1"/>
  <c r="N2002" i="1"/>
  <c r="C2002" i="1"/>
  <c r="N2001" i="1"/>
  <c r="C2001" i="1"/>
  <c r="N2000" i="1"/>
  <c r="C2000" i="1"/>
  <c r="N1999" i="1"/>
  <c r="C1999" i="1"/>
  <c r="N1998" i="1"/>
  <c r="C1998" i="1"/>
  <c r="N1997" i="1"/>
  <c r="C1997" i="1"/>
  <c r="N1996" i="1"/>
  <c r="C1996" i="1"/>
  <c r="N1995" i="1"/>
  <c r="C1995" i="1"/>
  <c r="N1994" i="1"/>
  <c r="C1994" i="1"/>
  <c r="N1993" i="1"/>
  <c r="C1993" i="1"/>
  <c r="N1992" i="1"/>
  <c r="C1992" i="1"/>
  <c r="N1991" i="1"/>
  <c r="C1991" i="1"/>
  <c r="N1990" i="1"/>
  <c r="C1990" i="1"/>
  <c r="N1989" i="1"/>
  <c r="C1989" i="1"/>
  <c r="N1988" i="1"/>
  <c r="C1988" i="1"/>
  <c r="N1987" i="1"/>
  <c r="C1987" i="1"/>
  <c r="N1986" i="1"/>
  <c r="C1986" i="1"/>
  <c r="N1985" i="1"/>
  <c r="C1985" i="1"/>
  <c r="N1984" i="1"/>
  <c r="C1984" i="1"/>
  <c r="N1983" i="1"/>
  <c r="C1983" i="1"/>
  <c r="N1982" i="1"/>
  <c r="C1982" i="1"/>
  <c r="N1981" i="1"/>
  <c r="C1981" i="1"/>
  <c r="N1980" i="1"/>
  <c r="C1980" i="1"/>
  <c r="N1979" i="1"/>
  <c r="C1979" i="1"/>
  <c r="N1978" i="1"/>
  <c r="C1978" i="1"/>
  <c r="N1977" i="1"/>
  <c r="C1977" i="1"/>
  <c r="N1976" i="1"/>
  <c r="C1976" i="1"/>
  <c r="N1975" i="1"/>
  <c r="C1975" i="1"/>
  <c r="N1974" i="1"/>
  <c r="C1974" i="1"/>
  <c r="N1973" i="1"/>
  <c r="C1973" i="1"/>
  <c r="N1972" i="1"/>
  <c r="C1972" i="1"/>
  <c r="N1971" i="1"/>
  <c r="C1971" i="1"/>
  <c r="N1970" i="1"/>
  <c r="C1970" i="1"/>
  <c r="N1969" i="1"/>
  <c r="C1969" i="1"/>
  <c r="N1968" i="1"/>
  <c r="C1968" i="1"/>
  <c r="N1967" i="1"/>
  <c r="C1967" i="1"/>
  <c r="N1966" i="1"/>
  <c r="C1966" i="1"/>
  <c r="N1965" i="1"/>
  <c r="C1965" i="1"/>
  <c r="N1964" i="1"/>
  <c r="C1964" i="1"/>
  <c r="N1963" i="1"/>
  <c r="C1963" i="1"/>
  <c r="N1962" i="1"/>
  <c r="C1962" i="1"/>
  <c r="N1961" i="1"/>
  <c r="C1961" i="1"/>
  <c r="N1960" i="1"/>
  <c r="C1960" i="1"/>
  <c r="N1959" i="1"/>
  <c r="C1959" i="1"/>
  <c r="N1958" i="1"/>
  <c r="C1958" i="1"/>
  <c r="N1957" i="1"/>
  <c r="C1957" i="1"/>
  <c r="N1956" i="1"/>
  <c r="C1956" i="1"/>
  <c r="N1955" i="1"/>
  <c r="C1955" i="1"/>
  <c r="N1954" i="1"/>
  <c r="C1954" i="1"/>
  <c r="N1953" i="1"/>
  <c r="C1953" i="1"/>
  <c r="N1952" i="1"/>
  <c r="C1952" i="1"/>
  <c r="N1951" i="1"/>
  <c r="C1951" i="1"/>
  <c r="N1950" i="1"/>
  <c r="C1950" i="1"/>
  <c r="N1949" i="1"/>
  <c r="C1949" i="1"/>
  <c r="N1948" i="1"/>
  <c r="C1948" i="1"/>
  <c r="N1947" i="1"/>
  <c r="C1947" i="1"/>
  <c r="N1946" i="1"/>
  <c r="C1946" i="1"/>
  <c r="N1945" i="1"/>
  <c r="C1945" i="1"/>
  <c r="N1944" i="1"/>
  <c r="C1944" i="1"/>
  <c r="N1943" i="1"/>
  <c r="C1943" i="1"/>
  <c r="N1942" i="1"/>
  <c r="C1942" i="1"/>
  <c r="N1941" i="1"/>
  <c r="C1941" i="1"/>
  <c r="N1940" i="1"/>
  <c r="C1940" i="1"/>
  <c r="N1939" i="1"/>
  <c r="C1939" i="1"/>
  <c r="N1938" i="1"/>
  <c r="C1938" i="1"/>
  <c r="N1937" i="1"/>
  <c r="C1937" i="1"/>
  <c r="N1936" i="1"/>
  <c r="C1936" i="1"/>
  <c r="N1935" i="1"/>
  <c r="C1935" i="1"/>
  <c r="N1934" i="1"/>
  <c r="C1934" i="1"/>
  <c r="N1933" i="1"/>
  <c r="C1933" i="1"/>
  <c r="N1932" i="1"/>
  <c r="C1932" i="1"/>
  <c r="N1931" i="1"/>
  <c r="C1931" i="1"/>
  <c r="N1930" i="1"/>
  <c r="C1930" i="1"/>
  <c r="N1929" i="1"/>
  <c r="C1929" i="1"/>
  <c r="N1928" i="1"/>
  <c r="C1928" i="1"/>
  <c r="N1927" i="1"/>
  <c r="C1927" i="1"/>
  <c r="N1926" i="1"/>
  <c r="C1926" i="1"/>
  <c r="N1925" i="1"/>
  <c r="C1925" i="1"/>
  <c r="N1924" i="1"/>
  <c r="C1924" i="1"/>
  <c r="N1923" i="1"/>
  <c r="C1923" i="1"/>
  <c r="N1922" i="1"/>
  <c r="C1922" i="1"/>
  <c r="N1921" i="1"/>
  <c r="C1921" i="1"/>
  <c r="N1920" i="1"/>
  <c r="C1920" i="1"/>
  <c r="N1919" i="1"/>
  <c r="C1919" i="1"/>
  <c r="N1918" i="1"/>
  <c r="C1918" i="1"/>
  <c r="N1917" i="1"/>
  <c r="C1917" i="1"/>
  <c r="N1916" i="1"/>
  <c r="C1916" i="1"/>
  <c r="N1915" i="1"/>
  <c r="C1915" i="1"/>
  <c r="N1914" i="1"/>
  <c r="C1914" i="1"/>
  <c r="N1913" i="1"/>
  <c r="C1913" i="1"/>
  <c r="N1912" i="1"/>
  <c r="C1912" i="1"/>
  <c r="N1911" i="1"/>
  <c r="C1911" i="1"/>
  <c r="N1910" i="1"/>
  <c r="C1910" i="1"/>
  <c r="N1909" i="1"/>
  <c r="C1909" i="1"/>
  <c r="N1908" i="1"/>
  <c r="C1908" i="1"/>
  <c r="N1907" i="1"/>
  <c r="C1907" i="1"/>
  <c r="N1906" i="1"/>
  <c r="C1906" i="1"/>
  <c r="N1905" i="1"/>
  <c r="C1905" i="1"/>
  <c r="N1904" i="1"/>
  <c r="C1904" i="1"/>
  <c r="N1903" i="1"/>
  <c r="C1903" i="1"/>
  <c r="N1902" i="1"/>
  <c r="C1902" i="1"/>
  <c r="N1901" i="1"/>
  <c r="C1901" i="1"/>
  <c r="N1900" i="1"/>
  <c r="C1900" i="1"/>
  <c r="N1899" i="1"/>
  <c r="C1899" i="1"/>
  <c r="N1898" i="1"/>
  <c r="C1898" i="1"/>
  <c r="N1897" i="1"/>
  <c r="C1897" i="1"/>
  <c r="N1896" i="1"/>
  <c r="C1896" i="1"/>
  <c r="N1895" i="1"/>
  <c r="C1895" i="1"/>
  <c r="N1894" i="1"/>
  <c r="C1894" i="1"/>
  <c r="N1893" i="1"/>
  <c r="C1893" i="1"/>
  <c r="N1892" i="1"/>
  <c r="C1892" i="1"/>
  <c r="N1891" i="1"/>
  <c r="C1891" i="1"/>
  <c r="N1890" i="1"/>
  <c r="C1890" i="1"/>
  <c r="N1889" i="1"/>
  <c r="C1889" i="1"/>
  <c r="N1888" i="1"/>
  <c r="C1888" i="1"/>
  <c r="N1887" i="1"/>
  <c r="C1887" i="1"/>
  <c r="N1886" i="1"/>
  <c r="C1886" i="1"/>
  <c r="N1885" i="1"/>
  <c r="C1885" i="1"/>
  <c r="N1884" i="1"/>
  <c r="C1884" i="1"/>
  <c r="N1883" i="1"/>
  <c r="C1883" i="1"/>
  <c r="N1882" i="1"/>
  <c r="C1882" i="1"/>
  <c r="N1881" i="1"/>
  <c r="C1881" i="1"/>
  <c r="N1880" i="1"/>
  <c r="C1880" i="1"/>
  <c r="N1879" i="1"/>
  <c r="C1879" i="1"/>
  <c r="N1878" i="1"/>
  <c r="C1878" i="1"/>
  <c r="N1877" i="1"/>
  <c r="C1877" i="1"/>
  <c r="N1876" i="1"/>
  <c r="C1876" i="1"/>
  <c r="N1875" i="1"/>
  <c r="C1875" i="1"/>
  <c r="N1874" i="1"/>
  <c r="C1874" i="1"/>
  <c r="N1873" i="1"/>
  <c r="C1873" i="1"/>
  <c r="N1872" i="1"/>
  <c r="C1872" i="1"/>
  <c r="N1871" i="1"/>
  <c r="C1871" i="1"/>
  <c r="N1870" i="1"/>
  <c r="C1870" i="1"/>
  <c r="N1869" i="1"/>
  <c r="C1869" i="1"/>
  <c r="N1868" i="1"/>
  <c r="C1868" i="1"/>
  <c r="N1867" i="1"/>
  <c r="C1867" i="1"/>
  <c r="N1866" i="1"/>
  <c r="C1866" i="1"/>
  <c r="N1865" i="1"/>
  <c r="C1865" i="1"/>
  <c r="N1864" i="1"/>
  <c r="C1864" i="1"/>
  <c r="N1863" i="1"/>
  <c r="C1863" i="1"/>
  <c r="N1862" i="1"/>
  <c r="C1862" i="1"/>
  <c r="N1861" i="1"/>
  <c r="C1861" i="1"/>
  <c r="N1860" i="1"/>
  <c r="C1860" i="1"/>
  <c r="N1859" i="1"/>
  <c r="C1859" i="1"/>
  <c r="N1858" i="1"/>
  <c r="C1858" i="1"/>
  <c r="N1857" i="1"/>
  <c r="C1857" i="1"/>
  <c r="N1856" i="1"/>
  <c r="C1856" i="1"/>
  <c r="N1855" i="1"/>
  <c r="C1855" i="1"/>
  <c r="N1854" i="1"/>
  <c r="C1854" i="1"/>
  <c r="N1853" i="1"/>
  <c r="C1853" i="1"/>
  <c r="N1852" i="1"/>
  <c r="C1852" i="1"/>
  <c r="N1851" i="1"/>
  <c r="C1851" i="1"/>
  <c r="N1850" i="1"/>
  <c r="C1850" i="1"/>
  <c r="N1849" i="1"/>
  <c r="C1849" i="1"/>
  <c r="N1848" i="1"/>
  <c r="C1848" i="1"/>
  <c r="N1847" i="1"/>
  <c r="C1847" i="1"/>
  <c r="N1846" i="1"/>
  <c r="C1846" i="1"/>
  <c r="N1845" i="1"/>
  <c r="C1845" i="1"/>
  <c r="N1844" i="1"/>
  <c r="C1844" i="1"/>
  <c r="N1843" i="1"/>
  <c r="C1843" i="1"/>
  <c r="N1842" i="1"/>
  <c r="C1842" i="1"/>
  <c r="N1841" i="1"/>
  <c r="C1841" i="1"/>
  <c r="N1840" i="1"/>
  <c r="C1840" i="1"/>
  <c r="N1839" i="1"/>
  <c r="C1839" i="1"/>
  <c r="N1838" i="1"/>
  <c r="C1838" i="1"/>
  <c r="N1837" i="1"/>
  <c r="C1837" i="1"/>
  <c r="N1836" i="1"/>
  <c r="C1836" i="1"/>
  <c r="N1835" i="1"/>
  <c r="C1835" i="1"/>
  <c r="N1834" i="1"/>
  <c r="C1834" i="1"/>
  <c r="N1833" i="1"/>
  <c r="C1833" i="1"/>
  <c r="N1832" i="1"/>
  <c r="C1832" i="1"/>
  <c r="N1831" i="1"/>
  <c r="C1831" i="1"/>
  <c r="N1830" i="1"/>
  <c r="C1830" i="1"/>
  <c r="N1829" i="1"/>
  <c r="C1829" i="1"/>
  <c r="N1828" i="1"/>
  <c r="C1828" i="1"/>
  <c r="N1827" i="1"/>
  <c r="C1827" i="1"/>
  <c r="N1826" i="1"/>
  <c r="C1826" i="1"/>
  <c r="N1825" i="1"/>
  <c r="C1825" i="1"/>
  <c r="N1824" i="1"/>
  <c r="C1824" i="1"/>
  <c r="N1823" i="1"/>
  <c r="C1823" i="1"/>
  <c r="N1822" i="1"/>
  <c r="C1822" i="1"/>
  <c r="N1821" i="1"/>
  <c r="C1821" i="1"/>
  <c r="N1820" i="1"/>
  <c r="C1820" i="1"/>
  <c r="N1819" i="1"/>
  <c r="C1819" i="1"/>
  <c r="N1818" i="1"/>
  <c r="C1818" i="1"/>
  <c r="N1817" i="1"/>
  <c r="C1817" i="1"/>
  <c r="N1816" i="1"/>
  <c r="C1816" i="1"/>
  <c r="N1815" i="1"/>
  <c r="C1815" i="1"/>
  <c r="N1814" i="1"/>
  <c r="C1814" i="1"/>
  <c r="N1813" i="1"/>
  <c r="C1813" i="1"/>
  <c r="N1812" i="1"/>
  <c r="C1812" i="1"/>
  <c r="N1811" i="1"/>
  <c r="C1811" i="1"/>
  <c r="N1810" i="1"/>
  <c r="C1810" i="1"/>
  <c r="N1809" i="1"/>
  <c r="C1809" i="1"/>
  <c r="N1808" i="1"/>
  <c r="C1808" i="1"/>
  <c r="N1807" i="1"/>
  <c r="C1807" i="1"/>
  <c r="N1806" i="1"/>
  <c r="C1806" i="1"/>
  <c r="N1805" i="1"/>
  <c r="C1805" i="1"/>
  <c r="N1804" i="1"/>
  <c r="C1804" i="1"/>
  <c r="N1803" i="1"/>
  <c r="C1803" i="1"/>
  <c r="N1802" i="1"/>
  <c r="C1802" i="1"/>
  <c r="N1801" i="1"/>
  <c r="C1801" i="1"/>
  <c r="N1800" i="1"/>
  <c r="C1800" i="1"/>
  <c r="N1799" i="1"/>
  <c r="C1799" i="1"/>
  <c r="N1798" i="1"/>
  <c r="C1798" i="1"/>
  <c r="N1797" i="1"/>
  <c r="C1797" i="1"/>
  <c r="N1796" i="1"/>
  <c r="C1796" i="1"/>
  <c r="N1795" i="1"/>
  <c r="C1795" i="1"/>
  <c r="N1794" i="1"/>
  <c r="C1794" i="1"/>
  <c r="N1793" i="1"/>
  <c r="C1793" i="1"/>
  <c r="N1792" i="1"/>
  <c r="C1792" i="1"/>
  <c r="N1791" i="1"/>
  <c r="C1791" i="1"/>
  <c r="N1790" i="1"/>
  <c r="C1790" i="1"/>
  <c r="N1789" i="1"/>
  <c r="C1789" i="1"/>
  <c r="N1788" i="1"/>
  <c r="C1788" i="1"/>
  <c r="N1787" i="1"/>
  <c r="C1787" i="1"/>
  <c r="N1786" i="1"/>
  <c r="C1786" i="1"/>
  <c r="N1785" i="1"/>
  <c r="C1785" i="1"/>
  <c r="N1784" i="1"/>
  <c r="C1784" i="1"/>
  <c r="N1783" i="1"/>
  <c r="C1783" i="1"/>
  <c r="N1782" i="1"/>
  <c r="C1782" i="1"/>
  <c r="N1781" i="1"/>
  <c r="C1781" i="1"/>
  <c r="N1780" i="1"/>
  <c r="C1780" i="1"/>
  <c r="N1779" i="1"/>
  <c r="C1779" i="1"/>
  <c r="N1778" i="1"/>
  <c r="C1778" i="1"/>
  <c r="N1777" i="1"/>
  <c r="C1777" i="1"/>
  <c r="N1776" i="1"/>
  <c r="C1776" i="1"/>
  <c r="N1775" i="1"/>
  <c r="C1775" i="1"/>
  <c r="N1774" i="1"/>
  <c r="C1774" i="1"/>
  <c r="N1773" i="1"/>
  <c r="C1773" i="1"/>
  <c r="N1772" i="1"/>
  <c r="C1772" i="1"/>
  <c r="N1771" i="1"/>
  <c r="C1771" i="1"/>
  <c r="N1770" i="1"/>
  <c r="C1770" i="1"/>
  <c r="N1769" i="1"/>
  <c r="C1769" i="1"/>
  <c r="N1768" i="1"/>
  <c r="C1768" i="1"/>
  <c r="N1767" i="1"/>
  <c r="C1767" i="1"/>
  <c r="N1766" i="1"/>
  <c r="C1766" i="1"/>
  <c r="N1765" i="1"/>
  <c r="C1765" i="1"/>
  <c r="N1764" i="1"/>
  <c r="C1764" i="1"/>
  <c r="N1763" i="1"/>
  <c r="C1763" i="1"/>
  <c r="N1762" i="1"/>
  <c r="C1762" i="1"/>
  <c r="N1761" i="1"/>
  <c r="C1761" i="1"/>
  <c r="N1760" i="1"/>
  <c r="C1760" i="1"/>
  <c r="N1759" i="1"/>
  <c r="C1759" i="1"/>
  <c r="N1758" i="1"/>
  <c r="C1758" i="1"/>
  <c r="N1757" i="1"/>
  <c r="C1757" i="1"/>
  <c r="N1756" i="1"/>
  <c r="C1756" i="1"/>
  <c r="N1755" i="1"/>
  <c r="C1755" i="1"/>
  <c r="N1754" i="1"/>
  <c r="C1754" i="1"/>
  <c r="N1753" i="1"/>
  <c r="C1753" i="1"/>
  <c r="N1752" i="1"/>
  <c r="C1752" i="1"/>
  <c r="N1751" i="1"/>
  <c r="C1751" i="1"/>
  <c r="N1750" i="1"/>
  <c r="C1750" i="1"/>
  <c r="N1749" i="1"/>
  <c r="C1749" i="1"/>
  <c r="N1748" i="1"/>
  <c r="C1748" i="1"/>
  <c r="N1747" i="1"/>
  <c r="C1747" i="1"/>
  <c r="N1746" i="1"/>
  <c r="C1746" i="1"/>
  <c r="N1745" i="1"/>
  <c r="C1745" i="1"/>
  <c r="N1744" i="1"/>
  <c r="C1744" i="1"/>
  <c r="N1743" i="1"/>
  <c r="C1743" i="1"/>
  <c r="N1742" i="1"/>
  <c r="C1742" i="1"/>
  <c r="N1741" i="1"/>
  <c r="C1741" i="1"/>
  <c r="N1740" i="1"/>
  <c r="C1740" i="1"/>
  <c r="N1739" i="1"/>
  <c r="C1739" i="1"/>
  <c r="N1738" i="1"/>
  <c r="C1738" i="1"/>
  <c r="N1737" i="1"/>
  <c r="C1737" i="1"/>
  <c r="N1736" i="1"/>
  <c r="C1736" i="1"/>
  <c r="N1735" i="1"/>
  <c r="C1735" i="1"/>
  <c r="N1734" i="1"/>
  <c r="C1734" i="1"/>
  <c r="N1733" i="1"/>
  <c r="C1733" i="1"/>
  <c r="N1732" i="1"/>
  <c r="C1732" i="1"/>
  <c r="N1731" i="1"/>
  <c r="C1731" i="1"/>
  <c r="N1730" i="1"/>
  <c r="C1730" i="1"/>
  <c r="N1729" i="1"/>
  <c r="C1729" i="1"/>
  <c r="N1728" i="1"/>
  <c r="C1728" i="1"/>
  <c r="N1727" i="1"/>
  <c r="C1727" i="1"/>
  <c r="N1726" i="1"/>
  <c r="C1726" i="1"/>
  <c r="N1725" i="1"/>
  <c r="C1725" i="1"/>
  <c r="N1724" i="1"/>
  <c r="C1724" i="1"/>
  <c r="N1723" i="1"/>
  <c r="C1723" i="1"/>
  <c r="N1722" i="1"/>
  <c r="C1722" i="1"/>
  <c r="N1721" i="1"/>
  <c r="C1721" i="1"/>
  <c r="N1720" i="1"/>
  <c r="C1720" i="1"/>
  <c r="N1719" i="1"/>
  <c r="C1719" i="1"/>
  <c r="N1718" i="1"/>
  <c r="C1718" i="1"/>
  <c r="N1717" i="1"/>
  <c r="C1717" i="1"/>
  <c r="N1716" i="1"/>
  <c r="C1716" i="1"/>
  <c r="N1715" i="1"/>
  <c r="C1715" i="1"/>
  <c r="N1714" i="1"/>
  <c r="C1714" i="1"/>
  <c r="N1713" i="1"/>
  <c r="C1713" i="1"/>
  <c r="N1712" i="1"/>
  <c r="C1712" i="1"/>
  <c r="N1711" i="1"/>
  <c r="C1711" i="1"/>
  <c r="N1710" i="1"/>
  <c r="C1710" i="1"/>
  <c r="N1709" i="1"/>
  <c r="C1709" i="1"/>
  <c r="N1708" i="1"/>
  <c r="C1708" i="1"/>
  <c r="N1707" i="1"/>
  <c r="C1707" i="1"/>
  <c r="N1706" i="1"/>
  <c r="C1706" i="1"/>
  <c r="N1705" i="1"/>
  <c r="C1705" i="1"/>
  <c r="N1704" i="1"/>
  <c r="C1704" i="1"/>
  <c r="N1703" i="1"/>
  <c r="C1703" i="1"/>
  <c r="N1702" i="1"/>
  <c r="C1702" i="1"/>
  <c r="N1701" i="1"/>
  <c r="C1701" i="1"/>
  <c r="N1700" i="1"/>
  <c r="C1700" i="1"/>
  <c r="N1699" i="1"/>
  <c r="C1699" i="1"/>
  <c r="N1698" i="1"/>
  <c r="C1698" i="1"/>
  <c r="N1697" i="1"/>
  <c r="C1697" i="1"/>
  <c r="N1696" i="1"/>
  <c r="C1696" i="1"/>
  <c r="N1695" i="1"/>
  <c r="C1695" i="1"/>
  <c r="N1694" i="1"/>
  <c r="C1694" i="1"/>
  <c r="N1693" i="1"/>
  <c r="C1693" i="1"/>
  <c r="N1692" i="1"/>
  <c r="C1692" i="1"/>
  <c r="N1691" i="1"/>
  <c r="C1691" i="1"/>
  <c r="N1690" i="1"/>
  <c r="C1690" i="1"/>
  <c r="N1689" i="1"/>
  <c r="C1689" i="1"/>
  <c r="N1688" i="1"/>
  <c r="C1688" i="1"/>
  <c r="N1687" i="1"/>
  <c r="C1687" i="1"/>
  <c r="N1686" i="1"/>
  <c r="C1686" i="1"/>
  <c r="N1685" i="1"/>
  <c r="C1685" i="1"/>
  <c r="N1684" i="1"/>
  <c r="C1684" i="1"/>
  <c r="N1683" i="1"/>
  <c r="C1683" i="1"/>
  <c r="N1682" i="1"/>
  <c r="C1682" i="1"/>
  <c r="N1681" i="1"/>
  <c r="C1681" i="1"/>
  <c r="N1680" i="1"/>
  <c r="C1680" i="1"/>
  <c r="N1679" i="1"/>
  <c r="C1679" i="1"/>
  <c r="N1678" i="1"/>
  <c r="C1678" i="1"/>
  <c r="N1677" i="1"/>
  <c r="C1677" i="1"/>
  <c r="N1676" i="1"/>
  <c r="C1676" i="1"/>
  <c r="N1675" i="1"/>
  <c r="C1675" i="1"/>
  <c r="N1674" i="1"/>
  <c r="C1674" i="1"/>
  <c r="N1673" i="1"/>
  <c r="C1673" i="1"/>
  <c r="N1672" i="1"/>
  <c r="C1672" i="1"/>
  <c r="N1671" i="1"/>
  <c r="C1671" i="1"/>
  <c r="N1670" i="1"/>
  <c r="C1670" i="1"/>
  <c r="N1669" i="1"/>
  <c r="C1669" i="1"/>
  <c r="N1668" i="1"/>
  <c r="C1668" i="1"/>
  <c r="N1667" i="1"/>
  <c r="C1667" i="1"/>
  <c r="N1666" i="1"/>
  <c r="C1666" i="1"/>
  <c r="N1665" i="1"/>
  <c r="C1665" i="1"/>
  <c r="N1664" i="1"/>
  <c r="C1664" i="1"/>
  <c r="N1663" i="1"/>
  <c r="C1663" i="1"/>
  <c r="N1662" i="1"/>
  <c r="C1662" i="1"/>
  <c r="N1661" i="1"/>
  <c r="C1661" i="1"/>
  <c r="N1660" i="1"/>
  <c r="C1660" i="1"/>
  <c r="N1659" i="1"/>
  <c r="C1659" i="1"/>
  <c r="N1658" i="1"/>
  <c r="C1658" i="1"/>
  <c r="N1657" i="1"/>
  <c r="C1657" i="1"/>
  <c r="N1656" i="1"/>
  <c r="C1656" i="1"/>
  <c r="N1655" i="1"/>
  <c r="C1655" i="1"/>
  <c r="N1654" i="1"/>
  <c r="C1654" i="1"/>
  <c r="N1653" i="1"/>
  <c r="C1653" i="1"/>
  <c r="N1652" i="1"/>
  <c r="C1652" i="1"/>
  <c r="N1651" i="1"/>
  <c r="C1651" i="1"/>
  <c r="N1650" i="1"/>
  <c r="C1650" i="1"/>
  <c r="N1649" i="1"/>
  <c r="C1649" i="1"/>
  <c r="N1648" i="1"/>
  <c r="C1648" i="1"/>
  <c r="N1647" i="1"/>
  <c r="C1647" i="1"/>
  <c r="N1646" i="1"/>
  <c r="C1646" i="1"/>
  <c r="N1645" i="1"/>
  <c r="C1645" i="1"/>
  <c r="N1644" i="1"/>
  <c r="C1644" i="1"/>
  <c r="N1643" i="1"/>
  <c r="C1643" i="1"/>
  <c r="N1642" i="1"/>
  <c r="C1642" i="1"/>
  <c r="N1641" i="1"/>
  <c r="C1641" i="1"/>
  <c r="N1640" i="1"/>
  <c r="C1640" i="1"/>
  <c r="N1639" i="1"/>
  <c r="C1639" i="1"/>
  <c r="N1638" i="1"/>
  <c r="C1638" i="1"/>
  <c r="N1637" i="1"/>
  <c r="C1637" i="1"/>
  <c r="N1636" i="1"/>
  <c r="C1636" i="1"/>
  <c r="N1635" i="1"/>
  <c r="C1635" i="1"/>
  <c r="N1634" i="1"/>
  <c r="C1634" i="1"/>
  <c r="N1633" i="1"/>
  <c r="C1633" i="1"/>
  <c r="N1632" i="1"/>
  <c r="C1632" i="1"/>
  <c r="N1631" i="1"/>
  <c r="C1631" i="1"/>
  <c r="N1630" i="1"/>
  <c r="C1630" i="1"/>
  <c r="N1629" i="1"/>
  <c r="C1629" i="1"/>
  <c r="N1628" i="1"/>
  <c r="C1628" i="1"/>
  <c r="N1627" i="1"/>
  <c r="C1627" i="1"/>
  <c r="N1626" i="1"/>
  <c r="C1626" i="1"/>
  <c r="N1625" i="1"/>
  <c r="C1625" i="1"/>
  <c r="N1624" i="1"/>
  <c r="C1624" i="1"/>
  <c r="N1623" i="1"/>
  <c r="C1623" i="1"/>
  <c r="N1622" i="1"/>
  <c r="C1622" i="1"/>
  <c r="N1621" i="1"/>
  <c r="C1621" i="1"/>
  <c r="N1620" i="1"/>
  <c r="C1620" i="1"/>
  <c r="N1619" i="1"/>
  <c r="C1619" i="1"/>
  <c r="N1618" i="1"/>
  <c r="C1618" i="1"/>
  <c r="N1617" i="1"/>
  <c r="C1617" i="1"/>
  <c r="N1616" i="1"/>
  <c r="C1616" i="1"/>
  <c r="N1615" i="1"/>
  <c r="C1615" i="1"/>
  <c r="N1614" i="1"/>
  <c r="C1614" i="1"/>
  <c r="N1613" i="1"/>
  <c r="C1613" i="1"/>
  <c r="N1612" i="1"/>
  <c r="C1612" i="1"/>
  <c r="N1611" i="1"/>
  <c r="C1611" i="1"/>
  <c r="N1610" i="1"/>
  <c r="C1610" i="1"/>
  <c r="N1609" i="1"/>
  <c r="C1609" i="1"/>
  <c r="N1608" i="1"/>
  <c r="C1608" i="1"/>
  <c r="N1607" i="1"/>
  <c r="C1607" i="1"/>
  <c r="N1606" i="1"/>
  <c r="C1606" i="1"/>
  <c r="N1605" i="1"/>
  <c r="C1605" i="1"/>
  <c r="N1604" i="1"/>
  <c r="C1604" i="1"/>
  <c r="N1603" i="1"/>
  <c r="C1603" i="1"/>
  <c r="N1602" i="1"/>
  <c r="C1602" i="1"/>
  <c r="N1601" i="1"/>
  <c r="C1601" i="1"/>
  <c r="N1600" i="1"/>
  <c r="C1600" i="1"/>
  <c r="N1599" i="1"/>
  <c r="C1599" i="1"/>
  <c r="N1598" i="1"/>
  <c r="C1598" i="1"/>
  <c r="N1597" i="1"/>
  <c r="C1597" i="1"/>
  <c r="N1596" i="1"/>
  <c r="C1596" i="1"/>
  <c r="N1595" i="1"/>
  <c r="C1595" i="1"/>
  <c r="N1594" i="1"/>
  <c r="C1594" i="1"/>
  <c r="N1593" i="1"/>
  <c r="C1593" i="1"/>
  <c r="N1592" i="1"/>
  <c r="C1592" i="1"/>
  <c r="N1591" i="1"/>
  <c r="C1591" i="1"/>
  <c r="N1590" i="1"/>
  <c r="C1590" i="1"/>
  <c r="N1589" i="1"/>
  <c r="C1589" i="1"/>
  <c r="N1588" i="1"/>
  <c r="C1588" i="1"/>
  <c r="N1587" i="1"/>
  <c r="C1587" i="1"/>
  <c r="N1586" i="1"/>
  <c r="C1586" i="1"/>
  <c r="N1585" i="1"/>
  <c r="C1585" i="1"/>
  <c r="N1584" i="1"/>
  <c r="C1584" i="1"/>
  <c r="N1583" i="1"/>
  <c r="C1583" i="1"/>
  <c r="N1582" i="1"/>
  <c r="C1582" i="1"/>
  <c r="N1581" i="1"/>
  <c r="C1581" i="1"/>
  <c r="N1580" i="1"/>
  <c r="C1580" i="1"/>
  <c r="N1579" i="1"/>
  <c r="C1579" i="1"/>
  <c r="N1578" i="1"/>
  <c r="C1578" i="1"/>
  <c r="N1577" i="1"/>
  <c r="C1577" i="1"/>
  <c r="N1576" i="1"/>
  <c r="C1576" i="1"/>
  <c r="N1575" i="1"/>
  <c r="C1575" i="1"/>
  <c r="N1574" i="1"/>
  <c r="C1574" i="1"/>
  <c r="N1573" i="1"/>
  <c r="C1573" i="1"/>
  <c r="N1572" i="1"/>
  <c r="C1572" i="1"/>
  <c r="N1571" i="1"/>
  <c r="C1571" i="1"/>
  <c r="N1570" i="1"/>
  <c r="C1570" i="1"/>
  <c r="N1569" i="1"/>
  <c r="C1569" i="1"/>
  <c r="N1568" i="1"/>
  <c r="C1568" i="1"/>
  <c r="N1567" i="1"/>
  <c r="C1567" i="1"/>
  <c r="N1566" i="1"/>
  <c r="C1566" i="1"/>
  <c r="N1565" i="1"/>
  <c r="C1565" i="1"/>
  <c r="N1564" i="1"/>
  <c r="C1564" i="1"/>
  <c r="N1563" i="1"/>
  <c r="C1563" i="1"/>
  <c r="N1562" i="1"/>
  <c r="C1562" i="1"/>
  <c r="N1561" i="1"/>
  <c r="C1561" i="1"/>
  <c r="N1560" i="1"/>
  <c r="C1560" i="1"/>
  <c r="N1559" i="1"/>
  <c r="C1559" i="1"/>
  <c r="N1558" i="1"/>
  <c r="C1558" i="1"/>
  <c r="N1557" i="1"/>
  <c r="C1557" i="1"/>
  <c r="N1556" i="1"/>
  <c r="C1556" i="1"/>
  <c r="N1555" i="1"/>
  <c r="C1555" i="1"/>
  <c r="N1554" i="1"/>
  <c r="C1554" i="1"/>
  <c r="N1553" i="1"/>
  <c r="C1553" i="1"/>
  <c r="N1552" i="1"/>
  <c r="C1552" i="1"/>
  <c r="N1551" i="1"/>
  <c r="C1551" i="1"/>
  <c r="N1550" i="1"/>
  <c r="C1550" i="1"/>
  <c r="N1549" i="1"/>
  <c r="C1549" i="1"/>
  <c r="N1548" i="1"/>
  <c r="C1548" i="1"/>
  <c r="N1547" i="1"/>
  <c r="C1547" i="1"/>
  <c r="N1546" i="1"/>
  <c r="C1546" i="1"/>
  <c r="N1545" i="1"/>
  <c r="C1545" i="1"/>
  <c r="N1544" i="1"/>
  <c r="C1544" i="1"/>
  <c r="N1543" i="1"/>
  <c r="C1543" i="1"/>
  <c r="N1542" i="1"/>
  <c r="C1542" i="1"/>
  <c r="N1541" i="1"/>
  <c r="C1541" i="1"/>
  <c r="N1540" i="1"/>
  <c r="C1540" i="1"/>
  <c r="N1539" i="1"/>
  <c r="C1539" i="1"/>
  <c r="N1538" i="1"/>
  <c r="C1538" i="1"/>
  <c r="N1537" i="1"/>
  <c r="C1537" i="1"/>
  <c r="N1536" i="1"/>
  <c r="C1536" i="1"/>
  <c r="N1535" i="1"/>
  <c r="C1535" i="1"/>
  <c r="N1534" i="1"/>
  <c r="C1534" i="1"/>
  <c r="N1533" i="1"/>
  <c r="C1533" i="1"/>
  <c r="N1532" i="1"/>
  <c r="C1532" i="1"/>
  <c r="N1531" i="1"/>
  <c r="C1531" i="1"/>
  <c r="N1530" i="1"/>
  <c r="C1530" i="1"/>
  <c r="N1529" i="1"/>
  <c r="C1529" i="1"/>
  <c r="N1528" i="1"/>
  <c r="C1528" i="1"/>
  <c r="N1527" i="1"/>
  <c r="C1527" i="1"/>
  <c r="N1526" i="1"/>
  <c r="C1526" i="1"/>
  <c r="N1525" i="1"/>
  <c r="C1525" i="1"/>
  <c r="N1524" i="1"/>
  <c r="C1524" i="1"/>
  <c r="N1523" i="1"/>
  <c r="C1523" i="1"/>
  <c r="N1522" i="1"/>
  <c r="C1522" i="1"/>
  <c r="N1521" i="1"/>
  <c r="C1521" i="1"/>
  <c r="N1520" i="1"/>
  <c r="C1520" i="1"/>
  <c r="N1519" i="1"/>
  <c r="C1519" i="1"/>
  <c r="N1518" i="1"/>
  <c r="C1518" i="1"/>
  <c r="N1517" i="1"/>
  <c r="C1517" i="1"/>
  <c r="N1516" i="1"/>
  <c r="C1516" i="1"/>
  <c r="N1515" i="1"/>
  <c r="C1515" i="1"/>
  <c r="N1514" i="1"/>
  <c r="C1514" i="1"/>
  <c r="N1513" i="1"/>
  <c r="C1513" i="1"/>
  <c r="N1512" i="1"/>
  <c r="C1512" i="1"/>
  <c r="N1511" i="1"/>
  <c r="C1511" i="1"/>
  <c r="N1510" i="1"/>
  <c r="C1510" i="1"/>
  <c r="N1509" i="1"/>
  <c r="C1509" i="1"/>
  <c r="N1508" i="1"/>
  <c r="C1508" i="1"/>
  <c r="N1507" i="1"/>
  <c r="C1507" i="1"/>
  <c r="N1506" i="1"/>
  <c r="C1506" i="1"/>
  <c r="N1505" i="1"/>
  <c r="C1505" i="1"/>
  <c r="N1504" i="1"/>
  <c r="C1504" i="1"/>
  <c r="N1503" i="1"/>
  <c r="C1503" i="1"/>
  <c r="N1502" i="1"/>
  <c r="C1502" i="1"/>
  <c r="N1501" i="1"/>
  <c r="C1501" i="1"/>
  <c r="N1500" i="1"/>
  <c r="C1500" i="1"/>
  <c r="N1499" i="1"/>
  <c r="C1499" i="1"/>
  <c r="N1498" i="1"/>
  <c r="C1498" i="1"/>
  <c r="N1497" i="1"/>
  <c r="C1497" i="1"/>
  <c r="N1496" i="1"/>
  <c r="C1496" i="1"/>
  <c r="N1495" i="1"/>
  <c r="C1495" i="1"/>
  <c r="N1494" i="1"/>
  <c r="C1494" i="1"/>
  <c r="N1493" i="1"/>
  <c r="C1493" i="1"/>
  <c r="N1492" i="1"/>
  <c r="C1492" i="1"/>
  <c r="N1491" i="1"/>
  <c r="C1491" i="1"/>
  <c r="N1490" i="1"/>
  <c r="C1490" i="1"/>
  <c r="N1489" i="1"/>
  <c r="C1489" i="1"/>
  <c r="N1488" i="1"/>
  <c r="C1488" i="1"/>
  <c r="N1487" i="1"/>
  <c r="C1487" i="1"/>
  <c r="N1486" i="1"/>
  <c r="C1486" i="1"/>
  <c r="N1485" i="1"/>
  <c r="C1485" i="1"/>
  <c r="N1484" i="1"/>
  <c r="C1484" i="1"/>
  <c r="N1483" i="1"/>
  <c r="C1483" i="1"/>
  <c r="N1482" i="1"/>
  <c r="C1482" i="1"/>
  <c r="N1481" i="1"/>
  <c r="C1481" i="1"/>
  <c r="N1480" i="1"/>
  <c r="C1480" i="1"/>
  <c r="N1479" i="1"/>
  <c r="C1479" i="1"/>
  <c r="N1478" i="1"/>
  <c r="C1478" i="1"/>
  <c r="N1477" i="1"/>
  <c r="C1477" i="1"/>
  <c r="N1476" i="1"/>
  <c r="C1476" i="1"/>
  <c r="N1475" i="1"/>
  <c r="C1475" i="1"/>
  <c r="N1474" i="1"/>
  <c r="C1474" i="1"/>
  <c r="N1473" i="1"/>
  <c r="C1473" i="1"/>
  <c r="N1472" i="1"/>
  <c r="C1472" i="1"/>
  <c r="N1471" i="1"/>
  <c r="C1471" i="1"/>
  <c r="N1470" i="1"/>
  <c r="C1470" i="1"/>
  <c r="N1469" i="1"/>
  <c r="C1469" i="1"/>
  <c r="N1468" i="1"/>
  <c r="C1468" i="1"/>
  <c r="N1467" i="1"/>
  <c r="C1467" i="1"/>
  <c r="N1466" i="1"/>
  <c r="C1466" i="1"/>
  <c r="N1465" i="1"/>
  <c r="C1465" i="1"/>
  <c r="N1464" i="1"/>
  <c r="C1464" i="1"/>
  <c r="N1463" i="1"/>
  <c r="C1463" i="1"/>
  <c r="N1462" i="1"/>
  <c r="C1462" i="1"/>
  <c r="N1461" i="1"/>
  <c r="C1461" i="1"/>
  <c r="N1460" i="1"/>
  <c r="C1460" i="1"/>
  <c r="N1459" i="1"/>
  <c r="C1459" i="1"/>
  <c r="N1458" i="1"/>
  <c r="C1458" i="1"/>
  <c r="N1457" i="1"/>
  <c r="C1457" i="1"/>
  <c r="N1456" i="1"/>
  <c r="C1456" i="1"/>
  <c r="N1455" i="1"/>
  <c r="C1455" i="1"/>
  <c r="N1454" i="1"/>
  <c r="C1454" i="1"/>
  <c r="N1453" i="1"/>
  <c r="C1453" i="1"/>
  <c r="N1452" i="1"/>
  <c r="C1452" i="1"/>
  <c r="N1451" i="1"/>
  <c r="C1451" i="1"/>
  <c r="N1450" i="1"/>
  <c r="C1450" i="1"/>
  <c r="N1449" i="1"/>
  <c r="C1449" i="1"/>
  <c r="N1448" i="1"/>
  <c r="C1448" i="1"/>
  <c r="N1447" i="1"/>
  <c r="C1447" i="1"/>
  <c r="N1446" i="1"/>
  <c r="C1446" i="1"/>
  <c r="N1445" i="1"/>
  <c r="C1445" i="1"/>
  <c r="N1444" i="1"/>
  <c r="C1444" i="1"/>
  <c r="N1443" i="1"/>
  <c r="C1443" i="1"/>
  <c r="N1442" i="1"/>
  <c r="C1442" i="1"/>
  <c r="N1441" i="1"/>
  <c r="C1441" i="1"/>
  <c r="N1440" i="1"/>
  <c r="C1440" i="1"/>
  <c r="N1439" i="1"/>
  <c r="C1439" i="1"/>
  <c r="N1438" i="1"/>
  <c r="C1438" i="1"/>
  <c r="N1437" i="1"/>
  <c r="C1437" i="1"/>
  <c r="N1436" i="1"/>
  <c r="C1436" i="1"/>
  <c r="N1435" i="1"/>
  <c r="C1435" i="1"/>
  <c r="N1434" i="1"/>
  <c r="C1434" i="1"/>
  <c r="N1433" i="1"/>
  <c r="C1433" i="1"/>
  <c r="N1432" i="1"/>
  <c r="C1432" i="1"/>
  <c r="N1431" i="1"/>
  <c r="C1431" i="1"/>
  <c r="N1430" i="1"/>
  <c r="C1430" i="1"/>
  <c r="N1429" i="1"/>
  <c r="C1429" i="1"/>
  <c r="N1428" i="1"/>
  <c r="C1428" i="1"/>
  <c r="N1427" i="1"/>
  <c r="C1427" i="1"/>
  <c r="N1426" i="1"/>
  <c r="C1426" i="1"/>
  <c r="N1425" i="1"/>
  <c r="C1425" i="1"/>
  <c r="N1424" i="1"/>
  <c r="C1424" i="1"/>
  <c r="N1423" i="1"/>
  <c r="C1423" i="1"/>
  <c r="N1422" i="1"/>
  <c r="C1422" i="1"/>
  <c r="N1421" i="1"/>
  <c r="C1421" i="1"/>
  <c r="N1420" i="1"/>
  <c r="C1420" i="1"/>
  <c r="N1419" i="1"/>
  <c r="C1419" i="1"/>
  <c r="N1418" i="1"/>
  <c r="C1418" i="1"/>
  <c r="N1417" i="1"/>
  <c r="C1417" i="1"/>
  <c r="N1416" i="1"/>
  <c r="C1416" i="1"/>
  <c r="N1415" i="1"/>
  <c r="C1415" i="1"/>
  <c r="N1414" i="1"/>
  <c r="C1414" i="1"/>
  <c r="N1413" i="1"/>
  <c r="C1413" i="1"/>
  <c r="N1412" i="1"/>
  <c r="C1412" i="1"/>
  <c r="N1411" i="1"/>
  <c r="C1411" i="1"/>
  <c r="N1410" i="1"/>
  <c r="C1410" i="1"/>
  <c r="N1409" i="1"/>
  <c r="C1409" i="1"/>
  <c r="N1408" i="1"/>
  <c r="C1408" i="1"/>
  <c r="N1407" i="1"/>
  <c r="C1407" i="1"/>
  <c r="N1406" i="1"/>
  <c r="C1406" i="1"/>
  <c r="N1405" i="1"/>
  <c r="C1405" i="1"/>
  <c r="N1404" i="1"/>
  <c r="C1404" i="1"/>
  <c r="N1403" i="1"/>
  <c r="C1403" i="1"/>
  <c r="N1402" i="1"/>
  <c r="C1402" i="1"/>
  <c r="N1401" i="1"/>
  <c r="C1401" i="1"/>
  <c r="N1400" i="1"/>
  <c r="C1400" i="1"/>
  <c r="N1399" i="1"/>
  <c r="C1399" i="1"/>
  <c r="N1398" i="1"/>
  <c r="C1398" i="1"/>
  <c r="N1397" i="1"/>
  <c r="C1397" i="1"/>
  <c r="N1396" i="1"/>
  <c r="C1396" i="1"/>
  <c r="N1395" i="1"/>
  <c r="C1395" i="1"/>
  <c r="N1394" i="1"/>
  <c r="C1394" i="1"/>
  <c r="N1393" i="1"/>
  <c r="C1393" i="1"/>
  <c r="N1392" i="1"/>
  <c r="C1392" i="1"/>
  <c r="N1391" i="1"/>
  <c r="C1391" i="1"/>
  <c r="N1390" i="1"/>
  <c r="C1390" i="1"/>
  <c r="N1389" i="1"/>
  <c r="C1389" i="1"/>
  <c r="N1388" i="1"/>
  <c r="C1388" i="1"/>
  <c r="N1387" i="1"/>
  <c r="C1387" i="1"/>
  <c r="N1386" i="1"/>
  <c r="C1386" i="1"/>
  <c r="N1385" i="1"/>
  <c r="C1385" i="1"/>
  <c r="N1384" i="1"/>
  <c r="C1384" i="1"/>
  <c r="N1383" i="1"/>
  <c r="C1383" i="1"/>
  <c r="N1382" i="1"/>
  <c r="C1382" i="1"/>
  <c r="N1381" i="1"/>
  <c r="C1381" i="1"/>
  <c r="N1380" i="1"/>
  <c r="C1380" i="1"/>
  <c r="N1379" i="1"/>
  <c r="C1379" i="1"/>
  <c r="N1378" i="1"/>
  <c r="C1378" i="1"/>
  <c r="N1377" i="1"/>
  <c r="C1377" i="1"/>
  <c r="N1376" i="1"/>
  <c r="C1376" i="1"/>
  <c r="N1375" i="1"/>
  <c r="C1375" i="1"/>
  <c r="N1374" i="1"/>
  <c r="C1374" i="1"/>
  <c r="N1373" i="1"/>
  <c r="C1373" i="1"/>
  <c r="N1372" i="1"/>
  <c r="C1372" i="1"/>
  <c r="N1371" i="1"/>
  <c r="C1371" i="1"/>
  <c r="N1370" i="1"/>
  <c r="C1370" i="1"/>
  <c r="N1369" i="1"/>
  <c r="C1369" i="1"/>
  <c r="N1368" i="1"/>
  <c r="C1368" i="1"/>
  <c r="N1367" i="1"/>
  <c r="C1367" i="1"/>
  <c r="N1366" i="1"/>
  <c r="C1366" i="1"/>
  <c r="N1365" i="1"/>
  <c r="C1365" i="1"/>
  <c r="N1364" i="1"/>
  <c r="C1364" i="1"/>
  <c r="N1363" i="1"/>
  <c r="C1363" i="1"/>
  <c r="N1362" i="1"/>
  <c r="C1362" i="1"/>
  <c r="N1361" i="1"/>
  <c r="C1361" i="1"/>
  <c r="N1360" i="1"/>
  <c r="C1360" i="1"/>
  <c r="N1359" i="1"/>
  <c r="C1359" i="1"/>
  <c r="N1358" i="1"/>
  <c r="C1358" i="1"/>
  <c r="N1357" i="1"/>
  <c r="C1357" i="1"/>
  <c r="N1356" i="1"/>
  <c r="C1356" i="1"/>
  <c r="N1355" i="1"/>
  <c r="C1355" i="1"/>
  <c r="N1354" i="1"/>
  <c r="C1354" i="1"/>
  <c r="N1353" i="1"/>
  <c r="C1353" i="1"/>
  <c r="N1352" i="1"/>
  <c r="C1352" i="1"/>
  <c r="N1351" i="1"/>
  <c r="C1351" i="1"/>
  <c r="N1350" i="1"/>
  <c r="C1350" i="1"/>
  <c r="N1349" i="1"/>
  <c r="C1349" i="1"/>
  <c r="N1348" i="1"/>
  <c r="C1348" i="1"/>
  <c r="N1347" i="1"/>
  <c r="C1347" i="1"/>
  <c r="N1346" i="1"/>
  <c r="C1346" i="1"/>
  <c r="N1345" i="1"/>
  <c r="C1345" i="1"/>
  <c r="N1344" i="1"/>
  <c r="C1344" i="1"/>
  <c r="N1343" i="1"/>
  <c r="C1343" i="1"/>
  <c r="N1342" i="1"/>
  <c r="C1342" i="1"/>
  <c r="N1341" i="1"/>
  <c r="C1341" i="1"/>
  <c r="N1340" i="1"/>
  <c r="C1340" i="1"/>
  <c r="N1339" i="1"/>
  <c r="C1339" i="1"/>
  <c r="N1338" i="1"/>
  <c r="C1338" i="1"/>
  <c r="N1337" i="1"/>
  <c r="C1337" i="1"/>
  <c r="N1336" i="1"/>
  <c r="C1336" i="1"/>
  <c r="N1335" i="1"/>
  <c r="C1335" i="1"/>
  <c r="N1334" i="1"/>
  <c r="C1334" i="1"/>
  <c r="N1333" i="1"/>
  <c r="C1333" i="1"/>
  <c r="N1332" i="1"/>
  <c r="C1332" i="1"/>
  <c r="N1331" i="1"/>
  <c r="C1331" i="1"/>
  <c r="N1330" i="1"/>
  <c r="C1330" i="1"/>
  <c r="N1329" i="1"/>
  <c r="C1329" i="1"/>
  <c r="N1328" i="1"/>
  <c r="C1328" i="1"/>
  <c r="N1327" i="1"/>
  <c r="C1327" i="1"/>
  <c r="N1326" i="1"/>
  <c r="C1326" i="1"/>
  <c r="N1325" i="1"/>
  <c r="C1325" i="1"/>
  <c r="N1324" i="1"/>
  <c r="C1324" i="1"/>
  <c r="N1323" i="1"/>
  <c r="C1323" i="1"/>
  <c r="N1322" i="1"/>
  <c r="C1322" i="1"/>
  <c r="N1321" i="1"/>
  <c r="C1321" i="1"/>
  <c r="N1320" i="1"/>
  <c r="C1320" i="1"/>
  <c r="N1319" i="1"/>
  <c r="C1319" i="1"/>
  <c r="N1318" i="1"/>
  <c r="C1318" i="1"/>
  <c r="N1317" i="1"/>
  <c r="C1317" i="1"/>
  <c r="N1316" i="1"/>
  <c r="C1316" i="1"/>
  <c r="N1315" i="1"/>
  <c r="C1315" i="1"/>
  <c r="N1314" i="1"/>
  <c r="C1314" i="1"/>
  <c r="N1313" i="1"/>
  <c r="C1313" i="1"/>
  <c r="N1312" i="1"/>
  <c r="C1312" i="1"/>
  <c r="N1311" i="1"/>
  <c r="C1311" i="1"/>
  <c r="N1310" i="1"/>
  <c r="C1310" i="1"/>
  <c r="N1309" i="1"/>
  <c r="C1309" i="1"/>
  <c r="N1308" i="1"/>
  <c r="C1308" i="1"/>
  <c r="N1307" i="1"/>
  <c r="C1307" i="1"/>
  <c r="N1306" i="1"/>
  <c r="C1306" i="1"/>
  <c r="N1305" i="1"/>
  <c r="C1305" i="1"/>
  <c r="N1304" i="1"/>
  <c r="C1304" i="1"/>
  <c r="N1303" i="1"/>
  <c r="C1303" i="1"/>
  <c r="N1302" i="1"/>
  <c r="C1302" i="1"/>
  <c r="N1301" i="1"/>
  <c r="C1301" i="1"/>
  <c r="N1300" i="1"/>
  <c r="C1300" i="1"/>
  <c r="N1299" i="1"/>
  <c r="C1299" i="1"/>
  <c r="N1298" i="1"/>
  <c r="C1298" i="1"/>
  <c r="N1297" i="1"/>
  <c r="C1297" i="1"/>
  <c r="N1296" i="1"/>
  <c r="C1296" i="1"/>
  <c r="N1295" i="1"/>
  <c r="C1295" i="1"/>
  <c r="N1294" i="1"/>
  <c r="C1294" i="1"/>
  <c r="N1293" i="1"/>
  <c r="C1293" i="1"/>
  <c r="N1292" i="1"/>
  <c r="C1292" i="1"/>
  <c r="N1291" i="1"/>
  <c r="C1291" i="1"/>
  <c r="N1290" i="1"/>
  <c r="C1290" i="1"/>
  <c r="N1289" i="1"/>
  <c r="C1289" i="1"/>
  <c r="N1288" i="1"/>
  <c r="C1288" i="1"/>
  <c r="N1287" i="1"/>
  <c r="C1287" i="1"/>
  <c r="N1286" i="1"/>
  <c r="C1286" i="1"/>
  <c r="N1285" i="1"/>
  <c r="C1285" i="1"/>
  <c r="N1284" i="1"/>
  <c r="C1284" i="1"/>
  <c r="N1283" i="1"/>
  <c r="C1283" i="1"/>
  <c r="N1282" i="1"/>
  <c r="C1282" i="1"/>
  <c r="N1281" i="1"/>
  <c r="C1281" i="1"/>
  <c r="N1280" i="1"/>
  <c r="C1280" i="1"/>
  <c r="N1279" i="1"/>
  <c r="C1279" i="1"/>
  <c r="N1278" i="1"/>
  <c r="C1278" i="1"/>
  <c r="N1277" i="1"/>
  <c r="C1277" i="1"/>
  <c r="N1276" i="1"/>
  <c r="C1276" i="1"/>
  <c r="N1275" i="1"/>
  <c r="C1275" i="1"/>
  <c r="N1274" i="1"/>
  <c r="C1274" i="1"/>
  <c r="N1273" i="1"/>
  <c r="C1273" i="1"/>
  <c r="N1272" i="1"/>
  <c r="C1272" i="1"/>
  <c r="N1271" i="1"/>
  <c r="C1271" i="1"/>
  <c r="N1270" i="1"/>
  <c r="C1270" i="1"/>
  <c r="N1269" i="1"/>
  <c r="C1269" i="1"/>
  <c r="N1268" i="1"/>
  <c r="C1268" i="1"/>
  <c r="N1267" i="1"/>
  <c r="C1267" i="1"/>
  <c r="N1266" i="1"/>
  <c r="C1266" i="1"/>
  <c r="N1265" i="1"/>
  <c r="C1265" i="1"/>
  <c r="N1264" i="1"/>
  <c r="C1264" i="1"/>
  <c r="N1263" i="1"/>
  <c r="C1263" i="1"/>
  <c r="N1262" i="1"/>
  <c r="C1262" i="1"/>
  <c r="N1261" i="1"/>
  <c r="C1261" i="1"/>
  <c r="N1260" i="1"/>
  <c r="C1260" i="1"/>
  <c r="N1259" i="1"/>
  <c r="C1259" i="1"/>
  <c r="N1258" i="1"/>
  <c r="C1258" i="1"/>
  <c r="N1257" i="1"/>
  <c r="C1257" i="1"/>
  <c r="N1256" i="1"/>
  <c r="C1256" i="1"/>
  <c r="N1255" i="1"/>
  <c r="C1255" i="1"/>
  <c r="N1254" i="1"/>
  <c r="C1254" i="1"/>
  <c r="N1253" i="1"/>
  <c r="C1253" i="1"/>
  <c r="N1252" i="1"/>
  <c r="C1252" i="1"/>
  <c r="N1251" i="1"/>
  <c r="C1251" i="1"/>
  <c r="N1250" i="1"/>
  <c r="C1250" i="1"/>
  <c r="N1249" i="1"/>
  <c r="C1249" i="1"/>
  <c r="N1248" i="1"/>
  <c r="C1248" i="1"/>
  <c r="N1247" i="1"/>
  <c r="C1247" i="1"/>
  <c r="N1246" i="1"/>
  <c r="C1246" i="1"/>
  <c r="N1245" i="1"/>
  <c r="C1245" i="1"/>
  <c r="N1244" i="1"/>
  <c r="C1244" i="1"/>
  <c r="N1243" i="1"/>
  <c r="C1243" i="1"/>
  <c r="N1242" i="1"/>
  <c r="C1242" i="1"/>
  <c r="N1241" i="1"/>
  <c r="C1241" i="1"/>
  <c r="N1240" i="1"/>
  <c r="C1240" i="1"/>
  <c r="N1239" i="1"/>
  <c r="C1239" i="1"/>
  <c r="N1238" i="1"/>
  <c r="C1238" i="1"/>
  <c r="N1237" i="1"/>
  <c r="C1237" i="1"/>
  <c r="N1236" i="1"/>
  <c r="C1236" i="1"/>
  <c r="N1235" i="1"/>
  <c r="C1235" i="1"/>
  <c r="N1234" i="1"/>
  <c r="C1234" i="1"/>
  <c r="N1233" i="1"/>
  <c r="C1233" i="1"/>
  <c r="N1232" i="1"/>
  <c r="C1232" i="1"/>
  <c r="N1231" i="1"/>
  <c r="C1231" i="1"/>
  <c r="N1230" i="1"/>
  <c r="C1230" i="1"/>
  <c r="N1229" i="1"/>
  <c r="C1229" i="1"/>
  <c r="N1228" i="1"/>
  <c r="C1228" i="1"/>
  <c r="N1227" i="1"/>
  <c r="C1227" i="1"/>
  <c r="N1226" i="1"/>
  <c r="C1226" i="1"/>
  <c r="N1225" i="1"/>
  <c r="C1225" i="1"/>
  <c r="N1224" i="1"/>
  <c r="C1224" i="1"/>
  <c r="N1223" i="1"/>
  <c r="C1223" i="1"/>
  <c r="N1222" i="1"/>
  <c r="C1222" i="1"/>
  <c r="N1221" i="1"/>
  <c r="C1221" i="1"/>
  <c r="N1220" i="1"/>
  <c r="C1220" i="1"/>
  <c r="N1219" i="1"/>
  <c r="C1219" i="1"/>
  <c r="N1218" i="1"/>
  <c r="C1218" i="1"/>
  <c r="N1217" i="1"/>
  <c r="C1217" i="1"/>
  <c r="N1216" i="1"/>
  <c r="C1216" i="1"/>
  <c r="N1215" i="1"/>
  <c r="C1215" i="1"/>
  <c r="N1214" i="1"/>
  <c r="C1214" i="1"/>
  <c r="N1213" i="1"/>
  <c r="C1213" i="1"/>
  <c r="N1212" i="1"/>
  <c r="C1212" i="1"/>
  <c r="N1211" i="1"/>
  <c r="C1211" i="1"/>
  <c r="N1210" i="1"/>
  <c r="C1210" i="1"/>
  <c r="N1209" i="1"/>
  <c r="C1209" i="1"/>
  <c r="N1208" i="1"/>
  <c r="C1208" i="1"/>
  <c r="N1207" i="1"/>
  <c r="C1207" i="1"/>
  <c r="N1206" i="1"/>
  <c r="C1206" i="1"/>
  <c r="N1205" i="1"/>
  <c r="C1205" i="1"/>
  <c r="N1204" i="1"/>
  <c r="C1204" i="1"/>
  <c r="N1203" i="1"/>
  <c r="C1203" i="1"/>
  <c r="N1202" i="1"/>
  <c r="C1202" i="1"/>
  <c r="N1201" i="1"/>
  <c r="C1201" i="1"/>
  <c r="N1200" i="1"/>
  <c r="C1200" i="1"/>
  <c r="N1199" i="1"/>
  <c r="C1199" i="1"/>
  <c r="N1198" i="1"/>
  <c r="C1198" i="1"/>
  <c r="N1197" i="1"/>
  <c r="C1197" i="1"/>
  <c r="N1196" i="1"/>
  <c r="C1196" i="1"/>
  <c r="N1195" i="1"/>
  <c r="C1195" i="1"/>
  <c r="N1194" i="1"/>
  <c r="C1194" i="1"/>
  <c r="N1193" i="1"/>
  <c r="C1193" i="1"/>
  <c r="N1192" i="1"/>
  <c r="C1192" i="1"/>
  <c r="N1191" i="1"/>
  <c r="C1191" i="1"/>
  <c r="N1190" i="1"/>
  <c r="C1190" i="1"/>
  <c r="N1189" i="1"/>
  <c r="C1189" i="1"/>
  <c r="N1188" i="1"/>
  <c r="C1188" i="1"/>
  <c r="N1187" i="1"/>
  <c r="C1187" i="1"/>
  <c r="N1186" i="1"/>
  <c r="C1186" i="1"/>
  <c r="N1185" i="1"/>
  <c r="C1185" i="1"/>
  <c r="N1184" i="1"/>
  <c r="C1184" i="1"/>
  <c r="N1183" i="1"/>
  <c r="C1183" i="1"/>
  <c r="N1182" i="1"/>
  <c r="C1182" i="1"/>
  <c r="N1181" i="1"/>
  <c r="C1181" i="1"/>
  <c r="N1180" i="1"/>
  <c r="C1180" i="1"/>
  <c r="N1179" i="1"/>
  <c r="C1179" i="1"/>
  <c r="N1178" i="1"/>
  <c r="C1178" i="1"/>
  <c r="N1177" i="1"/>
  <c r="C1177" i="1"/>
  <c r="N1176" i="1"/>
  <c r="C1176" i="1"/>
  <c r="N1175" i="1"/>
  <c r="C1175" i="1"/>
  <c r="N1174" i="1"/>
  <c r="C1174" i="1"/>
  <c r="N1173" i="1"/>
  <c r="C1173" i="1"/>
  <c r="N1172" i="1"/>
  <c r="C1172" i="1"/>
  <c r="N1171" i="1"/>
  <c r="C1171" i="1"/>
  <c r="N1170" i="1"/>
  <c r="C1170" i="1"/>
  <c r="N1169" i="1"/>
  <c r="C1169" i="1"/>
  <c r="N1168" i="1"/>
  <c r="C1168" i="1"/>
  <c r="N1167" i="1"/>
  <c r="C1167" i="1"/>
  <c r="N1166" i="1"/>
  <c r="C1166" i="1"/>
  <c r="N1165" i="1"/>
  <c r="C1165" i="1"/>
  <c r="N1164" i="1"/>
  <c r="C1164" i="1"/>
  <c r="N1163" i="1"/>
  <c r="C1163" i="1"/>
  <c r="N1162" i="1"/>
  <c r="C1162" i="1"/>
  <c r="N1161" i="1"/>
  <c r="C1161" i="1"/>
  <c r="N1160" i="1"/>
  <c r="C1160" i="1"/>
  <c r="N1159" i="1"/>
  <c r="C1159" i="1"/>
  <c r="N1158" i="1"/>
  <c r="C1158" i="1"/>
  <c r="N1157" i="1"/>
  <c r="C1157" i="1"/>
  <c r="N1156" i="1"/>
  <c r="C1156" i="1"/>
  <c r="N1155" i="1"/>
  <c r="C1155" i="1"/>
  <c r="N1154" i="1"/>
  <c r="C1154" i="1"/>
  <c r="N1153" i="1"/>
  <c r="C1153" i="1"/>
  <c r="N1152" i="1"/>
  <c r="C1152" i="1"/>
  <c r="N1151" i="1"/>
  <c r="C1151" i="1"/>
  <c r="N1150" i="1"/>
  <c r="C1150" i="1"/>
  <c r="N1149" i="1"/>
  <c r="C1149" i="1"/>
  <c r="N1148" i="1"/>
  <c r="C1148" i="1"/>
  <c r="N1147" i="1"/>
  <c r="C1147" i="1"/>
  <c r="N1146" i="1"/>
  <c r="C1146" i="1"/>
  <c r="N1145" i="1"/>
  <c r="C1145" i="1"/>
  <c r="N1144" i="1"/>
  <c r="C1144" i="1"/>
  <c r="N1143" i="1"/>
  <c r="C1143" i="1"/>
  <c r="N1142" i="1"/>
  <c r="C1142" i="1"/>
  <c r="N1141" i="1"/>
  <c r="C1141" i="1"/>
  <c r="N1140" i="1"/>
  <c r="C1140" i="1"/>
  <c r="N1139" i="1"/>
  <c r="C1139" i="1"/>
  <c r="N1138" i="1"/>
  <c r="C1138" i="1"/>
  <c r="N1137" i="1"/>
  <c r="C1137" i="1"/>
  <c r="N1136" i="1"/>
  <c r="C1136" i="1"/>
  <c r="N1135" i="1"/>
  <c r="C1135" i="1"/>
  <c r="N1134" i="1"/>
  <c r="C1134" i="1"/>
  <c r="N1133" i="1"/>
  <c r="C1133" i="1"/>
  <c r="N1132" i="1"/>
  <c r="C1132" i="1"/>
  <c r="N1131" i="1"/>
  <c r="C1131" i="1"/>
  <c r="N1130" i="1"/>
  <c r="C1130" i="1"/>
  <c r="N1129" i="1"/>
  <c r="C1129" i="1"/>
  <c r="N1128" i="1"/>
  <c r="C1128" i="1"/>
  <c r="N1127" i="1"/>
  <c r="C1127" i="1"/>
  <c r="N1126" i="1"/>
  <c r="C1126" i="1"/>
  <c r="N1125" i="1"/>
  <c r="C1125" i="1"/>
  <c r="N1124" i="1"/>
  <c r="C1124" i="1"/>
  <c r="N1123" i="1"/>
  <c r="C1123" i="1"/>
  <c r="N1122" i="1"/>
  <c r="C1122" i="1"/>
  <c r="N1121" i="1"/>
  <c r="C1121" i="1"/>
  <c r="N1120" i="1"/>
  <c r="C1120" i="1"/>
  <c r="N1119" i="1"/>
  <c r="C1119" i="1"/>
  <c r="N1118" i="1"/>
  <c r="C1118" i="1"/>
  <c r="N1117" i="1"/>
  <c r="C1117" i="1"/>
  <c r="N1116" i="1"/>
  <c r="C1116" i="1"/>
  <c r="N1115" i="1"/>
  <c r="C1115" i="1"/>
  <c r="N1114" i="1"/>
  <c r="C1114" i="1"/>
  <c r="N1113" i="1"/>
  <c r="C1113" i="1"/>
  <c r="N1112" i="1"/>
  <c r="C1112" i="1"/>
  <c r="N1111" i="1"/>
  <c r="C1111" i="1"/>
  <c r="N1110" i="1"/>
  <c r="C1110" i="1"/>
  <c r="N1109" i="1"/>
  <c r="C1109" i="1"/>
  <c r="N1108" i="1"/>
  <c r="C1108" i="1"/>
  <c r="N1107" i="1"/>
  <c r="C1107" i="1"/>
  <c r="N1106" i="1"/>
  <c r="C1106" i="1"/>
  <c r="N1105" i="1"/>
  <c r="C1105" i="1"/>
  <c r="N1104" i="1"/>
  <c r="C1104" i="1"/>
  <c r="N1103" i="1"/>
  <c r="C1103" i="1"/>
  <c r="N1102" i="1"/>
  <c r="C1102" i="1"/>
  <c r="N1101" i="1"/>
  <c r="C1101" i="1"/>
  <c r="N1100" i="1"/>
  <c r="C1100" i="1"/>
  <c r="N1099" i="1"/>
  <c r="C1099" i="1"/>
  <c r="N1098" i="1"/>
  <c r="C1098" i="1"/>
  <c r="N1097" i="1"/>
  <c r="C1097" i="1"/>
  <c r="N1096" i="1"/>
  <c r="C1096" i="1"/>
  <c r="N1095" i="1"/>
  <c r="C1095" i="1"/>
  <c r="N1094" i="1"/>
  <c r="C1094" i="1"/>
  <c r="N1093" i="1"/>
  <c r="C1093" i="1"/>
  <c r="N1092" i="1"/>
  <c r="C1092" i="1"/>
  <c r="N1091" i="1"/>
  <c r="C1091" i="1"/>
  <c r="N1090" i="1"/>
  <c r="C1090" i="1"/>
  <c r="N1089" i="1"/>
  <c r="C1089" i="1"/>
  <c r="N1088" i="1"/>
  <c r="C1088" i="1"/>
  <c r="N1087" i="1"/>
  <c r="C1087" i="1"/>
  <c r="N1086" i="1"/>
  <c r="C1086" i="1"/>
  <c r="N1085" i="1"/>
  <c r="C1085" i="1"/>
  <c r="N1084" i="1"/>
  <c r="C1084" i="1"/>
  <c r="N1083" i="1"/>
  <c r="C1083" i="1"/>
  <c r="N1082" i="1"/>
  <c r="C1082" i="1"/>
  <c r="N1081" i="1"/>
  <c r="C1081" i="1"/>
  <c r="N1080" i="1"/>
  <c r="C1080" i="1"/>
  <c r="N1079" i="1"/>
  <c r="C1079" i="1"/>
  <c r="N1078" i="1"/>
  <c r="C1078" i="1"/>
  <c r="N1077" i="1"/>
  <c r="C1077" i="1"/>
  <c r="N1076" i="1"/>
  <c r="C1076" i="1"/>
  <c r="N1075" i="1"/>
  <c r="C1075" i="1"/>
  <c r="N1074" i="1"/>
  <c r="C1074" i="1"/>
  <c r="N1073" i="1"/>
  <c r="C1073" i="1"/>
  <c r="N1072" i="1"/>
  <c r="C1072" i="1"/>
  <c r="N1071" i="1"/>
  <c r="C1071" i="1"/>
  <c r="N1070" i="1"/>
  <c r="C1070" i="1"/>
  <c r="N1069" i="1"/>
  <c r="C1069" i="1"/>
  <c r="N1068" i="1"/>
  <c r="C1068" i="1"/>
  <c r="N1067" i="1"/>
  <c r="C1067" i="1"/>
  <c r="N1066" i="1"/>
  <c r="C1066" i="1"/>
  <c r="N1065" i="1"/>
  <c r="C1065" i="1"/>
  <c r="N1064" i="1"/>
  <c r="C1064" i="1"/>
  <c r="N1063" i="1"/>
  <c r="C1063" i="1"/>
  <c r="N1062" i="1"/>
  <c r="C1062" i="1"/>
  <c r="N1061" i="1"/>
  <c r="C1061" i="1"/>
  <c r="N1060" i="1"/>
  <c r="C1060" i="1"/>
  <c r="N1059" i="1"/>
  <c r="C1059" i="1"/>
  <c r="N1058" i="1"/>
  <c r="C1058" i="1"/>
  <c r="N1057" i="1"/>
  <c r="C1057" i="1"/>
  <c r="N1056" i="1"/>
  <c r="C1056" i="1"/>
  <c r="N1055" i="1"/>
  <c r="C1055" i="1"/>
  <c r="N1054" i="1"/>
  <c r="C1054" i="1"/>
  <c r="N1053" i="1"/>
  <c r="C1053" i="1"/>
  <c r="N1052" i="1"/>
  <c r="C1052" i="1"/>
  <c r="N1051" i="1"/>
  <c r="C1051" i="1"/>
  <c r="N1050" i="1"/>
  <c r="C1050" i="1"/>
  <c r="N1049" i="1"/>
  <c r="C1049" i="1"/>
  <c r="N1048" i="1"/>
  <c r="C1048" i="1"/>
  <c r="N1047" i="1"/>
  <c r="C1047" i="1"/>
  <c r="N1046" i="1"/>
  <c r="C1046" i="1"/>
  <c r="N1045" i="1"/>
  <c r="C1045" i="1"/>
  <c r="N1044" i="1"/>
  <c r="C1044" i="1"/>
  <c r="N1043" i="1"/>
  <c r="C1043" i="1"/>
  <c r="N1042" i="1"/>
  <c r="C1042" i="1"/>
  <c r="N1041" i="1"/>
  <c r="C1041" i="1"/>
  <c r="N1040" i="1"/>
  <c r="C1040" i="1"/>
  <c r="N1039" i="1"/>
  <c r="C1039" i="1"/>
  <c r="N1038" i="1"/>
  <c r="C1038" i="1"/>
  <c r="N1037" i="1"/>
  <c r="C1037" i="1"/>
  <c r="N1036" i="1"/>
  <c r="C1036" i="1"/>
  <c r="N1035" i="1"/>
  <c r="C1035" i="1"/>
  <c r="N1034" i="1"/>
  <c r="C1034" i="1"/>
  <c r="N1033" i="1"/>
  <c r="C1033" i="1"/>
  <c r="N1032" i="1"/>
  <c r="C1032" i="1"/>
  <c r="N1031" i="1"/>
  <c r="C1031" i="1"/>
  <c r="N1030" i="1"/>
  <c r="C1030" i="1"/>
  <c r="N1029" i="1"/>
  <c r="C1029" i="1"/>
  <c r="N1028" i="1"/>
  <c r="C1028" i="1"/>
  <c r="N1027" i="1"/>
  <c r="C1027" i="1"/>
  <c r="N1026" i="1"/>
  <c r="C1026" i="1"/>
  <c r="N1025" i="1"/>
  <c r="C1025" i="1"/>
  <c r="N1024" i="1"/>
  <c r="C1024" i="1"/>
  <c r="N1023" i="1"/>
  <c r="C1023" i="1"/>
  <c r="N1022" i="1"/>
  <c r="C1022" i="1"/>
  <c r="N1021" i="1"/>
  <c r="C1021" i="1"/>
  <c r="N1020" i="1"/>
  <c r="C1020" i="1"/>
  <c r="N1019" i="1"/>
  <c r="C1019" i="1"/>
  <c r="N1018" i="1"/>
  <c r="C1018" i="1"/>
  <c r="N1017" i="1"/>
  <c r="C1017" i="1"/>
  <c r="N1016" i="1"/>
  <c r="C1016" i="1"/>
  <c r="N1015" i="1"/>
  <c r="C1015" i="1"/>
  <c r="N1014" i="1"/>
  <c r="C1014" i="1"/>
  <c r="N1013" i="1"/>
  <c r="C1013" i="1"/>
  <c r="N1012" i="1"/>
  <c r="C1012" i="1"/>
  <c r="N1011" i="1"/>
  <c r="C1011" i="1"/>
  <c r="N1010" i="1"/>
  <c r="C1010" i="1"/>
  <c r="N1009" i="1"/>
  <c r="C1009" i="1"/>
  <c r="N1008" i="1"/>
  <c r="C1008" i="1"/>
  <c r="N1007" i="1"/>
  <c r="C1007" i="1"/>
  <c r="N1006" i="1"/>
  <c r="C1006" i="1"/>
  <c r="N1005" i="1"/>
  <c r="C1005" i="1"/>
  <c r="N1004" i="1"/>
  <c r="C1004" i="1"/>
  <c r="N1003" i="1"/>
  <c r="C1003" i="1"/>
  <c r="N1002" i="1"/>
  <c r="C1002" i="1"/>
  <c r="N1001" i="1"/>
  <c r="C1001" i="1"/>
  <c r="N1000" i="1"/>
  <c r="C1000" i="1"/>
  <c r="N999" i="1"/>
  <c r="C999" i="1"/>
  <c r="N998" i="1"/>
  <c r="C998" i="1"/>
  <c r="N997" i="1"/>
  <c r="C997" i="1"/>
  <c r="N996" i="1"/>
  <c r="C996" i="1"/>
  <c r="N995" i="1"/>
  <c r="C995" i="1"/>
  <c r="N994" i="1"/>
  <c r="C994" i="1"/>
  <c r="N993" i="1"/>
  <c r="C993" i="1"/>
  <c r="N992" i="1"/>
  <c r="C992" i="1"/>
  <c r="N991" i="1"/>
  <c r="C991" i="1"/>
  <c r="N990" i="1"/>
  <c r="C990" i="1"/>
  <c r="N989" i="1"/>
  <c r="C989" i="1"/>
  <c r="N988" i="1"/>
  <c r="C988" i="1"/>
  <c r="N987" i="1"/>
  <c r="C987" i="1"/>
  <c r="N986" i="1"/>
  <c r="C986" i="1"/>
  <c r="N985" i="1"/>
  <c r="C985" i="1"/>
  <c r="N984" i="1"/>
  <c r="C984" i="1"/>
  <c r="N983" i="1"/>
  <c r="C983" i="1"/>
  <c r="N982" i="1"/>
  <c r="C982" i="1"/>
  <c r="N981" i="1"/>
  <c r="C981" i="1"/>
  <c r="N980" i="1"/>
  <c r="C980" i="1"/>
  <c r="N979" i="1"/>
  <c r="C979" i="1"/>
  <c r="N978" i="1"/>
  <c r="C978" i="1"/>
  <c r="N977" i="1"/>
  <c r="C977" i="1"/>
  <c r="N976" i="1"/>
  <c r="C976" i="1"/>
  <c r="N975" i="1"/>
  <c r="C975" i="1"/>
  <c r="N974" i="1"/>
  <c r="C974" i="1"/>
  <c r="N973" i="1"/>
  <c r="C973" i="1"/>
  <c r="N972" i="1"/>
  <c r="C972" i="1"/>
  <c r="N971" i="1"/>
  <c r="C971" i="1"/>
  <c r="N970" i="1"/>
  <c r="C970" i="1"/>
  <c r="N969" i="1"/>
  <c r="C969" i="1"/>
  <c r="N968" i="1"/>
  <c r="C968" i="1"/>
  <c r="N967" i="1"/>
  <c r="C967" i="1"/>
  <c r="N966" i="1"/>
  <c r="C966" i="1"/>
  <c r="N965" i="1"/>
  <c r="C965" i="1"/>
  <c r="N964" i="1"/>
  <c r="C964" i="1"/>
  <c r="N963" i="1"/>
  <c r="C963" i="1"/>
  <c r="N962" i="1"/>
  <c r="C962" i="1"/>
  <c r="N961" i="1"/>
  <c r="C961" i="1"/>
  <c r="N960" i="1"/>
  <c r="C960" i="1"/>
  <c r="N959" i="1"/>
  <c r="C959" i="1"/>
  <c r="N958" i="1"/>
  <c r="C958" i="1"/>
  <c r="N957" i="1"/>
  <c r="C957" i="1"/>
  <c r="N956" i="1"/>
  <c r="C956" i="1"/>
  <c r="N955" i="1"/>
  <c r="C955" i="1"/>
  <c r="N954" i="1"/>
  <c r="C954" i="1"/>
  <c r="N953" i="1"/>
  <c r="C953" i="1"/>
  <c r="N952" i="1"/>
  <c r="C952" i="1"/>
  <c r="N951" i="1"/>
  <c r="C951" i="1"/>
  <c r="N950" i="1"/>
  <c r="C950" i="1"/>
  <c r="N949" i="1"/>
  <c r="C949" i="1"/>
  <c r="N948" i="1"/>
  <c r="C948" i="1"/>
  <c r="N947" i="1"/>
  <c r="C947" i="1"/>
  <c r="N946" i="1"/>
  <c r="C946" i="1"/>
  <c r="N945" i="1"/>
  <c r="C945" i="1"/>
  <c r="N944" i="1"/>
  <c r="C944" i="1"/>
  <c r="N943" i="1"/>
  <c r="C943" i="1"/>
  <c r="N942" i="1"/>
  <c r="C942" i="1"/>
  <c r="N941" i="1"/>
  <c r="C941" i="1"/>
  <c r="N940" i="1"/>
  <c r="C940" i="1"/>
  <c r="N939" i="1"/>
  <c r="C939" i="1"/>
  <c r="N938" i="1"/>
  <c r="C938" i="1"/>
  <c r="N937" i="1"/>
  <c r="C937" i="1"/>
  <c r="N936" i="1"/>
  <c r="C936" i="1"/>
  <c r="N935" i="1"/>
  <c r="C935" i="1"/>
  <c r="N934" i="1"/>
  <c r="C934" i="1"/>
  <c r="N933" i="1"/>
  <c r="C933" i="1"/>
  <c r="N932" i="1"/>
  <c r="C932" i="1"/>
  <c r="N931" i="1"/>
  <c r="C931" i="1"/>
  <c r="N930" i="1"/>
  <c r="C930" i="1"/>
  <c r="N929" i="1"/>
  <c r="C929" i="1"/>
  <c r="N928" i="1"/>
  <c r="C928" i="1"/>
  <c r="N927" i="1"/>
  <c r="C927" i="1"/>
  <c r="N926" i="1"/>
  <c r="C926" i="1"/>
  <c r="N925" i="1"/>
  <c r="C925" i="1"/>
  <c r="N924" i="1"/>
  <c r="C924" i="1"/>
  <c r="N923" i="1"/>
  <c r="C923" i="1"/>
  <c r="N922" i="1"/>
  <c r="C922" i="1"/>
  <c r="N921" i="1"/>
  <c r="C921" i="1"/>
  <c r="N920" i="1"/>
  <c r="C920" i="1"/>
  <c r="N919" i="1"/>
  <c r="C919" i="1"/>
  <c r="N918" i="1"/>
  <c r="C918" i="1"/>
  <c r="N917" i="1"/>
  <c r="C917" i="1"/>
  <c r="N916" i="1"/>
  <c r="C916" i="1"/>
  <c r="N915" i="1"/>
  <c r="C915" i="1"/>
  <c r="N914" i="1"/>
  <c r="C914" i="1"/>
  <c r="N913" i="1"/>
  <c r="C913" i="1"/>
  <c r="N912" i="1"/>
  <c r="C912" i="1"/>
  <c r="N911" i="1"/>
  <c r="C911" i="1"/>
  <c r="N910" i="1"/>
  <c r="C910" i="1"/>
  <c r="N909" i="1"/>
  <c r="C909" i="1"/>
  <c r="N908" i="1"/>
  <c r="C908" i="1"/>
  <c r="N907" i="1"/>
  <c r="C907" i="1"/>
  <c r="N906" i="1"/>
  <c r="C906" i="1"/>
  <c r="N905" i="1"/>
  <c r="C905" i="1"/>
  <c r="N904" i="1"/>
  <c r="C904" i="1"/>
  <c r="N903" i="1"/>
  <c r="C903" i="1"/>
  <c r="N902" i="1"/>
  <c r="C902" i="1"/>
  <c r="N901" i="1"/>
  <c r="C901" i="1"/>
  <c r="N900" i="1"/>
  <c r="C900" i="1"/>
  <c r="N899" i="1"/>
  <c r="C899" i="1"/>
  <c r="N898" i="1"/>
  <c r="C898" i="1"/>
  <c r="N897" i="1"/>
  <c r="C897" i="1"/>
  <c r="N896" i="1"/>
  <c r="C896" i="1"/>
  <c r="N895" i="1"/>
  <c r="C895" i="1"/>
  <c r="N894" i="1"/>
  <c r="C894" i="1"/>
  <c r="N893" i="1"/>
  <c r="C893" i="1"/>
  <c r="N892" i="1"/>
  <c r="C892" i="1"/>
  <c r="N891" i="1"/>
  <c r="C891" i="1"/>
  <c r="N890" i="1"/>
  <c r="C890" i="1"/>
  <c r="N889" i="1"/>
  <c r="C889" i="1"/>
  <c r="N888" i="1"/>
  <c r="C888" i="1"/>
  <c r="N887" i="1"/>
  <c r="C887" i="1"/>
  <c r="N886" i="1"/>
  <c r="C886" i="1"/>
  <c r="N885" i="1"/>
  <c r="C885" i="1"/>
  <c r="N884" i="1"/>
  <c r="C884" i="1"/>
  <c r="N883" i="1"/>
  <c r="C883" i="1"/>
  <c r="N882" i="1"/>
  <c r="C882" i="1"/>
  <c r="N881" i="1"/>
  <c r="C881" i="1"/>
  <c r="N880" i="1"/>
  <c r="C880" i="1"/>
  <c r="N879" i="1"/>
  <c r="C879" i="1"/>
  <c r="N878" i="1"/>
  <c r="C878" i="1"/>
  <c r="N877" i="1"/>
  <c r="C877" i="1"/>
  <c r="N876" i="1"/>
  <c r="C876" i="1"/>
  <c r="N875" i="1"/>
  <c r="C875" i="1"/>
  <c r="N874" i="1"/>
  <c r="C874" i="1"/>
  <c r="N873" i="1"/>
  <c r="C873" i="1"/>
  <c r="N872" i="1"/>
  <c r="C872" i="1"/>
  <c r="N871" i="1"/>
  <c r="C871" i="1"/>
  <c r="N870" i="1"/>
  <c r="C870" i="1"/>
  <c r="N869" i="1"/>
  <c r="C869" i="1"/>
  <c r="N868" i="1"/>
  <c r="C868" i="1"/>
  <c r="N867" i="1"/>
  <c r="C867" i="1"/>
  <c r="N866" i="1"/>
  <c r="C866" i="1"/>
  <c r="N865" i="1"/>
  <c r="C865" i="1"/>
  <c r="N864" i="1"/>
  <c r="C864" i="1"/>
  <c r="N863" i="1"/>
  <c r="C863" i="1"/>
  <c r="N862" i="1"/>
  <c r="C862" i="1"/>
  <c r="N861" i="1"/>
  <c r="C861" i="1"/>
  <c r="N860" i="1"/>
  <c r="C860" i="1"/>
  <c r="N859" i="1"/>
  <c r="C859" i="1"/>
  <c r="N858" i="1"/>
  <c r="C858" i="1"/>
  <c r="N857" i="1"/>
  <c r="C857" i="1"/>
  <c r="N856" i="1"/>
  <c r="C856" i="1"/>
  <c r="N855" i="1"/>
  <c r="C855" i="1"/>
  <c r="N854" i="1"/>
  <c r="C854" i="1"/>
  <c r="N853" i="1"/>
  <c r="C853" i="1"/>
  <c r="N852" i="1"/>
  <c r="C852" i="1"/>
  <c r="N851" i="1"/>
  <c r="C851" i="1"/>
  <c r="N850" i="1"/>
  <c r="C850" i="1"/>
  <c r="N849" i="1"/>
  <c r="C849" i="1"/>
  <c r="N848" i="1"/>
  <c r="C848" i="1"/>
  <c r="N847" i="1"/>
  <c r="C847" i="1"/>
  <c r="N846" i="1"/>
  <c r="C846" i="1"/>
  <c r="N845" i="1"/>
  <c r="C845" i="1"/>
  <c r="N844" i="1"/>
  <c r="C844" i="1"/>
  <c r="N843" i="1"/>
  <c r="C843" i="1"/>
  <c r="N842" i="1"/>
  <c r="C842" i="1"/>
  <c r="N841" i="1"/>
  <c r="C841" i="1"/>
  <c r="N840" i="1"/>
  <c r="C840" i="1"/>
  <c r="N839" i="1"/>
  <c r="C839" i="1"/>
  <c r="N838" i="1"/>
  <c r="C838" i="1"/>
  <c r="N837" i="1"/>
  <c r="C837" i="1"/>
  <c r="N836" i="1"/>
  <c r="C836" i="1"/>
  <c r="N835" i="1"/>
  <c r="C835" i="1"/>
  <c r="N834" i="1"/>
  <c r="C834" i="1"/>
  <c r="N833" i="1"/>
  <c r="C833" i="1"/>
  <c r="N832" i="1"/>
  <c r="C832" i="1"/>
  <c r="N831" i="1"/>
  <c r="C831" i="1"/>
  <c r="N830" i="1"/>
  <c r="C830" i="1"/>
  <c r="N829" i="1"/>
  <c r="C829" i="1"/>
  <c r="N828" i="1"/>
  <c r="C828" i="1"/>
  <c r="N827" i="1"/>
  <c r="C827" i="1"/>
  <c r="N826" i="1"/>
  <c r="C826" i="1"/>
  <c r="N825" i="1"/>
  <c r="C825" i="1"/>
  <c r="N824" i="1"/>
  <c r="C824" i="1"/>
  <c r="N823" i="1"/>
  <c r="C823" i="1"/>
  <c r="N822" i="1"/>
  <c r="C822" i="1"/>
  <c r="N821" i="1"/>
  <c r="C821" i="1"/>
  <c r="N820" i="1"/>
  <c r="C820" i="1"/>
  <c r="N819" i="1"/>
  <c r="C819" i="1"/>
  <c r="N818" i="1"/>
  <c r="C818" i="1"/>
  <c r="N817" i="1"/>
  <c r="C817" i="1"/>
  <c r="N816" i="1"/>
  <c r="C816" i="1"/>
  <c r="N815" i="1"/>
  <c r="C815" i="1"/>
  <c r="N814" i="1"/>
  <c r="C814" i="1"/>
  <c r="N813" i="1"/>
  <c r="C813" i="1"/>
  <c r="N812" i="1"/>
  <c r="C812" i="1"/>
  <c r="N811" i="1"/>
  <c r="C811" i="1"/>
  <c r="N810" i="1"/>
  <c r="C810" i="1"/>
  <c r="N809" i="1"/>
  <c r="C809" i="1"/>
  <c r="N808" i="1"/>
  <c r="C808" i="1"/>
  <c r="N807" i="1"/>
  <c r="C807" i="1"/>
  <c r="N806" i="1"/>
  <c r="C806" i="1"/>
  <c r="N805" i="1"/>
  <c r="C805" i="1"/>
  <c r="N804" i="1"/>
  <c r="C804" i="1"/>
  <c r="N803" i="1"/>
  <c r="C803" i="1"/>
  <c r="N802" i="1"/>
  <c r="C802" i="1"/>
  <c r="N801" i="1"/>
  <c r="C801" i="1"/>
  <c r="N800" i="1"/>
  <c r="C800" i="1"/>
  <c r="N799" i="1"/>
  <c r="C799" i="1"/>
  <c r="N798" i="1"/>
  <c r="C798" i="1"/>
  <c r="N797" i="1"/>
  <c r="C797" i="1"/>
  <c r="N796" i="1"/>
  <c r="C796" i="1"/>
  <c r="N795" i="1"/>
  <c r="C795" i="1"/>
  <c r="N794" i="1"/>
  <c r="C794" i="1"/>
  <c r="N793" i="1"/>
  <c r="C793" i="1"/>
  <c r="N792" i="1"/>
  <c r="C792" i="1"/>
  <c r="N791" i="1"/>
  <c r="C791" i="1"/>
  <c r="N790" i="1"/>
  <c r="C790" i="1"/>
  <c r="N789" i="1"/>
  <c r="C789" i="1"/>
  <c r="N788" i="1"/>
  <c r="C788" i="1"/>
  <c r="N787" i="1"/>
  <c r="C787" i="1"/>
  <c r="N786" i="1"/>
  <c r="C786" i="1"/>
  <c r="N785" i="1"/>
  <c r="C785" i="1"/>
  <c r="N784" i="1"/>
  <c r="C784" i="1"/>
  <c r="N783" i="1"/>
  <c r="C783" i="1"/>
  <c r="N782" i="1"/>
  <c r="C782" i="1"/>
  <c r="N781" i="1"/>
  <c r="C781" i="1"/>
  <c r="N780" i="1"/>
  <c r="C780" i="1"/>
  <c r="N779" i="1"/>
  <c r="C779" i="1"/>
  <c r="N778" i="1"/>
  <c r="C778" i="1"/>
  <c r="N777" i="1"/>
  <c r="C777" i="1"/>
  <c r="N776" i="1"/>
  <c r="C776" i="1"/>
  <c r="N775" i="1"/>
  <c r="C775" i="1"/>
  <c r="N774" i="1"/>
  <c r="C774" i="1"/>
  <c r="N773" i="1"/>
  <c r="C773" i="1"/>
  <c r="N772" i="1"/>
  <c r="C772" i="1"/>
  <c r="N771" i="1"/>
  <c r="C771" i="1"/>
  <c r="N770" i="1"/>
  <c r="C770" i="1"/>
  <c r="N769" i="1"/>
  <c r="C769" i="1"/>
  <c r="N768" i="1"/>
  <c r="C768" i="1"/>
  <c r="N767" i="1"/>
  <c r="C767" i="1"/>
  <c r="N766" i="1"/>
  <c r="C766" i="1"/>
  <c r="N765" i="1"/>
  <c r="C765" i="1"/>
  <c r="N764" i="1"/>
  <c r="C764" i="1"/>
  <c r="N763" i="1"/>
  <c r="C763" i="1"/>
  <c r="N762" i="1"/>
  <c r="C762" i="1"/>
  <c r="N761" i="1"/>
  <c r="C761" i="1"/>
  <c r="N760" i="1"/>
  <c r="C760" i="1"/>
  <c r="N759" i="1"/>
  <c r="C759" i="1"/>
  <c r="N758" i="1"/>
  <c r="C758" i="1"/>
  <c r="N757" i="1"/>
  <c r="C757" i="1"/>
  <c r="N756" i="1"/>
  <c r="C756" i="1"/>
  <c r="N755" i="1"/>
  <c r="C755" i="1"/>
  <c r="N754" i="1"/>
  <c r="C754" i="1"/>
  <c r="N753" i="1"/>
  <c r="C753" i="1"/>
  <c r="N752" i="1"/>
  <c r="C752" i="1"/>
  <c r="N751" i="1"/>
  <c r="C751" i="1"/>
  <c r="N750" i="1"/>
  <c r="C750" i="1"/>
  <c r="N749" i="1"/>
  <c r="C749" i="1"/>
  <c r="N748" i="1"/>
  <c r="C748" i="1"/>
  <c r="N747" i="1"/>
  <c r="C747" i="1"/>
  <c r="N746" i="1"/>
  <c r="C746" i="1"/>
  <c r="N745" i="1"/>
  <c r="C745" i="1"/>
  <c r="N744" i="1"/>
  <c r="C744" i="1"/>
  <c r="N743" i="1"/>
  <c r="C743" i="1"/>
  <c r="N742" i="1"/>
  <c r="C742" i="1"/>
  <c r="N741" i="1"/>
  <c r="C741" i="1"/>
  <c r="N740" i="1"/>
  <c r="C740" i="1"/>
  <c r="N739" i="1"/>
  <c r="C739" i="1"/>
  <c r="N738" i="1"/>
  <c r="C738" i="1"/>
  <c r="N737" i="1"/>
  <c r="C737" i="1"/>
  <c r="N736" i="1"/>
  <c r="C736" i="1"/>
  <c r="N735" i="1"/>
  <c r="C735" i="1"/>
  <c r="N734" i="1"/>
  <c r="C734" i="1"/>
  <c r="N733" i="1"/>
  <c r="C733" i="1"/>
  <c r="N732" i="1"/>
  <c r="C732" i="1"/>
  <c r="N731" i="1"/>
  <c r="C731" i="1"/>
  <c r="N730" i="1"/>
  <c r="C730" i="1"/>
  <c r="N729" i="1"/>
  <c r="C729" i="1"/>
  <c r="N728" i="1"/>
  <c r="C728" i="1"/>
  <c r="N727" i="1"/>
  <c r="C727" i="1"/>
  <c r="N726" i="1"/>
  <c r="C726" i="1"/>
  <c r="N725" i="1"/>
  <c r="C725" i="1"/>
  <c r="N724" i="1"/>
  <c r="C724" i="1"/>
  <c r="N723" i="1"/>
  <c r="C723" i="1"/>
  <c r="N722" i="1"/>
  <c r="C722" i="1"/>
  <c r="N721" i="1"/>
  <c r="C721" i="1"/>
  <c r="N720" i="1"/>
  <c r="C720" i="1"/>
  <c r="N719" i="1"/>
  <c r="C719" i="1"/>
  <c r="N718" i="1"/>
  <c r="C718" i="1"/>
  <c r="N717" i="1"/>
  <c r="C717" i="1"/>
  <c r="N716" i="1"/>
  <c r="C716" i="1"/>
  <c r="N715" i="1"/>
  <c r="C715" i="1"/>
  <c r="N714" i="1"/>
  <c r="C714" i="1"/>
  <c r="N713" i="1"/>
  <c r="C713" i="1"/>
  <c r="N712" i="1"/>
  <c r="C712" i="1"/>
  <c r="N711" i="1"/>
  <c r="C711" i="1"/>
  <c r="N710" i="1"/>
  <c r="C710" i="1"/>
  <c r="N709" i="1"/>
  <c r="C709" i="1"/>
  <c r="N708" i="1"/>
  <c r="C708" i="1"/>
  <c r="N707" i="1"/>
  <c r="C707" i="1"/>
  <c r="N706" i="1"/>
  <c r="C706" i="1"/>
  <c r="N705" i="1"/>
  <c r="C705" i="1"/>
  <c r="N704" i="1"/>
  <c r="C704" i="1"/>
  <c r="N703" i="1"/>
  <c r="C703" i="1"/>
  <c r="N702" i="1"/>
  <c r="C702" i="1"/>
  <c r="N701" i="1"/>
  <c r="C701" i="1"/>
  <c r="N700" i="1"/>
  <c r="C700" i="1"/>
  <c r="N699" i="1"/>
  <c r="C699" i="1"/>
  <c r="N698" i="1"/>
  <c r="C698" i="1"/>
  <c r="N697" i="1"/>
  <c r="C697" i="1"/>
  <c r="N696" i="1"/>
  <c r="C696" i="1"/>
  <c r="N695" i="1"/>
  <c r="C695" i="1"/>
  <c r="N694" i="1"/>
  <c r="C694" i="1"/>
  <c r="N693" i="1"/>
  <c r="C693" i="1"/>
  <c r="N692" i="1"/>
  <c r="C692" i="1"/>
  <c r="N691" i="1"/>
  <c r="C691" i="1"/>
  <c r="N690" i="1"/>
  <c r="C690" i="1"/>
  <c r="N689" i="1"/>
  <c r="C689" i="1"/>
  <c r="N688" i="1"/>
  <c r="C688" i="1"/>
  <c r="N687" i="1"/>
  <c r="C687" i="1"/>
  <c r="N686" i="1"/>
  <c r="C686" i="1"/>
  <c r="N685" i="1"/>
  <c r="C685" i="1"/>
  <c r="N684" i="1"/>
  <c r="C684" i="1"/>
  <c r="N683" i="1"/>
  <c r="C683" i="1"/>
  <c r="N682" i="1"/>
  <c r="C682" i="1"/>
  <c r="N681" i="1"/>
  <c r="C681" i="1"/>
  <c r="N680" i="1"/>
  <c r="C680" i="1"/>
  <c r="N679" i="1"/>
  <c r="C679" i="1"/>
  <c r="N678" i="1"/>
  <c r="C678" i="1"/>
  <c r="N677" i="1"/>
  <c r="C677" i="1"/>
  <c r="N676" i="1"/>
  <c r="C676" i="1"/>
  <c r="N675" i="1"/>
  <c r="C675" i="1"/>
  <c r="N674" i="1"/>
  <c r="C674" i="1"/>
  <c r="N673" i="1"/>
  <c r="C673" i="1"/>
  <c r="N672" i="1"/>
  <c r="C672" i="1"/>
  <c r="N671" i="1"/>
  <c r="C671" i="1"/>
  <c r="N670" i="1"/>
  <c r="C670" i="1"/>
  <c r="N669" i="1"/>
  <c r="C669" i="1"/>
  <c r="N668" i="1"/>
  <c r="C668" i="1"/>
  <c r="N667" i="1"/>
  <c r="C667" i="1"/>
  <c r="N666" i="1"/>
  <c r="C666" i="1"/>
  <c r="N665" i="1"/>
  <c r="C665" i="1"/>
  <c r="N664" i="1"/>
  <c r="C664" i="1"/>
  <c r="N663" i="1"/>
  <c r="C663" i="1"/>
  <c r="N662" i="1"/>
  <c r="C662" i="1"/>
  <c r="N661" i="1"/>
  <c r="C661" i="1"/>
  <c r="N660" i="1"/>
  <c r="C660" i="1"/>
  <c r="N659" i="1"/>
  <c r="C659" i="1"/>
  <c r="N658" i="1"/>
  <c r="C658" i="1"/>
  <c r="N657" i="1"/>
  <c r="C657" i="1"/>
  <c r="N656" i="1"/>
  <c r="C656" i="1"/>
  <c r="N655" i="1"/>
  <c r="C655" i="1"/>
  <c r="N654" i="1"/>
  <c r="C654" i="1"/>
  <c r="N653" i="1"/>
  <c r="C653" i="1"/>
  <c r="N652" i="1"/>
  <c r="C652" i="1"/>
  <c r="N651" i="1"/>
  <c r="C651" i="1"/>
  <c r="N650" i="1"/>
  <c r="C650" i="1"/>
  <c r="N649" i="1"/>
  <c r="C649" i="1"/>
  <c r="N648" i="1"/>
  <c r="C648" i="1"/>
  <c r="N647" i="1"/>
  <c r="C647" i="1"/>
  <c r="N646" i="1"/>
  <c r="C646" i="1"/>
  <c r="N645" i="1"/>
  <c r="C645" i="1"/>
  <c r="N644" i="1"/>
  <c r="C644" i="1"/>
  <c r="N643" i="1"/>
  <c r="C643" i="1"/>
  <c r="N642" i="1"/>
  <c r="C642" i="1"/>
  <c r="N641" i="1"/>
  <c r="C641" i="1"/>
  <c r="N640" i="1"/>
  <c r="C640" i="1"/>
  <c r="N639" i="1"/>
  <c r="C639" i="1"/>
  <c r="N638" i="1"/>
  <c r="C638" i="1"/>
  <c r="N637" i="1"/>
  <c r="C637" i="1"/>
  <c r="N636" i="1"/>
  <c r="C636" i="1"/>
  <c r="N635" i="1"/>
  <c r="C635" i="1"/>
  <c r="N634" i="1"/>
  <c r="C634" i="1"/>
  <c r="N633" i="1"/>
  <c r="C633" i="1"/>
  <c r="N632" i="1"/>
  <c r="C632" i="1"/>
  <c r="N631" i="1"/>
  <c r="C631" i="1"/>
  <c r="N630" i="1"/>
  <c r="C630" i="1"/>
  <c r="N629" i="1"/>
  <c r="C629" i="1"/>
  <c r="N628" i="1"/>
  <c r="C628" i="1"/>
  <c r="N627" i="1"/>
  <c r="C627" i="1"/>
  <c r="N626" i="1"/>
  <c r="C626" i="1"/>
  <c r="N625" i="1"/>
  <c r="C625" i="1"/>
  <c r="N624" i="1"/>
  <c r="C624" i="1"/>
  <c r="N623" i="1"/>
  <c r="C623" i="1"/>
  <c r="N622" i="1"/>
  <c r="C622" i="1"/>
  <c r="N621" i="1"/>
  <c r="C621" i="1"/>
  <c r="N620" i="1"/>
  <c r="C620" i="1"/>
  <c r="N619" i="1"/>
  <c r="C619" i="1"/>
  <c r="N618" i="1"/>
  <c r="C618" i="1"/>
  <c r="N617" i="1"/>
  <c r="C617" i="1"/>
  <c r="N616" i="1"/>
  <c r="C616" i="1"/>
  <c r="N615" i="1"/>
  <c r="C615" i="1"/>
  <c r="N614" i="1"/>
  <c r="C614" i="1"/>
  <c r="N613" i="1"/>
  <c r="C613" i="1"/>
  <c r="N612" i="1"/>
  <c r="C612" i="1"/>
  <c r="N611" i="1"/>
  <c r="C611" i="1"/>
  <c r="N610" i="1"/>
  <c r="C610" i="1"/>
  <c r="N609" i="1"/>
  <c r="C609" i="1"/>
  <c r="N608" i="1"/>
  <c r="C608" i="1"/>
  <c r="N607" i="1"/>
  <c r="C607" i="1"/>
  <c r="N606" i="1"/>
  <c r="C606" i="1"/>
  <c r="N605" i="1"/>
  <c r="C605" i="1"/>
  <c r="N604" i="1"/>
  <c r="C604" i="1"/>
  <c r="N603" i="1"/>
  <c r="C603" i="1"/>
  <c r="N602" i="1"/>
  <c r="C602" i="1"/>
  <c r="N601" i="1"/>
  <c r="C601" i="1"/>
  <c r="N600" i="1"/>
  <c r="C600" i="1"/>
  <c r="N599" i="1"/>
  <c r="C599" i="1"/>
  <c r="N598" i="1"/>
  <c r="C598" i="1"/>
  <c r="N597" i="1"/>
  <c r="C597" i="1"/>
  <c r="N596" i="1"/>
  <c r="C596" i="1"/>
  <c r="N595" i="1"/>
  <c r="C595" i="1"/>
  <c r="N594" i="1"/>
  <c r="C594" i="1"/>
  <c r="N593" i="1"/>
  <c r="C593" i="1"/>
  <c r="N592" i="1"/>
  <c r="C592" i="1"/>
  <c r="N591" i="1"/>
  <c r="C591" i="1"/>
  <c r="N590" i="1"/>
  <c r="C590" i="1"/>
  <c r="N589" i="1"/>
  <c r="C589" i="1"/>
  <c r="N588" i="1"/>
  <c r="C588" i="1"/>
  <c r="N587" i="1"/>
  <c r="C587" i="1"/>
  <c r="N586" i="1"/>
  <c r="C586" i="1"/>
  <c r="N585" i="1"/>
  <c r="C585" i="1"/>
  <c r="N584" i="1"/>
  <c r="C584" i="1"/>
  <c r="N583" i="1"/>
  <c r="C583" i="1"/>
  <c r="N582" i="1"/>
  <c r="C582" i="1"/>
  <c r="N581" i="1"/>
  <c r="C581" i="1"/>
  <c r="N580" i="1"/>
  <c r="C580" i="1"/>
  <c r="N579" i="1"/>
  <c r="C579" i="1"/>
  <c r="N578" i="1"/>
  <c r="C578" i="1"/>
  <c r="N577" i="1"/>
  <c r="C577" i="1"/>
  <c r="N576" i="1"/>
  <c r="C576" i="1"/>
  <c r="N575" i="1"/>
  <c r="C575" i="1"/>
  <c r="N574" i="1"/>
  <c r="C574" i="1"/>
  <c r="N573" i="1"/>
  <c r="C573" i="1"/>
  <c r="N572" i="1"/>
  <c r="C572" i="1"/>
  <c r="N571" i="1"/>
  <c r="C571" i="1"/>
  <c r="N570" i="1"/>
  <c r="C570" i="1"/>
  <c r="N569" i="1"/>
  <c r="C569" i="1"/>
  <c r="N568" i="1"/>
  <c r="C568" i="1"/>
  <c r="N567" i="1"/>
  <c r="C567" i="1"/>
  <c r="N566" i="1"/>
  <c r="C566" i="1"/>
  <c r="N565" i="1"/>
  <c r="C565" i="1"/>
  <c r="N564" i="1"/>
  <c r="C564" i="1"/>
  <c r="N563" i="1"/>
  <c r="C563" i="1"/>
  <c r="N562" i="1"/>
  <c r="C562" i="1"/>
  <c r="N561" i="1"/>
  <c r="C561" i="1"/>
  <c r="N560" i="1"/>
  <c r="C560" i="1"/>
  <c r="N559" i="1"/>
  <c r="C559" i="1"/>
  <c r="N558" i="1"/>
  <c r="C558" i="1"/>
  <c r="N557" i="1"/>
  <c r="C557" i="1"/>
  <c r="N556" i="1"/>
  <c r="C556" i="1"/>
  <c r="N555" i="1"/>
  <c r="C555" i="1"/>
  <c r="N554" i="1"/>
  <c r="C554" i="1"/>
  <c r="N553" i="1"/>
  <c r="C553" i="1"/>
  <c r="N552" i="1"/>
  <c r="C552" i="1"/>
  <c r="N551" i="1"/>
  <c r="C551" i="1"/>
  <c r="N550" i="1"/>
  <c r="C550" i="1"/>
  <c r="N549" i="1"/>
  <c r="C549" i="1"/>
  <c r="N548" i="1"/>
  <c r="C548" i="1"/>
  <c r="N547" i="1"/>
  <c r="C547" i="1"/>
  <c r="N546" i="1"/>
  <c r="C546" i="1"/>
  <c r="N545" i="1"/>
  <c r="C545" i="1"/>
  <c r="N544" i="1"/>
  <c r="C544" i="1"/>
  <c r="N543" i="1"/>
  <c r="C543" i="1"/>
  <c r="N542" i="1"/>
  <c r="C542" i="1"/>
  <c r="N541" i="1"/>
  <c r="C541" i="1"/>
  <c r="N540" i="1"/>
  <c r="C540" i="1"/>
  <c r="N539" i="1"/>
  <c r="C539" i="1"/>
  <c r="N538" i="1"/>
  <c r="C538" i="1"/>
  <c r="N537" i="1"/>
  <c r="C537" i="1"/>
  <c r="N536" i="1"/>
  <c r="C536" i="1"/>
  <c r="N535" i="1"/>
  <c r="C535" i="1"/>
  <c r="N534" i="1"/>
  <c r="C534" i="1"/>
  <c r="N533" i="1"/>
  <c r="C533" i="1"/>
  <c r="N532" i="1"/>
  <c r="C532" i="1"/>
  <c r="N531" i="1"/>
  <c r="C531" i="1"/>
  <c r="N530" i="1"/>
  <c r="C530" i="1"/>
  <c r="N529" i="1"/>
  <c r="C529" i="1"/>
  <c r="N528" i="1"/>
  <c r="C528" i="1"/>
  <c r="N527" i="1"/>
  <c r="C527" i="1"/>
  <c r="N526" i="1"/>
  <c r="C526" i="1"/>
  <c r="N525" i="1"/>
  <c r="C525" i="1"/>
  <c r="N524" i="1"/>
  <c r="C524" i="1"/>
  <c r="N523" i="1"/>
  <c r="C523" i="1"/>
  <c r="N522" i="1"/>
  <c r="C522" i="1"/>
  <c r="N521" i="1"/>
  <c r="C521" i="1"/>
  <c r="N520" i="1"/>
  <c r="C520" i="1"/>
  <c r="N519" i="1"/>
  <c r="C519" i="1"/>
  <c r="N518" i="1"/>
  <c r="C518" i="1"/>
  <c r="N517" i="1"/>
  <c r="C517" i="1"/>
  <c r="N516" i="1"/>
  <c r="C516" i="1"/>
  <c r="N515" i="1"/>
  <c r="C515" i="1"/>
  <c r="N514" i="1"/>
  <c r="C514" i="1"/>
  <c r="N513" i="1"/>
  <c r="C513" i="1"/>
  <c r="N512" i="1"/>
  <c r="C512" i="1"/>
  <c r="N511" i="1"/>
  <c r="C511" i="1"/>
  <c r="N510" i="1"/>
  <c r="C510" i="1"/>
  <c r="N509" i="1"/>
  <c r="C509" i="1"/>
  <c r="N508" i="1"/>
  <c r="C508" i="1"/>
  <c r="N507" i="1"/>
  <c r="C507" i="1"/>
  <c r="N506" i="1"/>
  <c r="C506" i="1"/>
  <c r="N505" i="1"/>
  <c r="C505" i="1"/>
  <c r="N504" i="1"/>
  <c r="C504" i="1"/>
  <c r="N503" i="1"/>
  <c r="C503" i="1"/>
  <c r="N502" i="1"/>
  <c r="C502" i="1"/>
  <c r="N501" i="1"/>
  <c r="C501" i="1"/>
  <c r="N500" i="1"/>
  <c r="C500" i="1"/>
  <c r="N499" i="1"/>
  <c r="C499" i="1"/>
  <c r="N498" i="1"/>
  <c r="C498" i="1"/>
  <c r="N497" i="1"/>
  <c r="C497" i="1"/>
  <c r="N496" i="1"/>
  <c r="C496" i="1"/>
  <c r="N495" i="1"/>
  <c r="C495" i="1"/>
  <c r="N494" i="1"/>
  <c r="C494" i="1"/>
  <c r="N493" i="1"/>
  <c r="C493" i="1"/>
  <c r="N492" i="1"/>
  <c r="C492" i="1"/>
  <c r="N491" i="1"/>
  <c r="C491" i="1"/>
  <c r="N490" i="1"/>
  <c r="C490" i="1"/>
  <c r="N489" i="1"/>
  <c r="C489" i="1"/>
  <c r="N488" i="1"/>
  <c r="C488" i="1"/>
  <c r="N487" i="1"/>
  <c r="C487" i="1"/>
  <c r="N486" i="1"/>
  <c r="C486" i="1"/>
  <c r="N485" i="1"/>
  <c r="C485" i="1"/>
  <c r="N484" i="1"/>
  <c r="C484" i="1"/>
  <c r="N483" i="1"/>
  <c r="C483" i="1"/>
  <c r="N482" i="1"/>
  <c r="C482" i="1"/>
  <c r="N481" i="1"/>
  <c r="C481" i="1"/>
  <c r="N480" i="1"/>
  <c r="C480" i="1"/>
  <c r="N479" i="1"/>
  <c r="C479" i="1"/>
  <c r="N478" i="1"/>
  <c r="C478" i="1"/>
  <c r="N477" i="1"/>
  <c r="C477" i="1"/>
  <c r="N476" i="1"/>
  <c r="C476" i="1"/>
  <c r="N475" i="1"/>
  <c r="C475" i="1"/>
  <c r="N474" i="1"/>
  <c r="C474" i="1"/>
  <c r="N473" i="1"/>
  <c r="C473" i="1"/>
  <c r="N472" i="1"/>
  <c r="C472" i="1"/>
  <c r="N471" i="1"/>
  <c r="C471" i="1"/>
  <c r="N470" i="1"/>
  <c r="C470" i="1"/>
  <c r="N469" i="1"/>
  <c r="C469" i="1"/>
  <c r="N468" i="1"/>
  <c r="C468" i="1"/>
  <c r="N467" i="1"/>
  <c r="C467" i="1"/>
  <c r="N466" i="1"/>
  <c r="C466" i="1"/>
  <c r="N465" i="1"/>
  <c r="C465" i="1"/>
  <c r="N464" i="1"/>
  <c r="C464" i="1"/>
  <c r="N463" i="1"/>
  <c r="C463" i="1"/>
  <c r="N462" i="1"/>
  <c r="C462" i="1"/>
  <c r="N461" i="1"/>
  <c r="C461" i="1"/>
  <c r="N460" i="1"/>
  <c r="C460" i="1"/>
  <c r="N459" i="1"/>
  <c r="C459" i="1"/>
  <c r="N458" i="1"/>
  <c r="C458" i="1"/>
  <c r="N457" i="1"/>
  <c r="C457" i="1"/>
  <c r="N456" i="1"/>
  <c r="C456" i="1"/>
  <c r="N455" i="1"/>
  <c r="C455" i="1"/>
  <c r="N454" i="1"/>
  <c r="C454" i="1"/>
  <c r="N453" i="1"/>
  <c r="C453" i="1"/>
  <c r="N452" i="1"/>
  <c r="C452" i="1"/>
  <c r="N451" i="1"/>
  <c r="C451" i="1"/>
  <c r="N450" i="1"/>
  <c r="C450" i="1"/>
  <c r="N449" i="1"/>
  <c r="C449" i="1"/>
  <c r="N448" i="1"/>
  <c r="C448" i="1"/>
  <c r="N447" i="1"/>
  <c r="C447" i="1"/>
  <c r="N446" i="1"/>
  <c r="C446" i="1"/>
  <c r="N445" i="1"/>
  <c r="C445" i="1"/>
  <c r="N444" i="1"/>
  <c r="C444" i="1"/>
  <c r="N443" i="1"/>
  <c r="C443" i="1"/>
  <c r="N442" i="1"/>
  <c r="C442" i="1"/>
  <c r="N441" i="1"/>
  <c r="C441" i="1"/>
  <c r="N440" i="1"/>
  <c r="C440" i="1"/>
  <c r="N439" i="1"/>
  <c r="C439" i="1"/>
  <c r="N438" i="1"/>
  <c r="C438" i="1"/>
  <c r="N437" i="1"/>
  <c r="C437" i="1"/>
  <c r="N436" i="1"/>
  <c r="C436" i="1"/>
  <c r="N435" i="1"/>
  <c r="C435" i="1"/>
  <c r="N434" i="1"/>
  <c r="C434" i="1"/>
  <c r="N433" i="1"/>
  <c r="C433" i="1"/>
  <c r="N432" i="1"/>
  <c r="C432" i="1"/>
  <c r="N431" i="1"/>
  <c r="C431" i="1"/>
  <c r="N430" i="1"/>
  <c r="C430" i="1"/>
  <c r="N429" i="1"/>
  <c r="C429" i="1"/>
  <c r="N428" i="1"/>
  <c r="C428" i="1"/>
  <c r="N427" i="1"/>
  <c r="C427" i="1"/>
  <c r="N426" i="1"/>
  <c r="C426" i="1"/>
  <c r="N425" i="1"/>
  <c r="C425" i="1"/>
  <c r="N424" i="1"/>
  <c r="C424" i="1"/>
  <c r="N423" i="1"/>
  <c r="C423" i="1"/>
  <c r="N422" i="1"/>
  <c r="C422" i="1"/>
  <c r="N421" i="1"/>
  <c r="C421" i="1"/>
  <c r="N420" i="1"/>
  <c r="C420" i="1"/>
  <c r="N419" i="1"/>
  <c r="C419" i="1"/>
  <c r="N418" i="1"/>
  <c r="C418" i="1"/>
  <c r="N417" i="1"/>
  <c r="C417" i="1"/>
  <c r="N416" i="1"/>
  <c r="C416" i="1"/>
  <c r="N415" i="1"/>
  <c r="C415" i="1"/>
  <c r="N414" i="1"/>
  <c r="C414" i="1"/>
  <c r="N413" i="1"/>
  <c r="C413" i="1"/>
  <c r="N412" i="1"/>
  <c r="C412" i="1"/>
  <c r="N411" i="1"/>
  <c r="C411" i="1"/>
  <c r="N410" i="1"/>
  <c r="C410" i="1"/>
  <c r="N409" i="1"/>
  <c r="C409" i="1"/>
  <c r="N408" i="1"/>
  <c r="C408" i="1"/>
  <c r="N407" i="1"/>
  <c r="C407" i="1"/>
  <c r="N406" i="1"/>
  <c r="C406" i="1"/>
  <c r="N405" i="1"/>
  <c r="C405" i="1"/>
  <c r="N404" i="1"/>
  <c r="C404" i="1"/>
  <c r="N403" i="1"/>
  <c r="C403" i="1"/>
  <c r="N402" i="1"/>
  <c r="C402" i="1"/>
  <c r="N401" i="1"/>
  <c r="C401" i="1"/>
  <c r="N400" i="1"/>
  <c r="C400" i="1"/>
  <c r="N399" i="1"/>
  <c r="C399" i="1"/>
  <c r="N398" i="1"/>
  <c r="C398" i="1"/>
  <c r="N397" i="1"/>
  <c r="C397" i="1"/>
  <c r="N396" i="1"/>
  <c r="C396" i="1"/>
  <c r="N395" i="1"/>
  <c r="C395" i="1"/>
  <c r="N394" i="1"/>
  <c r="C394" i="1"/>
  <c r="N393" i="1"/>
  <c r="C393" i="1"/>
  <c r="N392" i="1"/>
  <c r="C392" i="1"/>
  <c r="N391" i="1"/>
  <c r="C391" i="1"/>
  <c r="N390" i="1"/>
  <c r="C390" i="1"/>
  <c r="N389" i="1"/>
  <c r="C389" i="1"/>
  <c r="N388" i="1"/>
  <c r="C388" i="1"/>
  <c r="N387" i="1"/>
  <c r="C387" i="1"/>
  <c r="N386" i="1"/>
  <c r="C386" i="1"/>
  <c r="N385" i="1"/>
  <c r="C385" i="1"/>
  <c r="N384" i="1"/>
  <c r="C384" i="1"/>
  <c r="N383" i="1"/>
  <c r="C383" i="1"/>
  <c r="N382" i="1"/>
  <c r="C382" i="1"/>
  <c r="N381" i="1"/>
  <c r="C381" i="1"/>
  <c r="N380" i="1"/>
  <c r="C380" i="1"/>
  <c r="N379" i="1"/>
  <c r="C379" i="1"/>
  <c r="N378" i="1"/>
  <c r="C378" i="1"/>
  <c r="N377" i="1"/>
  <c r="C377" i="1"/>
  <c r="N376" i="1"/>
  <c r="C376" i="1"/>
  <c r="N375" i="1"/>
  <c r="C375" i="1"/>
  <c r="N374" i="1"/>
  <c r="C374" i="1"/>
  <c r="N373" i="1"/>
  <c r="C373" i="1"/>
  <c r="N372" i="1"/>
  <c r="C372" i="1"/>
  <c r="N371" i="1"/>
  <c r="C371" i="1"/>
  <c r="N370" i="1"/>
  <c r="C370" i="1"/>
  <c r="N369" i="1"/>
  <c r="C369" i="1"/>
  <c r="N368" i="1"/>
  <c r="C368" i="1"/>
  <c r="N367" i="1"/>
  <c r="C367" i="1"/>
  <c r="N366" i="1"/>
  <c r="C366" i="1"/>
  <c r="N365" i="1"/>
  <c r="C365" i="1"/>
  <c r="N364" i="1"/>
  <c r="C364" i="1"/>
  <c r="N363" i="1"/>
  <c r="C363" i="1"/>
  <c r="N362" i="1"/>
  <c r="C362" i="1"/>
  <c r="N361" i="1"/>
  <c r="C361" i="1"/>
  <c r="N360" i="1"/>
  <c r="C360" i="1"/>
  <c r="N359" i="1"/>
  <c r="C359" i="1"/>
  <c r="N358" i="1"/>
  <c r="C358" i="1"/>
  <c r="N357" i="1"/>
  <c r="C357" i="1"/>
  <c r="N356" i="1"/>
  <c r="C356" i="1"/>
  <c r="N355" i="1"/>
  <c r="C355" i="1"/>
  <c r="N354" i="1"/>
  <c r="C354" i="1"/>
  <c r="N353" i="1"/>
  <c r="C353" i="1"/>
  <c r="N352" i="1"/>
  <c r="C352" i="1"/>
  <c r="N351" i="1"/>
  <c r="C351" i="1"/>
  <c r="N350" i="1"/>
  <c r="C350" i="1"/>
  <c r="N349" i="1"/>
  <c r="C349" i="1"/>
  <c r="N348" i="1"/>
  <c r="C348" i="1"/>
  <c r="N347" i="1"/>
  <c r="C347" i="1"/>
  <c r="N346" i="1"/>
  <c r="C346" i="1"/>
  <c r="N345" i="1"/>
  <c r="C345" i="1"/>
  <c r="N344" i="1"/>
  <c r="C344" i="1"/>
  <c r="N343" i="1"/>
  <c r="C343" i="1"/>
  <c r="N342" i="1"/>
  <c r="C342" i="1"/>
  <c r="N341" i="1"/>
  <c r="C341" i="1"/>
  <c r="N340" i="1"/>
  <c r="C340" i="1"/>
  <c r="N339" i="1"/>
  <c r="C339" i="1"/>
  <c r="N338" i="1"/>
  <c r="C338" i="1"/>
  <c r="N337" i="1"/>
  <c r="C337" i="1"/>
  <c r="N336" i="1"/>
  <c r="C336" i="1"/>
  <c r="N335" i="1"/>
  <c r="C335" i="1"/>
  <c r="N334" i="1"/>
  <c r="C334" i="1"/>
  <c r="N333" i="1"/>
  <c r="C333" i="1"/>
  <c r="N332" i="1"/>
  <c r="C332" i="1"/>
  <c r="N331" i="1"/>
  <c r="C331" i="1"/>
  <c r="N330" i="1"/>
  <c r="C330" i="1"/>
  <c r="N329" i="1"/>
  <c r="C329" i="1"/>
  <c r="N328" i="1"/>
  <c r="C328" i="1"/>
  <c r="N327" i="1"/>
  <c r="C327" i="1"/>
  <c r="N326" i="1"/>
  <c r="C326" i="1"/>
  <c r="N325" i="1"/>
  <c r="C325" i="1"/>
  <c r="N324" i="1"/>
  <c r="C324" i="1"/>
  <c r="N323" i="1"/>
  <c r="C323" i="1"/>
  <c r="N322" i="1"/>
  <c r="C322" i="1"/>
  <c r="N321" i="1"/>
  <c r="C321" i="1"/>
  <c r="N320" i="1"/>
  <c r="C320" i="1"/>
  <c r="N319" i="1"/>
  <c r="C319" i="1"/>
  <c r="N318" i="1"/>
  <c r="C318" i="1"/>
  <c r="N317" i="1"/>
  <c r="C317" i="1"/>
  <c r="N316" i="1"/>
  <c r="C316" i="1"/>
  <c r="N315" i="1"/>
  <c r="C315" i="1"/>
  <c r="N314" i="1"/>
  <c r="C314" i="1"/>
  <c r="N313" i="1"/>
  <c r="C313" i="1"/>
  <c r="N312" i="1"/>
  <c r="C312" i="1"/>
  <c r="N311" i="1"/>
  <c r="C311" i="1"/>
  <c r="N310" i="1"/>
  <c r="C310" i="1"/>
  <c r="N309" i="1"/>
  <c r="C309" i="1"/>
  <c r="N308" i="1"/>
  <c r="C308" i="1"/>
  <c r="N307" i="1"/>
  <c r="C307" i="1"/>
  <c r="N306" i="1"/>
  <c r="C306" i="1"/>
  <c r="N305" i="1"/>
  <c r="C305" i="1"/>
  <c r="N304" i="1"/>
  <c r="C304" i="1"/>
  <c r="N303" i="1"/>
  <c r="C303" i="1"/>
  <c r="N302" i="1"/>
  <c r="C302" i="1"/>
  <c r="N301" i="1"/>
  <c r="C301" i="1"/>
  <c r="N300" i="1"/>
  <c r="C300" i="1"/>
  <c r="N299" i="1"/>
  <c r="C299" i="1"/>
  <c r="N298" i="1"/>
  <c r="C298" i="1"/>
  <c r="N297" i="1"/>
  <c r="C297" i="1"/>
  <c r="N296" i="1"/>
  <c r="C296" i="1"/>
  <c r="N295" i="1"/>
  <c r="C295" i="1"/>
  <c r="N294" i="1"/>
  <c r="C294" i="1"/>
  <c r="N293" i="1"/>
  <c r="C293" i="1"/>
  <c r="N292" i="1"/>
  <c r="C292" i="1"/>
  <c r="N291" i="1"/>
  <c r="C291" i="1"/>
  <c r="N290" i="1"/>
  <c r="C290" i="1"/>
  <c r="N289" i="1"/>
  <c r="C289" i="1"/>
  <c r="N288" i="1"/>
  <c r="C288" i="1"/>
  <c r="N287" i="1"/>
  <c r="C287" i="1"/>
  <c r="N286" i="1"/>
  <c r="C286" i="1"/>
  <c r="N285" i="1"/>
  <c r="C285" i="1"/>
  <c r="N284" i="1"/>
  <c r="C284" i="1"/>
  <c r="N283" i="1"/>
  <c r="C283" i="1"/>
  <c r="N282" i="1"/>
  <c r="C282" i="1"/>
  <c r="N281" i="1"/>
  <c r="C281" i="1"/>
  <c r="N280" i="1"/>
  <c r="C280" i="1"/>
  <c r="N279" i="1"/>
  <c r="C279" i="1"/>
  <c r="N278" i="1"/>
  <c r="C278" i="1"/>
  <c r="N277" i="1"/>
  <c r="C277" i="1"/>
  <c r="N276" i="1"/>
  <c r="C276" i="1"/>
  <c r="N275" i="1"/>
  <c r="C275" i="1"/>
  <c r="N274" i="1"/>
  <c r="C274" i="1"/>
  <c r="N273" i="1"/>
  <c r="C273" i="1"/>
  <c r="N272" i="1"/>
  <c r="C272" i="1"/>
  <c r="N271" i="1"/>
  <c r="C271" i="1"/>
  <c r="N270" i="1"/>
  <c r="C270" i="1"/>
  <c r="N269" i="1"/>
  <c r="C269" i="1"/>
  <c r="N268" i="1"/>
  <c r="C268" i="1"/>
  <c r="N267" i="1"/>
  <c r="C267" i="1"/>
  <c r="N266" i="1"/>
  <c r="C266" i="1"/>
  <c r="N265" i="1"/>
  <c r="C265" i="1"/>
  <c r="N264" i="1"/>
  <c r="C264" i="1"/>
  <c r="N263" i="1"/>
  <c r="C263" i="1"/>
  <c r="N262" i="1"/>
  <c r="C262" i="1"/>
  <c r="N261" i="1"/>
  <c r="C261" i="1"/>
  <c r="N260" i="1"/>
  <c r="C260" i="1"/>
  <c r="N259" i="1"/>
  <c r="C259" i="1"/>
  <c r="N258" i="1"/>
  <c r="C258" i="1"/>
  <c r="N257" i="1"/>
  <c r="C257" i="1"/>
  <c r="N256" i="1"/>
  <c r="C256" i="1"/>
  <c r="N255" i="1"/>
  <c r="C255" i="1"/>
  <c r="N254" i="1"/>
  <c r="C254" i="1"/>
  <c r="N253" i="1"/>
  <c r="C253" i="1"/>
  <c r="N252" i="1"/>
  <c r="C252" i="1"/>
  <c r="N251" i="1"/>
  <c r="C251" i="1"/>
  <c r="N250" i="1"/>
  <c r="C250" i="1"/>
  <c r="N249" i="1"/>
  <c r="C249" i="1"/>
  <c r="N248" i="1"/>
  <c r="C248" i="1"/>
  <c r="N247" i="1"/>
  <c r="C247" i="1"/>
  <c r="N246" i="1"/>
  <c r="C246" i="1"/>
  <c r="N245" i="1"/>
  <c r="C245" i="1"/>
  <c r="N244" i="1"/>
  <c r="C244" i="1"/>
  <c r="N243" i="1"/>
  <c r="C243" i="1"/>
  <c r="N242" i="1"/>
  <c r="C242" i="1"/>
  <c r="N241" i="1"/>
  <c r="C241" i="1"/>
  <c r="N240" i="1"/>
  <c r="C240" i="1"/>
  <c r="N239" i="1"/>
  <c r="C239" i="1"/>
  <c r="N238" i="1"/>
  <c r="C238" i="1"/>
  <c r="N237" i="1"/>
  <c r="C237" i="1"/>
  <c r="N236" i="1"/>
  <c r="C236" i="1"/>
  <c r="N235" i="1"/>
  <c r="C235" i="1"/>
  <c r="N234" i="1"/>
  <c r="C234" i="1"/>
  <c r="N233" i="1"/>
  <c r="C233" i="1"/>
  <c r="N232" i="1"/>
  <c r="C232" i="1"/>
  <c r="N231" i="1"/>
  <c r="C231" i="1"/>
  <c r="N230" i="1"/>
  <c r="C230" i="1"/>
  <c r="N229" i="1"/>
  <c r="C229" i="1"/>
  <c r="N228" i="1"/>
  <c r="C228" i="1"/>
  <c r="N227" i="1"/>
  <c r="C227" i="1"/>
  <c r="N226" i="1"/>
  <c r="C226" i="1"/>
  <c r="N225" i="1"/>
  <c r="C225" i="1"/>
  <c r="N224" i="1"/>
  <c r="C224" i="1"/>
  <c r="N223" i="1"/>
  <c r="C223" i="1"/>
  <c r="N222" i="1"/>
  <c r="C222" i="1"/>
  <c r="N221" i="1"/>
  <c r="C221" i="1"/>
  <c r="N220" i="1"/>
  <c r="C220" i="1"/>
  <c r="N219" i="1"/>
  <c r="C219" i="1"/>
  <c r="N218" i="1"/>
  <c r="C218" i="1"/>
  <c r="N217" i="1"/>
  <c r="C217" i="1"/>
  <c r="N216" i="1"/>
  <c r="C216" i="1"/>
  <c r="N215" i="1"/>
  <c r="C215" i="1"/>
  <c r="N214" i="1"/>
  <c r="C214" i="1"/>
  <c r="N213" i="1"/>
  <c r="C213" i="1"/>
  <c r="N212" i="1"/>
  <c r="C212" i="1"/>
  <c r="N211" i="1"/>
  <c r="C211" i="1"/>
  <c r="N210" i="1"/>
  <c r="C210" i="1"/>
  <c r="N209" i="1"/>
  <c r="C209" i="1"/>
  <c r="N208" i="1"/>
  <c r="C208" i="1"/>
  <c r="N207" i="1"/>
  <c r="C207" i="1"/>
  <c r="N206" i="1"/>
  <c r="C206" i="1"/>
  <c r="N205" i="1"/>
  <c r="C205" i="1"/>
  <c r="N204" i="1"/>
  <c r="C204" i="1"/>
  <c r="N203" i="1"/>
  <c r="C203" i="1"/>
  <c r="N202" i="1"/>
  <c r="C202" i="1"/>
  <c r="N201" i="1"/>
  <c r="C201" i="1"/>
  <c r="N200" i="1"/>
  <c r="C200" i="1"/>
  <c r="N199" i="1"/>
  <c r="C199" i="1"/>
  <c r="N198" i="1"/>
  <c r="C198" i="1"/>
  <c r="N197" i="1"/>
  <c r="C197" i="1"/>
  <c r="N196" i="1"/>
  <c r="C196" i="1"/>
  <c r="N195" i="1"/>
  <c r="C195" i="1"/>
  <c r="N194" i="1"/>
  <c r="C194" i="1"/>
  <c r="N193" i="1"/>
  <c r="C193" i="1"/>
  <c r="N192" i="1"/>
  <c r="C192" i="1"/>
  <c r="N191" i="1"/>
  <c r="C191" i="1"/>
  <c r="N190" i="1"/>
  <c r="C190" i="1"/>
  <c r="N189" i="1"/>
  <c r="C189" i="1"/>
  <c r="N188" i="1"/>
  <c r="C188" i="1"/>
  <c r="N187" i="1"/>
  <c r="C187" i="1"/>
  <c r="N186" i="1"/>
  <c r="C186" i="1"/>
  <c r="N185" i="1"/>
  <c r="C185" i="1"/>
  <c r="N184" i="1"/>
  <c r="C184" i="1"/>
  <c r="N183" i="1"/>
  <c r="C183" i="1"/>
  <c r="N182" i="1"/>
  <c r="C182" i="1"/>
  <c r="N181" i="1"/>
  <c r="C181" i="1"/>
  <c r="N180" i="1"/>
  <c r="C180" i="1"/>
  <c r="N179" i="1"/>
  <c r="C179" i="1"/>
  <c r="N178" i="1"/>
  <c r="C178" i="1"/>
  <c r="N177" i="1"/>
  <c r="C177" i="1"/>
  <c r="N176" i="1"/>
  <c r="C176" i="1"/>
  <c r="N175" i="1"/>
  <c r="C175" i="1"/>
  <c r="N174" i="1"/>
  <c r="C174" i="1"/>
  <c r="N173" i="1"/>
  <c r="C173" i="1"/>
  <c r="N172" i="1"/>
  <c r="C172" i="1"/>
  <c r="N171" i="1"/>
  <c r="C171" i="1"/>
  <c r="N170" i="1"/>
  <c r="C170" i="1"/>
  <c r="N169" i="1"/>
  <c r="C169" i="1"/>
  <c r="N168" i="1"/>
  <c r="C168" i="1"/>
  <c r="N167" i="1"/>
  <c r="C167" i="1"/>
  <c r="N166" i="1"/>
  <c r="C166" i="1"/>
  <c r="N165" i="1"/>
  <c r="C165" i="1"/>
  <c r="N164" i="1"/>
  <c r="C164" i="1"/>
  <c r="N163" i="1"/>
  <c r="C163" i="1"/>
  <c r="N162" i="1"/>
  <c r="C162" i="1"/>
  <c r="N161" i="1"/>
  <c r="C161" i="1"/>
  <c r="N160" i="1"/>
  <c r="C160" i="1"/>
  <c r="N159" i="1"/>
  <c r="C159" i="1"/>
  <c r="N158" i="1"/>
  <c r="C158" i="1"/>
  <c r="N157" i="1"/>
  <c r="C157" i="1"/>
  <c r="N156" i="1"/>
  <c r="C156" i="1"/>
  <c r="N155" i="1"/>
  <c r="C155" i="1"/>
  <c r="N154" i="1"/>
  <c r="C154" i="1"/>
  <c r="N153" i="1"/>
  <c r="C153" i="1"/>
  <c r="N152" i="1"/>
  <c r="C152" i="1"/>
  <c r="N151" i="1"/>
  <c r="C151" i="1"/>
  <c r="N150" i="1"/>
  <c r="C150" i="1"/>
  <c r="N149" i="1"/>
  <c r="C149" i="1"/>
  <c r="N148" i="1"/>
  <c r="C148" i="1"/>
  <c r="N147" i="1"/>
  <c r="C147" i="1"/>
  <c r="N146" i="1"/>
  <c r="C146" i="1"/>
  <c r="N145" i="1"/>
  <c r="C145" i="1"/>
  <c r="N144" i="1"/>
  <c r="C144" i="1"/>
  <c r="N143" i="1"/>
  <c r="C143" i="1"/>
  <c r="N142" i="1"/>
  <c r="C142" i="1"/>
  <c r="N141" i="1"/>
  <c r="C141" i="1"/>
  <c r="N140" i="1"/>
  <c r="C140" i="1"/>
  <c r="N139" i="1"/>
  <c r="C139" i="1"/>
  <c r="N138" i="1"/>
  <c r="C138" i="1"/>
  <c r="N137" i="1"/>
  <c r="C137" i="1"/>
  <c r="N136" i="1"/>
  <c r="C136" i="1"/>
  <c r="N135" i="1"/>
  <c r="C135" i="1"/>
  <c r="N134" i="1"/>
  <c r="C134" i="1"/>
  <c r="N133" i="1"/>
  <c r="C133" i="1"/>
  <c r="N132" i="1"/>
  <c r="C132" i="1"/>
  <c r="N131" i="1"/>
  <c r="C131" i="1"/>
  <c r="N130" i="1"/>
  <c r="C130" i="1"/>
  <c r="N129" i="1"/>
  <c r="C129" i="1"/>
  <c r="N128" i="1"/>
  <c r="C128" i="1"/>
  <c r="N127" i="1"/>
  <c r="C127" i="1"/>
  <c r="N126" i="1"/>
  <c r="C126" i="1"/>
  <c r="N125" i="1"/>
  <c r="C125" i="1"/>
  <c r="N124" i="1"/>
  <c r="C124" i="1"/>
  <c r="N123" i="1"/>
  <c r="C123" i="1"/>
  <c r="N122" i="1"/>
  <c r="C122" i="1"/>
  <c r="N121" i="1"/>
  <c r="C121" i="1"/>
  <c r="N120" i="1"/>
  <c r="C120" i="1"/>
  <c r="N119" i="1"/>
  <c r="C119" i="1"/>
  <c r="N118" i="1"/>
  <c r="C118" i="1"/>
  <c r="N117" i="1"/>
  <c r="C117" i="1"/>
  <c r="N116" i="1"/>
  <c r="C116" i="1"/>
  <c r="N115" i="1"/>
  <c r="C115" i="1"/>
  <c r="N114" i="1"/>
  <c r="C114" i="1"/>
  <c r="N113" i="1"/>
  <c r="C113" i="1"/>
  <c r="N112" i="1"/>
  <c r="C112" i="1"/>
  <c r="N111" i="1"/>
  <c r="C111" i="1"/>
  <c r="N110" i="1"/>
  <c r="C110" i="1"/>
  <c r="N109" i="1"/>
  <c r="C109" i="1"/>
  <c r="N108" i="1"/>
  <c r="C108" i="1"/>
  <c r="N107" i="1"/>
  <c r="C107" i="1"/>
  <c r="N106" i="1"/>
  <c r="C106" i="1"/>
  <c r="N105" i="1"/>
  <c r="C105" i="1"/>
  <c r="N104" i="1"/>
  <c r="C104" i="1"/>
  <c r="N103" i="1"/>
  <c r="C103" i="1"/>
  <c r="N102" i="1"/>
  <c r="C102" i="1"/>
  <c r="N101" i="1"/>
  <c r="C101" i="1"/>
  <c r="N100" i="1"/>
  <c r="C100" i="1"/>
  <c r="N99" i="1"/>
  <c r="C99" i="1"/>
  <c r="N98" i="1"/>
  <c r="C98" i="1"/>
  <c r="N97" i="1"/>
  <c r="C97" i="1"/>
  <c r="N96" i="1"/>
  <c r="C96" i="1"/>
  <c r="N95" i="1"/>
  <c r="C95" i="1"/>
  <c r="N94" i="1"/>
  <c r="C94" i="1"/>
  <c r="N93" i="1"/>
  <c r="C93" i="1"/>
  <c r="N92" i="1"/>
  <c r="C92" i="1"/>
  <c r="N91" i="1"/>
  <c r="C91" i="1"/>
  <c r="N90" i="1"/>
  <c r="C90" i="1"/>
  <c r="N89" i="1"/>
  <c r="C89" i="1"/>
  <c r="N88" i="1"/>
  <c r="C88" i="1"/>
  <c r="N87" i="1"/>
  <c r="C87" i="1"/>
  <c r="N86" i="1"/>
  <c r="C86" i="1"/>
  <c r="N85" i="1"/>
  <c r="C85" i="1"/>
  <c r="N84" i="1"/>
  <c r="C84" i="1"/>
  <c r="N83" i="1"/>
  <c r="C83" i="1"/>
  <c r="N82" i="1"/>
  <c r="C82" i="1"/>
  <c r="N81" i="1"/>
  <c r="C81" i="1"/>
  <c r="N80" i="1"/>
  <c r="C80" i="1"/>
  <c r="N79" i="1"/>
  <c r="C79" i="1"/>
  <c r="N78" i="1"/>
  <c r="C78" i="1"/>
  <c r="N77" i="1"/>
  <c r="C77" i="1"/>
  <c r="N76" i="1"/>
  <c r="C76" i="1"/>
  <c r="N75" i="1"/>
  <c r="C75" i="1"/>
  <c r="N74" i="1"/>
  <c r="C74" i="1"/>
  <c r="N73" i="1"/>
  <c r="C73" i="1"/>
  <c r="N72" i="1"/>
  <c r="C72" i="1"/>
  <c r="N71" i="1"/>
  <c r="C71" i="1"/>
  <c r="N70" i="1"/>
  <c r="C70" i="1"/>
  <c r="N69" i="1"/>
  <c r="C69" i="1"/>
  <c r="N68" i="1"/>
  <c r="C68" i="1"/>
  <c r="N67" i="1"/>
  <c r="C67" i="1"/>
  <c r="N66" i="1"/>
  <c r="C66" i="1"/>
  <c r="N65" i="1"/>
  <c r="C65" i="1"/>
  <c r="N64" i="1"/>
  <c r="C64" i="1"/>
  <c r="N63" i="1"/>
  <c r="C63" i="1"/>
  <c r="N62" i="1"/>
  <c r="C62" i="1"/>
  <c r="N61" i="1"/>
  <c r="C61" i="1"/>
  <c r="N60" i="1"/>
  <c r="C60" i="1"/>
  <c r="N59" i="1"/>
  <c r="C59" i="1"/>
  <c r="N58" i="1"/>
  <c r="C58" i="1"/>
  <c r="N57" i="1"/>
  <c r="C57" i="1"/>
  <c r="N56" i="1"/>
  <c r="C56" i="1"/>
  <c r="N55" i="1"/>
  <c r="C55" i="1"/>
  <c r="N54" i="1"/>
  <c r="C54" i="1"/>
  <c r="N53" i="1"/>
  <c r="C53" i="1"/>
  <c r="N52" i="1"/>
  <c r="C52" i="1"/>
  <c r="N51" i="1"/>
  <c r="C51" i="1"/>
  <c r="N50" i="1"/>
  <c r="C50" i="1"/>
  <c r="N49" i="1"/>
  <c r="C49" i="1"/>
  <c r="N48" i="1"/>
  <c r="C48" i="1"/>
  <c r="N47" i="1"/>
  <c r="C47" i="1"/>
  <c r="N46" i="1"/>
  <c r="C46" i="1"/>
  <c r="N45" i="1"/>
  <c r="C45" i="1"/>
  <c r="N44" i="1"/>
  <c r="C44" i="1"/>
  <c r="N43" i="1"/>
  <c r="C43" i="1"/>
  <c r="N42" i="1"/>
  <c r="C42" i="1"/>
  <c r="N41" i="1"/>
  <c r="C41" i="1"/>
  <c r="N40" i="1"/>
  <c r="C40" i="1"/>
  <c r="N39" i="1"/>
  <c r="C39" i="1"/>
  <c r="N38" i="1"/>
  <c r="C38" i="1"/>
  <c r="N37" i="1"/>
  <c r="C37" i="1"/>
  <c r="N36" i="1"/>
  <c r="C36" i="1"/>
  <c r="N35" i="1"/>
  <c r="C35" i="1"/>
  <c r="N34" i="1"/>
  <c r="C34" i="1"/>
  <c r="N33" i="1"/>
  <c r="C33" i="1"/>
  <c r="N32" i="1"/>
  <c r="C32" i="1"/>
  <c r="N31" i="1"/>
  <c r="C31" i="1"/>
  <c r="N30" i="1"/>
  <c r="C30" i="1"/>
  <c r="N29" i="1"/>
  <c r="C29" i="1"/>
  <c r="N28" i="1"/>
  <c r="C28" i="1"/>
  <c r="N27" i="1"/>
  <c r="C27" i="1"/>
  <c r="N26" i="1"/>
  <c r="C26" i="1"/>
  <c r="N25" i="1"/>
  <c r="C25" i="1"/>
  <c r="N24" i="1"/>
  <c r="C24" i="1"/>
  <c r="N23" i="1"/>
  <c r="C23" i="1"/>
  <c r="N22" i="1"/>
  <c r="C22" i="1"/>
  <c r="N21" i="1"/>
  <c r="C21" i="1"/>
  <c r="N20" i="1"/>
  <c r="C20" i="1"/>
  <c r="N19" i="1"/>
  <c r="C19" i="1"/>
  <c r="N18" i="1"/>
  <c r="C18" i="1"/>
  <c r="N17" i="1"/>
  <c r="C17" i="1"/>
  <c r="N16" i="1"/>
  <c r="C16" i="1"/>
  <c r="N15" i="1"/>
  <c r="C15" i="1"/>
  <c r="N14" i="1"/>
  <c r="C14" i="1"/>
  <c r="N13" i="1"/>
  <c r="C13" i="1"/>
  <c r="N12" i="1"/>
  <c r="C12" i="1"/>
  <c r="N11" i="1"/>
  <c r="C11" i="1"/>
  <c r="N10" i="1"/>
  <c r="C10" i="1"/>
  <c r="N9" i="1"/>
  <c r="C9" i="1"/>
  <c r="N8" i="1"/>
  <c r="C8" i="1"/>
  <c r="N7" i="1"/>
  <c r="C7" i="1"/>
  <c r="N6" i="1"/>
  <c r="C6" i="1"/>
  <c r="N5" i="1"/>
  <c r="C5" i="1"/>
  <c r="N4" i="1"/>
  <c r="C4" i="1"/>
  <c r="N3" i="1"/>
  <c r="C3" i="1"/>
</calcChain>
</file>

<file path=xl/sharedStrings.xml><?xml version="1.0" encoding="utf-8"?>
<sst xmlns="http://schemas.openxmlformats.org/spreadsheetml/2006/main" count="14736" uniqueCount="5435">
  <si>
    <t>№</t>
  </si>
  <si>
    <t>Код</t>
  </si>
  <si>
    <t>Фото</t>
  </si>
  <si>
    <t>Наименование</t>
  </si>
  <si>
    <t>Артикул</t>
  </si>
  <si>
    <t>Гр. разд.</t>
  </si>
  <si>
    <t>Форма</t>
  </si>
  <si>
    <t>Кол-во
тр.уп.</t>
  </si>
  <si>
    <t>Кол-во
отгр.уп.</t>
  </si>
  <si>
    <t>Ед. изм.</t>
  </si>
  <si>
    <t>Объем
тр.уп, м3</t>
  </si>
  <si>
    <t>Штрих-код</t>
  </si>
  <si>
    <t>Описание</t>
  </si>
  <si>
    <t>Розница</t>
  </si>
  <si>
    <t>Зеркало Sheffilton Грация 628</t>
  </si>
  <si>
    <t>В2-79</t>
  </si>
  <si>
    <t>золотой антик</t>
  </si>
  <si>
    <t>металл</t>
  </si>
  <si>
    <t>шт</t>
  </si>
  <si>
    <t>- Зеркало серии Грация в ажурной металлической раме - очаровательное и милое украшение стен комнаты;
удачно поддержит нежно-романтическую тематику;
- Настенное зеркало выполнено из металлического прутка диаметром 5 мм;
- Зеркальная часть: стекло;
- Размер зеркального полотна: 600х400 мм;
- Выразительный внешний вид, выполненный в стиле старинных, ремесленных изделий;
- Порошковое покрытие каркаса, стойкое к механическим воздействиям;
- Изделие неразборное, с двух сторон зеркала проложен оргалит и дополнительно на лицевой стороне зеркала
используется вспененный полиэтилен;
- Гарантия 2 года.</t>
  </si>
  <si>
    <t>черный</t>
  </si>
  <si>
    <t>- Зеркало серии Грация в ажурной металлической раме - очаровательное и милое украшение стен комнаты;
удачно поддержит нежно-романтическую тематику;
- Настенное зеркало выполнено из металлического прутка диаметром 5 мм;
- Зеркальная часть: стекло;
- Размер зеркального полотна: 600х400 мм;
- Выразительный внешний вид, выполненный в стиле старинных, ремесленных изделий;
- Порошковое покрытие каркаса, стойкое к механическим воздействиям;
- Изделие не разборное, с двух сторон зеркала проложен оргалит и дополнительно на лицевой стороне
зеркала используется вспененный полиэтилен;
- Гарантия 2 года.</t>
  </si>
  <si>
    <t>Зеркало Sheffilton Грация 629</t>
  </si>
  <si>
    <t>В2-80</t>
  </si>
  <si>
    <t>- Зеркало серии Грация в ажурной металлической раме - очаровательное и милое украшение стен комнаты;
удачно поддержит нежно-романтическую тематику;
- Настенное зеркало выполнено из металлического прутка диаметром 5 мм;
- Зеркальная часть: стекло;
- Размер зеркального полотна: 500х360 мм;
- Выразительный внешний вид, выполненный в стиле старинных, ремесленных изделий;
- Порошковое покрытие каркаса, стойкое к механическим воздействиям;
- Изделие не разборное, с двух сторон зеркала проложен оргалит и дополнительно на лицевой стороне
зеркала используется вспененный полиэтилен;
- Гарантия 2 года.</t>
  </si>
  <si>
    <t>Зеркало Sheffilton Грация 630</t>
  </si>
  <si>
    <t>В2-81</t>
  </si>
  <si>
    <t>- Зеркало серии Грация в ажурной металлической раме - очаровательное и милое украшение стен комнаты;
удачно поддержит нежно-романтическую тематику;
- Настенное зеркало выполнено из металлического прутка диаметром 5 мм;
- Зеркальная часть: стекло;
- Размер зеркального полотна: 550х420 мм;
- Выразительный внешний вид, выполненный в стиле старинных, ремесленных изделий;
- Порошковое покрытие каркаса, стойкое к механическим воздействиям;
- Изделие не разборное, с двух сторон зеркала проложен оргалит и дополнительно на лицевой стороне
зеркала используется вспененный полиэтилен;
- Гарантия 2 года.</t>
  </si>
  <si>
    <t>Зеркало напольное Sheffilton Альберо SHT-М1</t>
  </si>
  <si>
    <t>ЗР-05</t>
  </si>
  <si>
    <t>беленый</t>
  </si>
  <si>
    <t>дерево</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</si>
  <si>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Зеркало - это хороший способ украсить помещение! К тому же, отличный повод лишний раз оценить свой
образ и внешний вид. Напольное зеркало Альберо раскладывается и складывается по принципу "книжки",
что весьма удобно при уборке или переносе из помещения в помещение.
Отлично комбинируется с другими товарами серии Альберо.
- Изделие выполнено из массива древесины твердых пород;
- Толщина деревянной планки 45х24 мм.;
- Размер зеркального полотна 1190х270 мм.;
- Толщина зеркала 4 мм.;
- Подставка выполнена из мераллчиской трубы толщиной 20х20 мм.;
- Все металлические части окрашены порошковой краской, которая отлично защиет от механических повреждений;
- Деревянные детали могут немного отличаться по оттенку из-за неоднородности структуры дерева;
- Инструкция по уходу: протирать влажной тканью, вытирать чистой сухой тканью, при необходимости можно
использовать слабый мыльный раствор;
- Изделие полностью разборное, что обеспечивает простоту сборки и хранения.</t>
  </si>
  <si>
    <t>венге</t>
  </si>
  <si>
    <t>прозрачный лак</t>
  </si>
  <si>
    <t>Зеркало с полкой Sheffilton Альберо SHT-М2</t>
  </si>
  <si>
    <t>3P-03</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</si>
  <si>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Зеркало - это хороший способ украсить помещение!
К тому же, все необходимое всегда будет под рукой. На полке вы сможете разместить ключи, перчатки
и необходимые бытовые мелочи.
Комбинируется с другими товарами серии Альберо.
ТЕХНИЧЕСКИЕ ДАННЫЕ:
- Изделие выполнено из массива древесины твердых пород, брус 45х24 мм.;
- Для крепления к стене на заднюю стенку зеркала добавлены два металлических подвеса;
- Размеры полки: 100х24 мм.;
- Толщина зеркала 5 мм.;
- Максимальная распределенная статическая нагрузка на полку - 10 кг.;
- Деревянные детали могут немного отличаться по оттенку из-за неоднородности структуры дерева;
- Инструкция по уходу: протирать влажной тканью, вытирать чистой сухой тканью, при необходимости можно
использовать слабый мыльный раствор;
УПАКОВКА И ГАРАНТИЯ
- Для разных стен требуются различные крепежные приспособления;
- Подберите подходящие для ваших стен шурупы, дюбели, саморезы и т.п. (не прилагаются);
- Изделие полностью разборное, что обеспечивает простоту сборки и хранения.
- Гарантия - 2 года.</t>
  </si>
  <si>
    <t>ЗР-03</t>
  </si>
  <si>
    <t>Подцветочница Sheffilton Мелодия</t>
  </si>
  <si>
    <t>ПД2-56</t>
  </si>
  <si>
    <t>- Предусмотрено 2 места (D190 мм) для цветочных горшков;
- Выполнена из металла, диаметром 5 и 3 мм;
- Порошковая окраска изделия, стойкая к механическим повреждениям;
- Максимальная нагрузка на чашу 3 кг;
- Изделие неразборное.
- Гарантия 2 года.</t>
  </si>
  <si>
    <t>Подцветочница Sheffilton Пальмина</t>
  </si>
  <si>
    <t>ПД2-3</t>
  </si>
  <si>
    <t>белый (+)</t>
  </si>
  <si>
    <t>- Аккуратная напольная подставка для больших цветочных горшков;
- Благодаря колесам подставку легко передвигать с растением, например, во время уборки;
- Защищает пол от влаги и царапин;
- Подставка выполнена из металла, диаметр/толщина трубы 5 и 4 мм;
- Порошковая окраска изделия, стойкая к механическим повреждениям;
- Предусмотрено одно место, диаметром 280 мм для цветочного горшка;
- Максимальная распределенная статическая нагрузка 30 кг;
- Изделие неразборное.
- Гарантия 2 года.</t>
  </si>
  <si>
    <t>черный (+)</t>
  </si>
  <si>
    <t>- Аккуратная напольная подставка для больших цветочных горшков;
- Благодаря колесам подставку легко передвигать с растением, например, во время уборки;
- Защищает пол от влаги и царапин;
- Подставка выполнена из металла, диаметр/толщина трубы 5 и 4 мм;
- Порошковая окраска изделия, стойкая к механическим повреждениям;
- Предусмотрено одно место, диаметром 280 мм для цветочного горшка;
- Максимальная распределенная статическая нагрузка 30 кг;
- Изделие неразборное
- Гарантия 2 года.</t>
  </si>
  <si>
    <t>Подцветочница Sheffilton Пальмина 3</t>
  </si>
  <si>
    <t>ПД2-3-2</t>
  </si>
  <si>
    <t>- Аккуратная напольная подставка для больших цветочных горшков;
- Благодаря колесам подставку легко передвигать с растением, например, во время уборки;
- Защищает пол от влаги и царапин;
- Подставка выполнена из металла, диаметр/толщина прутка 4 мм;
- Порошковая окраска изделия, стойкая к механическим повреждениям;
- Предусмотрено одно место, диаметром 354 мм для цветочного горшка;
- Максимальная распределенная статическая нагрузка 30 кг;
- Изделие неразборное.
- Гарантия 2 года.</t>
  </si>
  <si>
    <t>Подцветочница Sheffilton Песочные часы</t>
  </si>
  <si>
    <t>ПД2-60</t>
  </si>
  <si>
    <t>бронзовый/черный</t>
  </si>
  <si>
    <t>- Подставки для цветов - универсальное решение для любого помещения;
- Предусмотрено 1 место для цветочных горшков;
- Диаметр нижней/верхней чаши - 190/250 мм;
- Высота чаши - 50 мм;
- Материал : цельносварная труба 8-10 мм (круглая и квадратная);
- Порошковое окраска изделия, стойкая к механическим повреждениям;
- Максимальная нагрузка на чашу 3 кг;
- Изделие неразборное.
- Гарантия 2 года.</t>
  </si>
  <si>
    <t>медный/коричневый</t>
  </si>
  <si>
    <t>Вешалка Sheffilton SHT-WH11</t>
  </si>
  <si>
    <t>В2-99</t>
  </si>
  <si>
    <t>беленый/алюм.металлик</t>
  </si>
  <si>
    <t>дерево/металл</t>
  </si>
  <si>
    <t>Стильное сочетание металла и дерева отлично впишется в дизайн домашней прихожей, офиса, кафе, ресторана
или бара.
- Вешалка выполнена из металлической трубы 10 мм., пластиковой фурнитуры 14 мм. и планок из массива
дерева толщиной 20 мм.;
- Расстояние между крючками 96 мм.;
- Расстояние между планками 96 мм.;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
- Гарантия - 2 года.</t>
  </si>
  <si>
    <t>темный орех/медный металлик</t>
  </si>
  <si>
    <t>Стильное сочетание металла и дерева отлично впишется в дизайн домашней прихожей, офиса, кафе, ресторана
или бара.
- Вешалка выполнена из металлической трубы 10 мм., пластиковой фурнитуры 16 мм. и планок из массива
дерева толщиной 20 мм.;
- Расстояние между крючками 96 мм.;
- Расстояние между планками 96 мм.;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- 5 кг.;
- Рекомендуется переодически (не реже 1 раза/мес.) производить подтяжку всех резьбовых соединений;
- Для разных стен требуются различные крепежные приспособления. Подберите подходящие для ваших стен
шурупы, дюбели, саморезы и т.п. (не прилагаются).
- Гарантия - 2 года.</t>
  </si>
  <si>
    <t>Вешалка Sheffilton SHT-WH13</t>
  </si>
  <si>
    <t>В2-98</t>
  </si>
  <si>
    <t>Закругленные продольные планки из натурального массива дерева гармонично смотрятся с четырьмя крупными
крючками из трубы. Новинка впишется в дизайн домашней прихожей, офиса, кафе, ресторана или бара. Настенная
вешалка - это то, что видят гости или клиенты при знакомстве с Вами или Вашей компанией, а так же
- это самый простой способ сохранить порядок.
- Вешалка выполнена из металлической трубы 16 мм., пластиковой фурнитуры 16 мм. и планок из массива
дерева толщиной 20 мм.;
- Расстояние между крючками 960 мм.;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- 9 кг.;
- Для разных стен требуются различные крепежные приспособления. Подберите подходящие для ваших стен
шурупы, дюбели, саморезы и т.п. (не прилагаются).
- Гарантия - 2 года.</t>
  </si>
  <si>
    <t>Вешалка Sheffilton SHT-WH14-3</t>
  </si>
  <si>
    <t>B2-101</t>
  </si>
  <si>
    <t>белый</t>
  </si>
  <si>
    <t>Легкая, удобная, минималистичная и стильная настенная вешалка отлично "поддержит" Ваши предметы гардероба
в любое время года. Такая вешалка отлично впишется в дизайн домашней прихожей, офиса, кафе, ресторана
или бара.
- Вешалка выполнена из стального прутка диаметром 50 мм.;
- Расстояние между крючками 110 мм.;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- 10 кг.;
- Для разных стен требуются различные крепежные приспособления. Подберите подходящие для ваших стен
шурупы, дюбели, саморезы и т.п. (не прилагаются).</t>
  </si>
  <si>
    <t>коричневый муар</t>
  </si>
  <si>
    <t>черный муар</t>
  </si>
  <si>
    <t>Вешалка Sheffilton SHT-WH14-4</t>
  </si>
  <si>
    <t>B2-102</t>
  </si>
  <si>
    <t>Вешалка Sheffilton SHT-WH14-5</t>
  </si>
  <si>
    <t>B2-103</t>
  </si>
  <si>
    <t>Вешалка Sheffilton SHT-WH15-3</t>
  </si>
  <si>
    <t>В2-105</t>
  </si>
  <si>
    <t>Легкая, удобная, минималистичная и стильная настенная вешалка отлично "поддержит" Ваши предметы гардероба
в любое время года. Такая вешалка отлично впишется в дизайн домашней прихожей, офиса, кафе, ресторана
или бара.
- Вешалка выполнена из стального прутка диаметром 5 мм.;
- Расстояние между крючками 110 мм.;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- 10 кг.;
- Для разных стен требуются различные крепежные приспособления. Подберите подходящие для ваших стен
шурупы, дюбели, саморезы и т.п. (не прилагаются).</t>
  </si>
  <si>
    <t>Вешалка Sheffilton SHT-WH15-4</t>
  </si>
  <si>
    <t>В2-106</t>
  </si>
  <si>
    <t>Вешалка Sheffilton SHT-WH16-3</t>
  </si>
  <si>
    <t>В2-107</t>
  </si>
  <si>
    <t>Вешалка Sheffilton SHT-WH16-4</t>
  </si>
  <si>
    <t>В2-108</t>
  </si>
  <si>
    <t>Вешалка Sheffilton SHT-WH17</t>
  </si>
  <si>
    <t>В2-104</t>
  </si>
  <si>
    <t>браш.коричневый/черный муар</t>
  </si>
  <si>
    <t>дерево (дуб)/металл</t>
  </si>
  <si>
    <t>КАЖДОЙ МЕЛОЧИ - СВОЕ МЕСТО!
Строгая и лаконичная вешалка с планкой из дуба с эффектом "браширования". Она отлично впишется в дизайн
домашней прихожей, офиса, кафе, ресторана или бара.
- Вешалка выполнена из прутка диаметром 4 мм. и планки из массива дуба;
- Надежные металлические крючки окрашены порошковой краской устойчивой к механическому воздействию;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t>
  </si>
  <si>
    <t>Вешалка Sheffilton SHT-WH20</t>
  </si>
  <si>
    <t>В2-150</t>
  </si>
  <si>
    <t>беленый/серебро</t>
  </si>
  <si>
    <t>дерево (бук)/пластик</t>
  </si>
  <si>
    <t>БЕЛЫЙ И СЕРЕБРЯНЫЙ - УЛЬТРАМОДНОЕ СОЧЕТАНИЕ ЦВЕТОВ!
- Она отлично впишется в дизайн домашней прихожей, офиса, кафе, ресторана или бара;
- Вешалка выполнена из массива бука. Натуральное дерево в интерьере - органика и натуральность;
- Надежные крючки из пластика окрашены стойкой краской устойчивой к механическому воздействию;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
- Гарантия - 2 года.</t>
  </si>
  <si>
    <t>браш. коричневый/черный зол.патина</t>
  </si>
  <si>
    <t>дерево (дуб)/пластик</t>
  </si>
  <si>
    <t>Роскошная настенная вешалка! Каждый крючок покрыт эффектом золотой патины. Основа вешалки выполнена
из натурального дуба, текстура которого подчеркнута брашированием. Изделие отлично впишется в дизайн
домашней прихожей, офиса, кафе, ресторана или бара;
- Вешалка выполнена из массива дуба;
- Надежные крючки из пластика окрашены стойкой краской устойчивой к механическому воздействию;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t>
  </si>
  <si>
    <t>Вешалка Sheffilton SHT-WH21</t>
  </si>
  <si>
    <t>В2-151</t>
  </si>
  <si>
    <t>атланта брашированный</t>
  </si>
  <si>
    <t>дерево/пластик</t>
  </si>
  <si>
    <t>Роскошная настенная вешалка! Основа выполнена из натурального массива дуба и покрыта эффектом браширование
для большего визуального восприятия текстуры. Каждый пластиковый крючок вручную покрашен в тон основной
планки. В итоге, исполнение вешалки настолько сильное и изящное, что несомненно вызовет восторг при
ближайшем знакомстве. Изделие отлично украсит в дизайн домашней прихожей, офиса, кафе, ресторана или
бара;
- Вешалка выполнена из массива дуба;
- Надежные крючки из пластика покрыты стойкой краской устойчивой к механическому воздействию;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t>
  </si>
  <si>
    <t>Вешалка Sheffilton SHT-WH22</t>
  </si>
  <si>
    <t>В2-152</t>
  </si>
  <si>
    <t>прозрачный лак/ваниль</t>
  </si>
  <si>
    <t>Роскошная настенная вешалка! Основа выполнена из натурального массива бука, текстура которого подчеркнута
прозрачным лаком. Нежные ванильные пластиковые крючки красиво оттеняют натуральную текстуру дерева.
Готовая вешалка гармонично впишется в дизайн домашней прихожей, офиса, кафе, ресторана или бара;
- Планка вешалки выполнена из массива бука;
- Надежные крючки выполнены из пластика;
- Максимальная распределенная статическая нагрузка на крючок - 5 кг.;
- Для разных стен требуются различные крепежные приспособления. Подберите подходящие для ваших стен
шурупы, дюбели, саморезы и т.п. (не прилагаются).</t>
  </si>
  <si>
    <t>Вешалка Sheffilton SHT-WH26</t>
  </si>
  <si>
    <t>B2-110</t>
  </si>
  <si>
    <t>черный муар/черный</t>
  </si>
  <si>
    <t>металл/пластик</t>
  </si>
  <si>
    <t>Прочность металла и надежность пластиковых крючков хорошо сочетаются в настенной вешалке SHT-WH26!
Она поможет навести порядок в доме и сэкономить место в помещении.
СТИЛЬНЫЙ ДИЗАЙН
Основа вешалки красиво изогнута по аналогии с природными мотивами. Минималистичные крючки добавляют
лаконичности в интерьер.
ПРОЧНОСТЬ И ДОЛГОВЕЧНОСТЬ.
Вешалка выполнена из металлической трубы (диаметр 12мм) и 5-х надежных пластиковых крючков. Металлические
детали окрашены порошковой краской, устойчивой к механическому воздействию. Максимальная статическая
нагрузка на крючок 5 кг.
ПРОСТАЯ СБОРКА.
Изделие разборное, что обеспечивает простоту сборки и хранения.
ГАРАНТИЯ 2 ГОДА.</t>
  </si>
  <si>
    <t>В2-110</t>
  </si>
  <si>
    <t>белый муар/черный</t>
  </si>
  <si>
    <t>Вешалка Sheffilton SHT-WH32-4</t>
  </si>
  <si>
    <t>В2-211</t>
  </si>
  <si>
    <t>дуб верона белый/серебро/белый</t>
  </si>
  <si>
    <t>МДФ/пластик</t>
  </si>
  <si>
    <t>Дизайн рисунка МДФ и эстетика надежных пластиковых крючков хорошо сочетаются в настенной вешалке SHT-WH32-4!
Она непременно поможет навести порядок в доме и сэкономить место хранения вещей.
СТИЛЬНЫЙ ДИЗАЙН
Основа вешалки выполнена из МДФ. Этот материал не содержит и не выделяет вредных веществ.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вешалки визуально неотличимы от натурального дерева.
Минималистичные крючки придают изделию лаконичности.
ПРОЧНОСТЬ И ДОЛГОВЕЧНОСТЬ.
Вешалка выполнена из МДФ толщиной 22 мм. и 4-х надежных пластиковых крючков. Максимальная статическая
нагрузка на крючок 4,5 кг.</t>
  </si>
  <si>
    <t>мрамор премиум темн/графит/белый</t>
  </si>
  <si>
    <t>Дизайн рисунка МДФ и эстетика надежных пластиковых крючков хорошо сочетаются в настенной вешалке SHT-WH32-4!
Она непременно поможет навести порядок в доме и сэкономить место хранения вещей.
СТИЛЬНЫЙ ДИЗАЙН
Основа вешалки выполнена из МДФ. Этот материал не содержит и не выделяет вредных веществ.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вешалки визуально неотличимы от натурального мрамора.
Минималистичные двухцветные крючки придают изделию лаконичности.
ПРОЧНОСТЬ И ДОЛГОВЕЧНОСТЬ.
Вешалка выполнена из МДФ толщиной 22 мм. и 4-х надежных пластиковых крючков. Максимальная статическая
нагрузка на крючок 4,5 кг.</t>
  </si>
  <si>
    <t>Вешалка Sheffilton SHT-WH33-4</t>
  </si>
  <si>
    <t>бетон светлый/графит матовый</t>
  </si>
  <si>
    <t>Дизайн рисунка МДФ и эстетика надежных пластиковых крючков хорошо сочетаются в настенной вешалке SHT-WH33-4!
Она непременно поможет навести порядок в доме и сэкономить место хранения вещей.
СТИЛЬНЫЙ ДИЗАЙН
Основа вешалки выполнена из МДФ. Этот материал не содержит и не выделяет вредных веществ.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вешалки визуально неотличимы от натурального камня.
Минималистичные крючки придают изделию лаконичности.
ПРОЧНОСТЬ И ДОЛГОВЕЧНОСТЬ.
Вешалка выполнена из МДФ толщиной 22 мм. и 4-х надежных пластиковых крючков. Максимальная статическая
нагрузка на крючок 4,5 кг.</t>
  </si>
  <si>
    <t>палисандр/черный</t>
  </si>
  <si>
    <t>Дизайн рисунка МДФ и эстетика надежных пластиковых крючков хорошо сочетаются в настенной вешалке SHT-WH33-4!
Она непременно поможет навести порядок в доме и сэкономить место хранения вещей.
СТИЛЬНЫЙ ДИЗАЙН
Основа вешалки выполнена из МДФ. Этот материал не содержит и не выделяет вредных веществ.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вешалки визуально неотличимы от натурального дерева.
Минималистичные крючки придают изделию лаконичности.
ПРОЧНОСТЬ И ДОЛГОВЕЧНОСТЬ.
Вешалка выполнена из МДФ толщиной 22 мм. и 4-х надежных пластиковых крючков. Максимальная статическая
нагрузка на крючок 4,5 кг.</t>
  </si>
  <si>
    <t>Вешалка Sheffilton SHT-WH5</t>
  </si>
  <si>
    <t>В2-95</t>
  </si>
  <si>
    <t>хром лак/серый</t>
  </si>
  <si>
    <t>Простой и удобный способ хранить одежду так, чтобы найти нужное было легко.
Они годятся для любой комнаты дома, и для узкой прихожей - они идеальны.
По бокам предусмотрены 2 крючка для шарфов, галстуков, ремней, украшений и других мелочей.
ТЕХНИЧЕСКИЕ ДАННЫЕ:
Вешалка выполнена из металла, диаметр/толщина 28х0,8 мм. и пластиковой фурнитуры.
Порошковая окраска изделия, стойкая к механическим повреждениям.
Максимальная распределенная статическая нагрузка на штангу - 8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</si>
  <si>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SHT-WH6</t>
  </si>
  <si>
    <t>В2-96</t>
  </si>
  <si>
    <t>Простой и удобный способ хранить одежду так, чтобы найти нужное было легко.
Они годятся для любой комнаты дома, и для узкой прихожей - они идеальны.
По бокам предусмотрены 2 крючка для шарфов, галстуков, ремней, украшений и других мелочей.
ТЕХНИЧЕСКИЕ ДАННЫЕ:
Вешалка выполнена из металла, диаметр/толщина 28х0,8 мм. и 10х0,6 мм., проволоки, диаметром 5 мм.
и пластиковой фурнитуры.
Порошковая окраска изделия, стойкая к механическим повреждениям.
Максимальная распределенная статическая нагрузка на крючок - 5 кг., на штангу - 8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</si>
  <si>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SHT-WH7</t>
  </si>
  <si>
    <t>В2-97</t>
  </si>
  <si>
    <t>хром лак/серый (+)</t>
  </si>
  <si>
    <t>Простой и удобный способ хранить одежду так, чтобы найти нужное было легко.
Они годятся для любой комнаты дома, и для узкой прихожей - они идеальны.
По бокам предусмотрены 2 крючка для шарфов, галстуков, ремней, украшений и других мелочей.
На полке удобно хранить шапки, шляпы, перчатки.
ТЕХНИЧЕСКИЕ ДАННЫЕ:
Вешалка выполнена из металла, диаметр/толщина 28х0,8 мм. и 10х0,6 мм., проволоки, диаметром 5 мм.
и 3 мм. и пластиковой фурнитуры.
Порошковая окраска изделия, стойкая к механическим повреждениям.
Максимальная распределенная статическая нагрузка на крючок - 5 кг., на штангу - 8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</si>
  <si>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SHT-WH8</t>
  </si>
  <si>
    <t>В2-100</t>
  </si>
  <si>
    <t>ваниль/коричневый</t>
  </si>
  <si>
    <t>Лаконичная нейтрального цвета вешалка с выразительными крючками отлично "поддежит" Ваши предметы гардероба
в любое время года. Крючки крупные размером почти 32 см., выдерживают до 5 кг.! Такая вешалка отлично
впишется в дизайн домашней прихожей, офиса, кафе, ресторана или бара.
- Вешалка выполнена из металлической трубы 16 мм., пластиковой фурнитуры 16 мм.;
- Расстояние между крючками 120 мм.;
- Расстояние между планками 70 мм.;
- Надежные металлические крючки окрашены порошковая краской устойчивой к механическому воздействию;
- Максимальная распределенная статическая нагрузка на крючок - 9 кг.;
- Для разных стен требуются различные крепежные приспособления. Подберите подходящие для ваших стен
шурупы, дюбели, саморезы и т.п. (не прилагаются).
- Гарантия - 2 года.</t>
  </si>
  <si>
    <t>коричневый муар/черный</t>
  </si>
  <si>
    <t>Вешалка Sheffilton SHT-WH9</t>
  </si>
  <si>
    <t>В2-154</t>
  </si>
  <si>
    <t>беленый/белый</t>
  </si>
  <si>
    <t>Вешалка выполнена из массива дерева с натуральным узором. Она поможет создать уютную атмосферу даже
в самой маленькой прихожей дома, офиса или заведения. Прямые линии и четкие формы изделия прекрасно
будут сочетаться в интерьерах самых разных стилей.Все необходимое всегда будет под рукой. На вешалке
вы сможете разместить верхнюю одежду и головные уборы.
ТЕХНИЧЕСКИЕ ДАННЫЕ:
Выполнена из массива древесины, брус 34х24 мм., и металла.
Размеры полки: 250х650 мм.
Деревянные детали могут немного отличаться по оттенку из-за неоднородности структуры дерева.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Изделие полностью разборное, что обеспечивает простоту сборки и хранения.
Гарантия - 2 года.</t>
  </si>
  <si>
    <t>беленый/черный муар</t>
  </si>
  <si>
    <t>венге/черный муар</t>
  </si>
  <si>
    <t>прозрачный лак/антрацит</t>
  </si>
  <si>
    <t>Вешалка Sheffilton Альберо SHT-WH25</t>
  </si>
  <si>
    <t>В2-153</t>
  </si>
  <si>
    <t>беленый/алюм.мет</t>
  </si>
  <si>
    <t>Вешалку SHT-WH25 можно использовать в двух вариантах.
1.В качестве НАДВЕРНОЙ ВЕШАЛКИ. В таком исполнении Вам не придется сверлить стены, достаточно повесить
на дверь. Все легко и просто! Вешалка подойдет для любых дверей до 44 мм. Ее можно использовать на
дверях в спальне, детской и ванной комнатах.
2. В качестве КЛАССИЧЕСКОЙ НАСТЕННОЙ ВЕШАЛКИ. Вы можете ее разместить в прихожей, в гардеробной, на
балконе, на даче или в кабинете в офисе.
В КОМПЛЕКТ ВХОДЯТ ОБА КРЕПЛЕНИЯ! Вы можете использовать в двух вариантах, в зависимости от потребностей.
Все товары серии Альберо выполнены из массива дерева с натуральной текстурой,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вешалке вы сможете разместить верхнюю одежду, сумки, зонтики
и многое другое.
Комбинируется с другими товарами серии Альберо зеркалами, напольными и настенными вешалками, полками
для обуви и банкетками.
ТЕХНИЧЕСКИЕ ДАННЫЕ:
Выполнена из массива древесины, брус 34х24 мм., и металла.
Расстояние между крючками: 128 мм.
Максимальная распределенная статическая нагрузка на крючок - 5 кг.
Деревянные детали могут немного отличаться по оттенку из-за неоднородности структуры дерева.
Надежные металлические крючки окрашены порошковой краской, устойчивой к механическому воздействию.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Изделие полностью разборное, что обеспечивает простоту сборки и хранения.</t>
  </si>
  <si>
    <t>венге/алюм.мет</t>
  </si>
  <si>
    <t>прозрачный лак/алюм.мет</t>
  </si>
  <si>
    <t>Вешалка Sheffilton Альберо SHT-WH4</t>
  </si>
  <si>
    <t>В2-91</t>
  </si>
  <si>
    <t>беленый/алюм.мет (+)</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</si>
  <si>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вешалке вы сможете разместить верхнюю одежду и головные
уборы.
Комбинируется с другими товарами серии Альберо.
ТЕХНИЧЕСКИЕ ДАННЫЕ:
Выполнена из массива древесины, брус 34х24 мм., и металла.
Размеры полки: 250х650 мм.
Расстояние между крючками: 128 мм.
Максимальная распределенная статическая нагрузка на крючок - 5 кг, на полку - 10 кг.
Деревянные детали могут немного отличаться по оттенку из-за неоднородности структуры дерева.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Изделие полностью разборное, что обеспечивает простоту сборки и хранения.
Гарантия - 2 года.</t>
  </si>
  <si>
    <t>венге/алюм.мет (+)</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</si>
  <si>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вешалке вы сможете разместить верхнюю одежду и головные
уборы.
Комбинируется с другими товарами серии Альберо.
ТЕХНИЧЕСКИЕ ДАННЫЕ:
Выполнена из массива древесины, брус 34х24 мм., и металла.
Размеры полки: 250х650 мм.
Расстояние между крючками: 128 мм.
Максимальная распределенная статическая нагрузка на крючок - 5 кг, на полку - 10 кг.
Деревянные детали могут немного отличаться по оттенку из-за неоднородности структуры дерева.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Изделие полностью разборное, что обеспечивает простоту сборки и хранения.</t>
  </si>
  <si>
    <t>Вешалка Sheffilton Грация 1/4</t>
  </si>
  <si>
    <t>В2-65</t>
  </si>
  <si>
    <t>золотой антик/мет. золото</t>
  </si>
  <si>
    <t>"Очаровательная и утонченная".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Диаметр проушины 12,5 мм.
Расстояние между проушинами 405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</si>
  <si>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черный/черный</t>
  </si>
  <si>
    <t>Вешалка Sheffilton Грация 1/5</t>
  </si>
  <si>
    <t>В2-66</t>
  </si>
  <si>
    <t>"Очаровательная красавица".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Диаметр проушины 12,5 мм.
Расстояние между проушинами 610 мм.
Порошковая окраска изделия, стойкая к механическим повреждениям.
Максимальная распределенная статическая нагрузка на крючок - 5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</si>
  <si>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2/5</t>
  </si>
  <si>
    <t>В2-67</t>
  </si>
  <si>
    <t>"Очаровательная красавица".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Диаметр проушины 12,5 мм.
Порошковая окраска изделия, стойкая к механическим повреждениям.
Максимальная распределенная статическая нагрузка на крючок - 5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</si>
  <si>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4/5</t>
  </si>
  <si>
    <t>В2-69</t>
  </si>
  <si>
    <t>орех/черный/черный</t>
  </si>
  <si>
    <t>металл/ЛДСП</t>
  </si>
  <si>
    <t>"Украшение прихожей".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Размеры полки: 618х230 мм.
Порошковая окраска изделия, стойкая к механическим повреждениям.
Максимальная распределенная статическая нагрузка на крючок - 5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</si>
  <si>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770</t>
  </si>
  <si>
    <t>В2-83</t>
  </si>
  <si>
    <t>черный/серый</t>
  </si>
  <si>
    <t>"Украшение прихожей".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</si>
  <si>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770-2</t>
  </si>
  <si>
    <t>В2-83-2</t>
  </si>
  <si>
    <t>"Утонченная красавица".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металлической проволки 5 мм.
Расстояние между крючками: 178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</si>
  <si>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780</t>
  </si>
  <si>
    <t>B2-84</t>
  </si>
  <si>
    <t>черный/серый (+)</t>
  </si>
  <si>
    <t>"Не позволяйте месту пропадать. На стене можно хранить много ваших вещей".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</si>
  <si>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790</t>
  </si>
  <si>
    <t>В2-85</t>
  </si>
  <si>
    <t>черный/черный (+)</t>
  </si>
  <si>
    <t>"Утонченная красавица".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металла, диаметром 10 мм, проволки 5 мм и пластиковой фурнитуры.
Порошковая окраска изделия, стойкая к механическим повреждениям.
Расстояние между проушинами 660 мм.
Максимальная распределенная статическая нагрузка на крючок - 5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</si>
  <si>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Грация 850</t>
  </si>
  <si>
    <t>В2-87</t>
  </si>
  <si>
    <t>ваниль/венге</t>
  </si>
  <si>
    <t>"Чудесное решение для прихожей".
Выразительный внешний вид, выполненный в стиле старинных, ремесленных изделий.
Простой и удобный способ хранить одежду так, чтобы найти нужное было легко.
ТЕХНИЧЕСКИЕ ДАННЫЕ:
Вешалка выполнена из ЛДСП, толщиной 16 мм. и металлической проволки 5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</si>
  <si>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кор.муар/дуб молочный</t>
  </si>
  <si>
    <t>Вешалка Sheffilton Крючок-2</t>
  </si>
  <si>
    <t>В2-93</t>
  </si>
  <si>
    <t>Простое решение для самых маленьких и тесных пространств.
Крепится к стене при помощи двух петель.
Расстояние между крючками 40 мм.
Выполнена из металла, проволока диаметром 3 и 5 мм и пластиковой фурнитуры.
Порошковая окраска изделия, стойкая к механическим повреждениям.
Максимальная нагрузка на один крючок 10 кг.
Гарантия 2 года.</t>
  </si>
  <si>
    <t>Вешалка Sheffilton Стандарт 1/4</t>
  </si>
  <si>
    <t>В2-5-1</t>
  </si>
  <si>
    <t>белый/серый (+)</t>
  </si>
  <si>
    <t>Простой и удобный способ хранить одежду так, чтобы найти нужное было легко.
ТЕХНИЧЕСКИЕ ДАННЫЕ:
Вешалка выполнена из металлической трубы 10 мм. и пластиковой фурнитуры 12 мм.
Диаметр проушины 12,5 мм.
Расстояние между проушинами 420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</si>
  <si>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Стандарт 1/6</t>
  </si>
  <si>
    <t>В2-63</t>
  </si>
  <si>
    <t>черный/белый (+)</t>
  </si>
  <si>
    <t>Простой и удобный способ хранить одежду так, чтобы найти нужное было легко.
Создана в классическом стиле, идеально подойдет для жилых и общественных помещений.
Предусмотрена полочка для головных уборов, шапок, шарфов, шляп.
ТЕХНИЧЕСКИЕ ДАННЫЕ:
Вешалка выполнена из металлической трубы 10 мм. и пластиковой фурнитуры 12 мм.
Диаметр проушины 12,5 мм.
Расстояние между проушинами 550 мм.
Расстояние между крючками 110 мм.
Порошковая окраска изделия, стойкая к механическим повреждениям.
Максимальная распределенная статическая нагрузка на крючок - 5 кг, на полку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Изделие разборное.
Гарантия - 2 года.</t>
  </si>
  <si>
    <t>Вешалка Sheffilton Стандарт 2/3</t>
  </si>
  <si>
    <t>В2-5-4</t>
  </si>
  <si>
    <t>Простой и удобный способ хранить одежду так, чтобы найти нужное было легко.
ТЕХНИЧЕСКИЕ ДАННЫЕ:
Вешалка выполнена из металлической трубы 10 мм. и пластиковой фурнитуры 12 мм.
Диаметр проушины 12,5 мм.
Расстояние между проушинами 140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</si>
  <si>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Стандарт 2/5</t>
  </si>
  <si>
    <t>В2-5-5</t>
  </si>
  <si>
    <t>белый/белый (+)</t>
  </si>
  <si>
    <t>медный/черный (+)</t>
  </si>
  <si>
    <t>Вешалка Sheffilton Стандарт 2/7</t>
  </si>
  <si>
    <t>В2-5-7</t>
  </si>
  <si>
    <t>Простой и удобный способ хранить одежду так, чтобы найти нужное было легко.
ТЕХНИЧЕСКИЕ ДАННЫЕ:
Вешалка выполнена из металлической трубы 10 мм. и пластиковой фурнитуры 12 мм.
Диаметр проушины 12,5 мм.
Расстояние между проушинами 470 мм.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</si>
  <si>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Угловая</t>
  </si>
  <si>
    <t>В2-3</t>
  </si>
  <si>
    <t>серебро перлато/серый (+)</t>
  </si>
  <si>
    <t>Простой и удобный способ хранить одежду так, чтобы найти нужное было легко.
ТЕХНИЧЕСКИЕ ДАННЫЕ:
Вешалка выполнена из металлической трубы 10 мм. и пластиковой фурнитуры 12 мм.
Крепится в угол стены.
Порошковая окраска изделия, стойкая к механическим повреждениям.
Максимальная распределенная статическая нагрузка на крючок - 5 кг.
УПАКОВКА И ГАРАНТИЯ
Для разных стен требуются различные крепежные приспособления. Подберите подходящие для ваших стен
шурупы, дюбели, саморезы и т.п. (не прилагаются).
Гарантия - 2 года.</t>
  </si>
  <si>
    <t>Вешалка Sheffilton SHT-642</t>
  </si>
  <si>
    <t>В1-45</t>
  </si>
  <si>
    <t>- Вешалка предназначена для размещения верхней одежды;
- Качественно выполненные соединения;
- Порошковое покрытие каркаса, стойкое к механическим воздействиям;
- Устойчивое основание;
- Диаметр нижней части вешалки 535 мм, верхней - 390 мм.
- Максимальная нагрузка на крючок 5 кг;
- Изделие полностью разборное, что обеспечивает простоту сборки и хранения.
- Гарантия 2 года.</t>
  </si>
  <si>
    <t>слоновая кость/кор.</t>
  </si>
  <si>
    <t>Вешалка Sheffilton SHT-655</t>
  </si>
  <si>
    <t>В1-46</t>
  </si>
  <si>
    <t>металл/пластик/металл. осн.</t>
  </si>
  <si>
    <t>- Элегантная вешалка в классическом стиле на металлическом основании;
- Вешалка с усиленным основанием самый простой и удобный способ принять большой поток гостей в кафе,
ресторане, отеле или в вашем доме;
- В качестве усиления в основании вешалки используется тройной слой груза;
- Устойчивая конструкция и качественно выполненные соединения;
- Вешалка выполнена из металла, диаметр/толщина трубы: 38х1 мм;
- Порошковое покрытие изделия, стойкое к механическим воздействиям;
- Максимальная нагрузка на крючок 5 кг;
- Изделие полностью разборное, что обеспечивает простоту сборки и хранения.
- Гарантия 2 года.</t>
  </si>
  <si>
    <t>Вешалка Sheffilton SHT-CR10</t>
  </si>
  <si>
    <t>В1-72</t>
  </si>
  <si>
    <t>светлый орех/мрамор</t>
  </si>
  <si>
    <t>металл/мраморное осн.</t>
  </si>
  <si>
    <t>Просто повесьте одежду на вешалку, так намного проще поддерживать порядок в прихожей;
- Стойка вешалки выполнена из металла с отделкой пленкой PVC "под дерево" цветом светлый орех; крючки
черного цвета - из металла с порошковой окраской, стойкой к механическим повреждениям; крючки для
сумок цветом черный муар;
- Диаметр и толщина металической трубы 38х1 мм; крючки 12х0,6 мм;
- Пластиковая фурнитура черного цвета;
- Устойчивое мраморное основание черного цвета, диаметром 370 мм;
- Максимальная нагрузка на крючок 5 кг;
- Изделие полностью разборное, что обеспечивает простоту сборки и хранения.
- Гарантия 2 года.</t>
  </si>
  <si>
    <t>Вешалка  Sheffilton SHT-CR12</t>
  </si>
  <si>
    <t>В1-75</t>
  </si>
  <si>
    <t>светлый орех/черный</t>
  </si>
  <si>
    <t>дерево/металл/мет.осн</t>
  </si>
  <si>
    <t>- Вешалка с усиленным основанием самый простой и удобный способ принять большой поток гостей в кафе,
ресторане, отеле или в вашем доме;
- В качестве усиления в основании вешалки используется тройной слой груза;
- Выполнена из массива древесины - сосна, диаметром 53 мм;
- Крючки из металла, диаметром 12х0,8 мм, фурнитура - пластик, 20 мм;
- Вешалку удобно использовать детям, вешать одежду на средние крючки;
- Расстояние от пола до средних крючков 1040 мм;
- Металлическое основание, диаметром 370 мм, позволяет "не заваливаться" под весом одежды;
- Максимальная статическая нагрузка на крючок 5 кг;
- Изделие полностью разборное, что обеспечивает простоту сборки и хранения.
- Гарантия 2 года.</t>
  </si>
  <si>
    <t>светлый орех/черный/мрамор</t>
  </si>
  <si>
    <t>дерево/металл/мрамор</t>
  </si>
  <si>
    <t>- Вешалка - самый простой и удобный способ сохранить порядок в вашем доме;
- Выполнена из массива древесины - сосна, диаметром 53 мм;
- Крючки из металла, диаметром 12х0,8 мм, фурнитура - пластик, 20 мм;
- Вешалку удобно использовать детям, вешать одежду на средние крючки;
- Расстояние от пола до средних крючков 1040 мм;
- Мраморное основание, диаметром 370 мм, позволяет "не заваливаться" под весом одежды;
- Максимальная статическая нагрузка на крючок 5 кг;
- Изделие полностью разборное, что обеспечивает простоту сборки и хранения.
- Гарантия 2 года.</t>
  </si>
  <si>
    <t>Вешалка Sheffilton SHT-CR14</t>
  </si>
  <si>
    <t>В1-148</t>
  </si>
  <si>
    <t>Вешалка - самый простой и удобный способ сохранить порядок в кафе, офисе или разместить одежду гостей
дома. Оригинальный декор стойки вешалки SHT-CR14 стилизован под дизайн изделий из дерева, эта особенность
придаст элегантность любому помещению.
- Вешалка выполнена из металлической трубы (диаметр 51мм) и пластиковой фурнитуры 18 мм;
- Вешалка имеет 4 металлических крючка (диаметр/толщина - 16х0,6мм);
- Металлические детали окрашены порошковой краской, устойчивой к механическому воздействию;
- Устойчивое металлическое основание диаметром 350 мм, позволяет "не заваливаться" под весом одежды;
- Расстояние от пола до крючков 1580 мм;
- Максимальная статическая нагрузка на крючок 5 кг;
- Изделие полностью разборное, что обеспечивает простоту сборки и хранения.
- Гарантия 2 года.</t>
  </si>
  <si>
    <t>золотой дуб/черный</t>
  </si>
  <si>
    <t>Надежность металла и природная красота дерева гармонично сочетаются в напольной вешалке SHT-CR14!
Она поможет навести порядок в доме и сэкономить место в помещении.
СТИЛЬНЫЙ ДИЗАЙН
Стойка вешалки выполнена из формованной трубы с текстурой под "дерево". Корона дополнена классическими
металлическими крючками. Все это создает ощущение надежной вешалки из натурального массива, способной
задать настроение и уют дому, офису или кафе.
ПРОЧНОСТЬ И ДОЛГОВЕЧНОСТЬ.
Вешалка выполнена из металлической трубы (диаметр 51мм) и 4-х прочных металлических крючков (диаметр/толщина
- 16х0,6мм). Максимальная статическая нагрузка на крючок 5 кг.
СУБЛИМАЦИЯ "ПОД ДЕРЕВО".
Стойка вешалки окрашена порошковой краской и применена технология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СТОЙКОСТЬ.
Металлическое основание диаметром 350 мм, позволяет "не заваливаться" под весом одежды.
ПРОСТАЯ СБОРКА.
Изделие полностью разборное, что обеспечивает простоту сборки и хранения.
ГАРАНТИЯ 2 ГОДА.</t>
  </si>
  <si>
    <t>Вешалка Sheffilton SHT-CR15</t>
  </si>
  <si>
    <t>В1-89</t>
  </si>
  <si>
    <t>дуб фиам/коричневый</t>
  </si>
  <si>
    <t>Прочность металла и природная красота дерева гармонично сочетаются в напольной вешалке SHT-CR15! Она
поможет навести порядок в доме и сэкономить место в помещении.
СТИЛЬНЫЙ ДИЗАЙН
Стойка выполнена из формованной трубы с текстурой под "дерево" и элегантными крючками в виде цветочных
лепестков. Все это создает ощущение натуральной деревянной вешалки, способной задать незабываемое
настроение и уют дому, офису или кафе.
ПРОЧНОСТЬ И ДОЛГОВЕЧНОСТЬ.
Вешалка выполнена из металлической трубы (диаметр 51мм) и 4-х надежных пластиковых крючков. Максимальная
статическая нагрузка на крючок 5 кг.
СУБЛИМАЦИЯ "ПОД ДЕРЕВО".
Стойка и основание вешалки окрашены порошковой краской и применена технология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СТОЙКОСТЬ.
Металлическое основание диаметром 350 мм, позволяет "не заваливаться" под весом одежды.
ПРОСТАЯ СБОРКА.
Изделие полностью разборное, что обеспечивает простоту сборки и хранения.
ГАРАНТИЯ 2 ГОДА.</t>
  </si>
  <si>
    <t>золото/глянц.золото</t>
  </si>
  <si>
    <t>Прочность металла и красота золотого дизайна великолепно сочетаются в напольной вешалке SHT-CR15!
Она поможет навести порядок в доме, сэкономить место в помещении и добавить богатых красок в интерьер.
СТИЛЬНЫЙ ДИЗАЙН
Стойка выполнена из формованной трубы и элегантными крючками в виде цветочных лепестков. В качестве
привлекающего внимания элемента все делали покрашены в сверкающий золотой цвет. Вешалка способна задать
незабываемое настроение и уют дому, офису или кафе.
ПРОЧНОСТЬ И ДОЛГОВЕЧНОСТЬ.
Вешалка выполнена из металлической трубы (диаметр 51мм) и 4-х надежных пластиковых крючков. Металлические
детали окрашены порошковой краской, устойчивой к механическому воздействию. Максимальная статическая
нагрузка на крючок 5 кг.
СТОЙКОСТЬ.
Металлическое основание диаметром 350 мм, позволяет "не заваливаться" под весом одежды.
ПРОСТАЯ СБОРКА.
Изделие полностью разборное, что обеспечивает простоту сборки и хранения.
ГАРАНТИЯ 2 ГОДА.</t>
  </si>
  <si>
    <t>коричневый/черный муар</t>
  </si>
  <si>
    <t>Вешалка - самый простой и удобный способ сохранить порядок в кафе, офисе или разместить одежду гостей
дома. Оригинальный декор стойки вешалки SHT-CR15 стилизован под дизайн изделий из дерева. Вешалка
заужена к верху, эта особенность придаст элегантность любому помещению.
- Вешалка выполнена из металлической трубы (диаметр 51мм) и пластиковой фурнитуры;
- Вешалка имеет 4 пластиковых крючка;
- Металлические детали окрашены порошковой краской, устойчивой к механическому воздействию;
- Устойчивое металлическое основание диаметром 350 мм, позволяет "не заваливаться" под весом одежды;
- Расстояние от пола до крючков 1505 мм;
- Максимальная статическая нагрузка на крючок 5 кг;
- Изделие полностью разборное, что обеспечивает простоту сборки и хранения.
- Гарантия 2 года.</t>
  </si>
  <si>
    <t>Вешалка Sheffilton SHT-CR17</t>
  </si>
  <si>
    <t>В1-91</t>
  </si>
  <si>
    <t>хром лак/антрацит</t>
  </si>
  <si>
    <t>Напольная вешалка SHT-CR17 освежит обстановку интерьера и станет стильным его дополнением.
Декор короны выполнен из серых лепестков, которые придают готовому изделию изящные очертания.
- Вешалка выполнена из металлической трубы (диаметр 38мм);
- Вешалка имеет 4 пластиковых крючка;
- Металлические детали окрашены порошковой краской, устойчивой к механическому воздействию;
- Устойчивое металлическое основание диаметром 350 мм, позволяет "не заваливаться" под весом одежды; 
- Расстояние от пола до крючков 1500 мм;
- Максимальная статическая нагрузка на крючок 5 кг;
- Изделие полностью разборное, что обеспечивает простоту сборки и хранения.
- Гарантия 2 года.</t>
  </si>
  <si>
    <t>Вешалка Sheffilton SHT-CR18</t>
  </si>
  <si>
    <t>В1-95</t>
  </si>
  <si>
    <t>Красавица в винтажном стиле выглядит утончённой и лёгкой!
Антивандальное основание дает вешалке дополнительную устойчивость и не позволит завалиться под большим
количество одежды.
- Вешалка с оригинальными витыми элементами, похожими на кованные изделия;
- Выполнена из металла;
- Диаметр стойки трубы 51 мм, крючков 16 мм, прутка 5 мм, основания 560 мм, короны 542 мм.
- Порошковая окраска обеспечивает стойкость к механическим воздействиям; 
- Максимальная нагрузка на крючок - 15 кг;
- Изделие полностью разборное, что обеспечивает простоту сборки и хранения.
- Гарантия 2 года.</t>
  </si>
  <si>
    <t>Вешалка Sheffilton SHT-CR19</t>
  </si>
  <si>
    <t>В1-96</t>
  </si>
  <si>
    <t>темный орех/коричневый</t>
  </si>
  <si>
    <t>Вешалка - самый простой и удобный способ сохранить порядок в кафе, офисе или разместить одежду гостей
дома. Необычный изгиб стойки вешалки SHT-CR19 стилизован под естественный наклон живого дерева, эта
особенность придаст элегантность любому помещению. Подчеркивает натуральный мотив пленка PVC "под
дерево".
- Вешалка выполнена из металлической трубы (диаметр 28 мм) и пластиковой фурнитуры;
- Вешалка имеет 4 пластиковых крючка;
- Металлические детали окрашены порошковой краской, устойчивой к механическому воздействию;
- Устойчивое металлическое основание в форме овала, позволяет "не заваливаться" под весом одежды;
- Максимальная статическая нагрузка на крючок 5 кг;
- Изделие полностью разборное, что обеспечивает простоту сборки и хранения.</t>
  </si>
  <si>
    <t>Вешалка - самый простой и удобный способ сохранить порядок в кафе, офисе или разместить одежду гостей
дома. Необычный изгиб стойки вешалки SHT-CR19 стилизован под естественный наклон живого дерева, эта
особенность придаст элегантность любому помещению. Декор короны выполнен из серых лепестков, которые
придают готовому изделию изящные очертания.
- Вешалка выполнена из металлической трубы (диаметр 28 мм) и пластиковой фурнитуры;
- Вешалка имеет 4 пластиковых крючка;
- Металлические детали окрашены порошковой краской, устойчивой к механическому воздействию;
- Устойчивое металлическое основание в форме овала, позволяет "не заваливаться" под весом одежды;
- Максимальная статическая нагрузка на крючок 5 кг;
- Изделие полностью разборное, что обеспечивает простоту сборки и хранения.</t>
  </si>
  <si>
    <t>Вешалка Sheffilton  SHT-CR2078</t>
  </si>
  <si>
    <t>В1-69</t>
  </si>
  <si>
    <t>- Просто повесьте одежду на вешалку, так намного проще поддерживать порядок в прихожей;
- Вешалка выполнена из металла;
- Предусмотрено 4 крючка для одежды;
- Устойчивое основание из металла, 18х0,8 мм.; стойка 38х1 мм.; крючки 10х0,6 мм.;
- Порошковая окраска изделия, стойкая к механическим повреждениям;
- Максимальная нагрузка на крючок 5 кг;
- Изделие полностью разборное, что обеспечивает простоту сборки и хранения.
- Гарантия 2 года.</t>
  </si>
  <si>
    <t>Просто повесьте одежду на вешалку, так намного проще поддерживать порядок в прихожей;
- Вешалка выполнена из металла;
- Предусмотрено 4 крючка для одежды;
- Устойчивое основание из металла, 18х0,8 мм.; стойка 38х1 мм.; крючки 10х0,6 мм.;
- Порошковая окраска изделия, стойкая к механическим повреждениям;
- Максимальная нагрузка на крючок 5 кг;
- Изделие полностью разборное, что обеспечивает простоту сборки и хранения.
- Гарантия 2 года.</t>
  </si>
  <si>
    <t>Вешалка Sheffilton SHT-CR330</t>
  </si>
  <si>
    <t>В2-88</t>
  </si>
  <si>
    <t>- Вешалка НЕРАЗБОРНАЯ предназначена для размещения верхней одежды (3 крючка);
- Вешалка выполнена из металлической трубы (стойка 28х0,8, опоры 20х0,8, крючки 10х0,6);
- Размеры короны (ШхВхГ): 364х364х355мм;
- Порошковое покрытие каркаса, стойкое к механическим воздействиям;
- Устойчивое основание (D670);
- Максимальная нагрузка на крючок - 5 кг;
- Гарантия 2 года.</t>
  </si>
  <si>
    <t>Вешалка Sheffilton SHT-CR330 Р</t>
  </si>
  <si>
    <t>В1-58</t>
  </si>
  <si>
    <t>- Напольная вешалка предназначена для размещения верхней одежды (3 крючка);
- Вешалка выполнена из металлической трубы (стойка 28х0,8, опоры 20х0,8, крючки 10х0,6);
- Размеры короны (ШхВхГ): 364х364х355мм;
- Порошковое покрытие каркаса, стойкое к механическим воздействиям;
- Устойчивое основание (D670);
- Максимальная нагрузка на крючок - 5 кг;
- Изделие полностью разборное, что обеспечивает простоту сборки и хранения.
- Гарантия 2 года.</t>
  </si>
  <si>
    <t>Вешалка Sheffilton SHT-CR331</t>
  </si>
  <si>
    <t>В1-81</t>
  </si>
  <si>
    <t>белый/белый</t>
  </si>
  <si>
    <t>Просто повесьте одежду, так намного проще поддерживать порядок в доме.
- Вешалка выполнена из металла, стойка - диаметр/толщина 25х1,5 мм.; основание 20х0,8 мм., крючки
для одежды 10х0,5 мм.;
- Расстояние от основания до нижних крючков: 1 460 мм.; до верхних - 1 785 мм.;
- Устойчивое металлическое основание, диаметром 665 мм.;
- Максимальная нагрузка на верхнюю часть крючка 2,5 кг., на нижнюю часть - 5 кг.;
- Крючки и основание - разборные, стойка - не разборная;
- Гарантия 2 года.</t>
  </si>
  <si>
    <t>Вешалка Sheffilton SHT-CR400</t>
  </si>
  <si>
    <t>В1-48</t>
  </si>
  <si>
    <t>белый/серый/бел.</t>
  </si>
  <si>
    <t>- Прекрасная вешалка в сдержанном классическом стиле;
- Очень устойчивая и вместительная;
- Идеально впишется в обстановку дома, офиса, магазина;
- Выполнена из металлической трубы, диаметром 38 мм; крючки 10 мм;
- Порошковое покрытие каркаса, стойкое к механическим воздействиям;
- Основание из металла, диаметром 350 мм;
- Толщина металлического основания - 25мм;
- Размер короны: 400х400х315 мм;
- Расстояние от основания до средних крючков: 785 мм;
- Максимальная нагрузка на крючок 5 кг;
- Изделие полностью разборное, что обеспечивает простоту сборки и хранения.
- Гарантия 2 года.</t>
  </si>
  <si>
    <t>черный/серый/черн.</t>
  </si>
  <si>
    <t>Вешалка Sheffilton SHT-CR450</t>
  </si>
  <si>
    <t>В1-50</t>
  </si>
  <si>
    <t>черный/серый/мрамор</t>
  </si>
  <si>
    <t>металл/пластик/мрамор</t>
  </si>
  <si>
    <t>- Элегантная и простая напольная вешалка в классическом цвете.
- Максимально практичная и функциональная конструкция.
- Стойка вешалки выполнена из металлической трубы, диаметром 51 мм, крючки - 12 мм.
- Порошковое покрытие стойки обеспечивает стойкость к механическим воздействиям.
- Предусмотрено 6 крючков на короне для верхней одежды и 4 крючка на стойке для сумок и зонтов.
- Размеры короны: 395х395х340 мм.
- Устойчивое мраморное основание (370х370х25 мм.) позволяет вешалке "не заваливаться" под весом одежды.
- Расстояние от основания до средних крючков: 745 мм.
- Максимальная статическая нагрузка на крючок - 5 кг.
- Изделие полностью разборное, что обеспечивает простоту сборки и хранения.
- Гарантия 2 года.</t>
  </si>
  <si>
    <t>Вешалка Sheffilton SHT-CR9</t>
  </si>
  <si>
    <t>В1-71</t>
  </si>
  <si>
    <t>темный орех/мрамор</t>
  </si>
  <si>
    <t>Просто повесьте одежду на вешалку, так намного проще поддерживать порядок в прихожей;
Стойка вешалки выполнена из металла с отделкой пленкой PVC "под дерево" цветом темный орех; крючки
черного цвета - из металла с порошковой окраской, стойкой к механическим повреждениям; крючки для
сумок и кольцо для зонтов цветом черный муар;
Диаметр и толщина металической трубы 38х1 мм; крючки 12х0,6 мм;
Пластиковая фурнитура темно-коричневого цвета;
Устойчивое мраморное основание черного цвета, диаметром 370 мм;
Максимальная нагрузка на крючок 5 кг;
Изделие полностью разборное, что обеспечивает простоту сборки и хранения.
Гарантия 2 года.</t>
  </si>
  <si>
    <t>Вешалка Sheffilton Альберо SHT-CR11</t>
  </si>
  <si>
    <t>В1-80</t>
  </si>
  <si>
    <t>дерево/металл/металл. осн.</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</si>
  <si>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вешалке вы сможете разместить верхнюю одежду, головные
уборы, сумки.
Комбинируется с другими товарами серии Альберо.
ТЕХНИЧЕСКИЕ ДАННЫЕ:
Стойка выполнена из массива древесины, брус толщиной 46х46 мм.; крючки - из металла.
Устойчивое металлическое основание, 400х400 мм., толщиной 6 мм.
Расстояние от основания до средних крючков: 860 мм.
Максимальная распределенная статическая нагрузка на крючок - 5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
Гарантия - 2 года.</t>
  </si>
  <si>
    <t>дерево/металл/металл осн.</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</si>
  <si>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вешалке вы сможете разместить верхнюю одежду, головные
уборы, сумки.
Комбинируется с другими товарами серии Альберо.
ТЕХНИЧЕСКИЕ ДАННЫЕ:
Стойка выполнена из массива древесины, брус толщиной 46х46 мм.; крючки - из металла.
Устойчивое металлическое основание, 400х400 мм., толщиной 6 мм.
Расстояние от основания до средних крючков: 860 мм.
Максимальная распределенная статическая нагрузка на крючок - 5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t>
  </si>
  <si>
    <t>Вешалка Sheffilton Альберо SHT-CR20</t>
  </si>
  <si>
    <t>В1-162</t>
  </si>
  <si>
    <t>белый зол.патина/золото</t>
  </si>
  <si>
    <t>ЭКСКЛЮЗИВНО ДЛЯ ВАС
Напольная вешалка из серии Альберо для самых востребованных покупателей! Золотое патинирование стойки
из массива дерева выполнено в ручную. Великолепный, богатый золотой оттенок порошковой краски на металлических
частях изделия подчеркнет убранство Вашей прихожей и впечатлит гостей! Надежность металла и природная
красота дерева гармонично сочетаются в напольной вешалке SHT-CR20! Она поможет навести порядок в доме
и сэкономить место в помещении.
СЕРИЯ АЛЬБЕРО
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Вешалка SHt-CR20 комбинируется с другими
товарами серии Альберо.
СТИЛЬНЫЙ ДИЗАЙН
Стойка вешалки сочетает в себе массив древесины (брус толщиной 46х46 мм.), металлическую трубу и металлические
крючки. Расстояние от основания до крючков: 1490 мм.
ПРОЧНОСТЬ И ДОЛГОВЕЧНОСТЬ.
Металлические части окрашены порошковой краской, устойчивой к механическому воздействию. Максимальная
статическая нагрузка на крючок 5 кг.
СТОЙКОСТЬ.
Устойчивое металлическое основание (400х400 мм., толщиной 6 мм.) позволяет "не заваливаться" под весом
одежды.
ПРОСТАЯ СБОРКА.
Изделие полностью разборное, что обеспечивает простоту сборки и хранения.
ГАРАНТИЯ 2 ГОДА.</t>
  </si>
  <si>
    <t>Надежность металла и природная красота дерева гармонично сочетаются в напольной вешалке SHT-CR20!
Она поможет навести порядок в доме и сэкономить место в помещении.
СЕРИЯ АЛЬБЕРО
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Вешалка SHt-CR20 комбинируется с другими
товарами серии Альберо.
СТИЛЬНЫЙ ДИЗАЙН
Стойка вешалки сочетает в себе массив древесины (брус толщиной 46х46 мм.), металлическую трубу и металлические
крючки. Расстояние от основания до крючков: 1490 мм.
ПРОЧНОСТЬ И ДОЛГОВЕЧНОСТЬ.
Металлические части окрашены порошковой краской, устойчивой к механическому воздействию. Максимальная
статическая нагрузка на крючок 5 кг.
СТОЙКОСТЬ.
Устойчивое металлическое основание (400х400 мм., толщиной 6 мм.) позволяет "не заваливаться" под весом
одежды.
ПРОСТАЯ СБОРКА.
Изделие полностью разборное, что обеспечивает простоту сборки и хранения.
ГАРАНТИЯ 2 ГОДА.</t>
  </si>
  <si>
    <t>прозрачный лак/белый муар</t>
  </si>
  <si>
    <t>Вешалка Sheffilton Офис 1-1Р</t>
  </si>
  <si>
    <t>В1-5-1-2</t>
  </si>
  <si>
    <t>- Самый простой способ сохранять порядок в прихожей - использовать вешалку для одежды;
- Вешалка разборная, выполнена из металла;
- Порошковое покрытие обеспечивает стойкость к механическим воздействиям;
- Максимальная нагрузка на крючок 5 кг;
- Изделие полностью разборное, что обеспечивает простоту сборки и хранения.
- Гарантия 2 года.</t>
  </si>
  <si>
    <t>металл/платик</t>
  </si>
  <si>
    <t>Вешалка Sheffilton Офис Грация 680</t>
  </si>
  <si>
    <t>В1-49</t>
  </si>
  <si>
    <t>Красавица в винтажном стиле выглядит утончённой и лёгкой!
- Вешалка с оригинальными витыми элементами, похожими на кованные изделия;
- Выполнена из металла;
- Размеры короны: 485х485х410 мм;
- Диаметр стойки 26,5 мм, крючков 10 мм, прутка 5 мм;
- Металлическое основание, диаметром 350 мм;
- Порошковая окраска обеспечивает стойкость к механическим воздействиям;
- Максимальная нагрузка на крючок - 5 кг;
- Изделие полностью разборное, что обеспечивает простоту сборки и хранения.
- Гарантия 2 года.</t>
  </si>
  <si>
    <t>Вешалка Sheffilton Офис Грация р</t>
  </si>
  <si>
    <t>В1-41</t>
  </si>
  <si>
    <t>золотой антик/мет. золото (+)</t>
  </si>
  <si>
    <t>Красавица в винтажном стиле выглядит утончённой и лёгкой!
- Вешалка с оригинальными витыми элементами, похожими на кованные изделия;
- Выполнена из металла;
- Диаметр стойки 28 мм, крючков 10 мм, прутка 5 мм, основания 707 мм, короны 485 мм.
- Порошковая окраска обеспечивает стойкость к механическим воздействиям;
- Максимальная нагрузка на крючок - 5 кг;
- Изделие полностью разборное, что обеспечивает простоту сборки и хранения.
- Гарантия 2 года.</t>
  </si>
  <si>
    <t>Вешалка Sheffilton SHT-SUR3</t>
  </si>
  <si>
    <t>В1-82</t>
  </si>
  <si>
    <t>ваниль/бежевый (+)</t>
  </si>
  <si>
    <t>Костюм на видном месте. Доступная по цене вешалка, незанимающая много места.
Предусмотрены две штанги и две перекладины для брюк и пиджака.
Резиновые кольца на штанге и перекладинах не позволят вещам соскальзывать.
Верхняя штанга выполнена из металлической трубы, диаметром 16мм.
Нижние стойки выполнены из пластиковой трубы, диаметром 16 мм.
Порошковая окраска металла, стойкая к механическим повреждениям.
Максимальная распределенная нагрузка на одну штангу 6 кг, на одну перекладину 6 кг.
Изделие полностью разборное, что обеспечивает простоту сборки и хранения.
Гарантия 2 года.</t>
  </si>
  <si>
    <t>коричневый муар/коричневый (+)</t>
  </si>
  <si>
    <t>Вешалка Sheffilton SHT-SUR4</t>
  </si>
  <si>
    <t>В1-83</t>
  </si>
  <si>
    <t>Костюм на видном месте. Доступная по цене вешалка, незанимающая много места.
Предусмотрены одна штанга для пиджака и три перекладины для брюк.
Резиновые кольца на штанге и перекладинах не позволят вещам соскальзывать.
Верхняя штанга выполнена из металлической трубы, диаметром 16мм.
Нижние стойки выполнены из пластиковой трубы, диаметром 16 мм.
Порошковая окраска металла, стойкая к механическим повреждениям.
Максимальная распределенная нагрузка на штангу 6 кг, на одну перекладину 6 кг.
Изделие полностью разборное, что обеспечивает простоту сборки и хранения.
Гарантия 2 года.</t>
  </si>
  <si>
    <t>Вешалка Sheffilton SHT-SUR5</t>
  </si>
  <si>
    <t>В1-84</t>
  </si>
  <si>
    <t>светлый орех/коричневый</t>
  </si>
  <si>
    <t>Костюм на видном месте. Доступная по цене вешалка, незанимающая много места.
Текстура натурального дерева делает её универсальной для любой комнаты, она хорошо будет смотреться
как в гостиной, прихожей, так и рабочем кабинете или приемной.
Предусмотрены перекладина для брюк и штанга для пиджака, боковые крючки и полка.
Боковые крючки можно использовать для галстуков, ремней.
На полке можно хранить обувь, коробки, сумки, рюкзаки.
Резиновые кольца на штанге и перекладинах не позволят вещам соскальзывать.
Благодаря колесам, вешалку можно легко перемещать по дому.
Выполнена из металлической трубы, диаметром 16 мм.
Стойка вешалки выполнена из металла с отделкой пленкой PVC "под дерево" цветом cветлый орех.
Максимальная распределенная нагрузка на штангу 10 кг, на перекладину 10 кг, на полку 5 кг.
Изделие полностью разборное, что обеспечивает простоту сборки и хранения.
Гарантия 2 года.</t>
  </si>
  <si>
    <t>Костюм на видном месте. Доступная по цене вешалка, незанимающая много места.
Текстура натурального дерева делает её универсальной для любой комнаты, она хорошо будет смотреться
как в гостиной, прихожей, так и рабочем кабинете или приемной.
Предусмотрены перекладина для брюк и штанга для пиджака, боковые крючки и полка.
Боковые крючки можно использовать для галстуков, ремней.
На полке можно хранить обувь, коробки, сумки, рюкзаки.
Резиновые кольца на штанге и перекладинах не позволят вещам соскальзывать.
Благодаря колесам, вешалку можно легко перемещать по дому.
Выполнена из металлической трубы, диаметром 16 мм.
Стойка вешалки выполнена из металла с отделкой пленкой PVC "под дерево" цветом темный орех.
Максимальная распределенная нагрузка на штангу 10 кг, на перекладину 10 кг, на полку 5 кг.
Изделие полностью разборное, что обеспечивает простоту сборки и хранения.
Гарантия 2 года.</t>
  </si>
  <si>
    <t>Вешалка Sheffilton M-3026</t>
  </si>
  <si>
    <t>В1-60</t>
  </si>
  <si>
    <t>венге/черный (+)</t>
  </si>
  <si>
    <t>- Функциональная компакт-прихожая;
- Классический дизайн и устойчивая конструкция;
- Максимально практичная в использовании - помогает поддерживать порядок;
- Предусмотрены полка для головных уборов, крючки для верхней одежды, сумок и зонтов, ящик для обувных
аксессуаров и полки для обуви и тапочек;
- Каркас выполнен из металлической трубы 20х0,8 мм;
- Ящик и полки выполнены из ЛДСП, толщиной 16,5 мм;
- Размеры ящика ШхГхВ: 600х320х60 мм;
- Размеры зеркала ШхВ: 200х1090 мм; толщиной 4 мм;
- Расстояние от ящика полки до зеркального полотна: 60 мм;
- Расстояние между полками 178 мм, между второй полкой и дном ящика 184 мм;
- Расстояние от пола до нижней полки 115 мм; от пола до крышки ящика 555 мм;
- Максимальная распределенная статическая нагрузка: на полку - 10 кг, на ящик - 10 кг,
на штангу - 8 кг, на крючок - 5 кг.
- Изделие полностью разборное, что обеспечивает простоту сборки и хранения.
- Гарантия 2 года.</t>
  </si>
  <si>
    <t>Вешалка Sheffilton M-306</t>
  </si>
  <si>
    <t>В1-54</t>
  </si>
  <si>
    <t>черный муар/бук (+)</t>
  </si>
  <si>
    <t>- Функциональная компакт-прихожая с полками и крючками;
- Классический дизайн и устойчивая конструкция;
- Максимально практичная в использовании - помогает поддерживать порядок;
- Превосходно выглядит в интерьере небольших прихожих и холлов;
- Предусмотрены крючки для верхней одежды, сумок и зонтов и полки для обуви, тапочек и обувных аксессуаров;
- Каркас выполнен из металлической трубы 20х0,8 мм;
- Порошковая окраска изделия, стойкая к механическим повреждениям;
- Полки из ЛДСП, толщиной 16,5 мм;
- Размеры полки: 600х350 мм;
- Расстояние между полками: 180 мм;
- Максимальная распределенная статическая нагрузка: на полку - 10 кг, на штангу - 8 кг,
на крючок - 5 кг.
- Изделие полностью разборное, что обеспечивает простоту сборки и хранения.
- Гарантия 2 года.</t>
  </si>
  <si>
    <t>черный муар/венге</t>
  </si>
  <si>
    <t>Вешалка Sheffilton SHT-HW1</t>
  </si>
  <si>
    <t>В1-86</t>
  </si>
  <si>
    <t>коричневый муар/венге (+)</t>
  </si>
  <si>
    <t>- ВНИМАНИЕ! Изделие необходимо крепить к стене через уголки, чтобы предотвратить опрокидывание вешалки.
На нижнюю полку садиться нельзя!
- Функциональная компакт-прихожая с полками и крючками.
- Максимально практичная в использовании - помогает поддерживать порядок, даже в небольшой прихожей.
- Предусмотрены крючки и штанга для верхней одежды, крючки для сумок, зонтов, детской одежды.
- Вешалка выполнена из металла.
- Порошковая окраска изделия, стойкая к механическим повреждениям.
- Полки из ЛДСП, толщиной 16,5 мм.
- Размеры верхней и нижней полки: 750х300 мм.
- Максимальная распределенная статическая нагрузка: на полку - 10 кг, на штангу - 8 кг,
на крючок - 5 кг.
- Изделие полностью разборное, что обеспечивает простоту сборки и хранения.
- Гарантия 2 года.</t>
  </si>
  <si>
    <t>черный муар/дуб беленый (+)</t>
  </si>
  <si>
    <t>Вешалка Sheffilton SHT-HW2</t>
  </si>
  <si>
    <t>В1-160</t>
  </si>
  <si>
    <t>белый/светлый орех</t>
  </si>
  <si>
    <t>ЛДСП/металл</t>
  </si>
  <si>
    <t>Современная и стильная компакт-прихожая оборудована открытой штангой-вешалкой и обувницей, состоящей
из двух полок. На верхнюю часть обувницы можно поставить сумки, положить перчатки и необходимые мелочи.
Вешалка-штанга стилизована под изгиб живого дерева и покрыта пленкой PVC имитирующей натуральную текстуру.
Компакт-прихожая прекрасно дополнит Ваш стильный интерьер и позволит с удобством хранить верхнюю одежду,
обувь и аксессуары. Сочетание светлого ЛДСП и текстуры дерева, а также оригинальный декор создадут
модную атмосферу.
- Максимально практичная в использовании - помогает поддерживать порядок, даже в небольшой прихожей.
- Вешалка-штанга выполнена из металла.
- Обувница выполнена из ЛДСП.
- Максимальная распределенная статическая нагрузка на полку - 10 кг, на ящик - 10 кг, на штангу -
8 кг, на крючок - 5 кг.
- Изделие полностью разборное, что обеспечивает простоту сборки и хранения.
- Переодически производить подтяжку всех резьбовых соединений (винты, шурупы, стяжки).
- Гарантия 2 года.</t>
  </si>
  <si>
    <t>орех/темный орех</t>
  </si>
  <si>
    <t>Полка Sheffilton Грация 669</t>
  </si>
  <si>
    <t>ПЛТ-155</t>
  </si>
  <si>
    <t>черн.зол патина/дуб браш.</t>
  </si>
  <si>
    <t>металл/дуб</t>
  </si>
  <si>
    <t>ТОВАР ДОСТУПЕН ПОД ЗАКАЗ ОТ 20 ШТУК!
Настоящий эксклюзив!
Полочка серии Грация из массива дуба с винтажными элементами декора.
- Декоративная отделка полки - браширование (эффект "искусственного старения"), подчеркивающая натуральную
красоту и текстуру дерева;
- Толщина древесины 16 мм;
- Диаметр металлической прутка 4 мм;
- Расстояние между крючками - 88 мм; высота крючков - 116 мм;
- Максимальная распределенная нагрузка на крючок 1 кг, полку 6 кг;
- Изделие разборное.
- Гарантия 2 года.</t>
  </si>
  <si>
    <t>черный/орех (+)</t>
  </si>
  <si>
    <t>- Элегантная настенная полка с 5-ю крючками добавит утонченность любому пространству;
- Прекрасно подходит для прихожей, спальни и гостиной;
- Металлический каркас покрыт порошковой краской, стойкой к механическому воздействию;
- Полка покрыта ламинатом, устойчивым к истиранию, влаге, химическим веществам;
- Толщина ЛДСП - 16 мм;
- Диаметр металлической прутка 4 мм;
- Расстояние между крючками - 88 мм; высота крючков - 116 мм;
- Максимальная распределенная нагрузка на крючок 1 кг, полку 6 кг;
- Изделие разборное.
- Гарантия 2 года.</t>
  </si>
  <si>
    <t>Полка Sheffilton Матрица 54</t>
  </si>
  <si>
    <t>ПЛТ-12-1</t>
  </si>
  <si>
    <t>венге/ал.мет/серый</t>
  </si>
  <si>
    <t>ЛДСП/металл/пластик</t>
  </si>
  <si>
    <t>- Многофункциональная полка, на которой можно размещать книги, цветы, сувениры;
- Полезный и нужный предмет для каждого дома;
- Каркас полки выполнен из металлической трубы, диаметром 28 мм;
- Порошковая окраска изделия, стойкая к механическим повреждениям;
- Полки выполнены из ЛДСП, толщиной 16 мм;
- Семь вариантов сборки позволяют выстраивать вам оригинальные решения;
- Может быть собрана в любой конфигурации;
- Длина средней полки 576 мм; длина боковых полок 320 мм;
- Максимальная распределенная нагрузка на полку 15 кг;
- Изделие разборное.
- Гарантия 2 года.</t>
  </si>
  <si>
    <t>дуб бел/ал.мет/серый</t>
  </si>
  <si>
    <t>Стеллаж Sheffilton SHT-SS14-P</t>
  </si>
  <si>
    <t>СТН-201</t>
  </si>
  <si>
    <t>черный/бордовый</t>
  </si>
  <si>
    <t>пластик/плотная ткань</t>
  </si>
  <si>
    <t>Стеллаж - это компактное и практичное решение для использования в гардеробной, прихожей, спальне,
кладовой;
Подходит для хранения любых вещей: обуви, одежды, книг, детских игрушек и много другого.
Изделие полностью разборное, что обеспечивает простоту сборки и хранения.
Простой уход и отличный подарок.
В дополнение к стеллажу вы можете приобрести цветной чехол SHT-CS1 или SHT-CS2.
Чехол защитит вещи от пыли, грязи и влаги.
ТЕХНИЧЕСКИЕ ДАННЫЕ:
Стеллаж имеет 5 полок;
Расстояние между полками - 421мм и 216мм;
Полки выполнены из плотного нетканного материала (спанбонд);
Каркас выполнен из пластиковой трубы (диаметр/толщина 16х2,5мм) и пластиковых соединительных крепежей;
Максимальная распределенная статическая нагрузка на одну полку - 4 кг.
Гарантия - 2 года.</t>
  </si>
  <si>
    <t>Стеллаж Sheffilton SHT-SS16</t>
  </si>
  <si>
    <t>CTH-300</t>
  </si>
  <si>
    <t>серый/белый (+)</t>
  </si>
  <si>
    <t>пластик/металл</t>
  </si>
  <si>
    <t>Одна из проблем тесных ванных - где все разместить? Область над стиральной машинкой или унитазом позволяет
расположить стеллаж и решить вопрос с экономией пространства. На нем отлично уместятся предметы для
ежедневных гигиенических процедур или домашней уборки. Так же можно использовать дополнительные ящики
для мелких предметов.
- Предусмотрены 3 полки выполненные из проволки диаметром 3 мм.;
- Стеллаж выполнен из металла, диаметр/толщина трубы 16х0,6 мм. и пластиковой трубки 16х2,5мм.;
- Расстояние между верхними полками 265 мм.;
- Расстояние между средними полками 400 мм.;
- Размеры полки: 310х790 мм.;
- Максимальная распределенная нагрузка на одну полку - 5 кг.;
- Изделие полностью разборное, что обеспечивает простоту сборки и хранения.
- Гарантия 2 года.</t>
  </si>
  <si>
    <t>Стеллаж Sheffilton SHT-SS6</t>
  </si>
  <si>
    <t>СТН-148</t>
  </si>
  <si>
    <t>черный/хром лак</t>
  </si>
  <si>
    <t>Каждая вещь на своём месте! Современно. Удобно. Практично. Недорого.
- Жёсткая устойчивая конструкция;
- Используйте для хранения коробок, сумок, рюкзаков, корзин, шарфов, шляп, шапок, обуви и даже детских
игрушек;
- Карманы очень удобно использовать, чтобы хранить тапочки, ключи, расчески, перчатки;
- Универсальная новинка для кухни, веранды, детской, гардеробной, прихожей, для совершенно любой комнаты
дома;
- Вы быстро приведёте дом в порядок: используйте эту и другие модели из этой серии на сайте;
- Стеллаж выполнен из металла 16х0,8 мм; металлическая сетка, диаметром 3 мм;
- Расстояние между полками - 400 мм;
- Лёгкая сборка за одну минуту без единого винта!
- Максимальная распределенная нагрузка на одну полку 5 кг;
- Изделие полностью разборное, что обеспечивает простоту сборки и хранения.
- Гарантия 2 года.</t>
  </si>
  <si>
    <t>Стеллаж Sheffilton SHT-SS6/SR6</t>
  </si>
  <si>
    <t>СТН-203</t>
  </si>
  <si>
    <t>Каждая вещь на своём месте! Современно. Удобно. Практично. Недорого.
- Жёсткая устойчивая конструкция;
- Используйте для хранения коробок, сумок, рюкзаков, корзин, шарфов, шляп, шапок, обуви и даже детских
игрушек;
- Универсальная новинка для кухни, веранды, детской, гардеробной, прихожей, для совершенно любой комнаты
дома;
- Вы быстро приведёте дом в порядок: используйте эту и другие модели из этой серии на сайте;
- Стеллаж выполнен из металла 16х0,8 мм; металлическая сетка, диаметром 3 мм;
- Лёгкая сборка за одну минуту без единого винта!
- Максимальная распределенная нагрузка на одну полку 5 кг;
- Изделие полностью разборное, что обеспечивает простоту сборки и хранения.
- Гарантия 2 года.</t>
  </si>
  <si>
    <t>Стеллаж Sheffilton SHT-SS7</t>
  </si>
  <si>
    <t>СТН-159</t>
  </si>
  <si>
    <t>черный/хром лак/черный</t>
  </si>
  <si>
    <t>пластик/металл/плотная ткань</t>
  </si>
  <si>
    <t>Каждая вещь на своём месте! Современно. Удобно. Практично. Недорого.
- Жёсткая устойчивая конструкция;
- Используйте для хранения коробок, сумок, рюкзаков, корзин, шарфов, шляп, шапок, обуви и даже детских
игрушек;
- Универсальная новинка для кухни, веранды, детской, гардеробной, прихожей, для совершенно любой комнаты
дома;
- Вы быстро приведёте дом в порядок: используйте эту и другие модели из этой серии на сайте;
- Стеллаж выполнен из металла 16х0,8 мм и плотного нетканого материала (P=100г/кв.м.);
- Расстояние между полками - 400 мм;
- Лёгкая сборка за одну минуту без единого винта!
- Максимальная распределенная нагрузка на одну полку 5 кг;
- Изделие разборное.
- Гарантия 2 года.</t>
  </si>
  <si>
    <t>Стеллаж Sheffilton SHT-SS7-P</t>
  </si>
  <si>
    <t>СТН-160</t>
  </si>
  <si>
    <t>темно-серый/серый/черный</t>
  </si>
  <si>
    <t>Каждая вещь на своём месте! Современно. Удобно. Практично. Недорого.
- Используйте для хранения коробок, сумок, рюкзаков, корзин, шарфов, шляп, шапок, обуви и даже детских
игрушек;
- Универсальная новинка для кухни, веранды, детской, гардеробной, прихожей, для совершенно любой комнаты
дома;
- Вы быстро приведёте дом в порядок: используйте эту и другие модели из этой серии на сайте;
- Стеллаж выполнен из толстостенной пластиковой трубы 16х3 мм и плотного нетканого материала (P=100г/кв.м.);
- Расстояние между полками - 400 мм;
- Лёгкая сборка за одну минуту без единого винта!
- Максимальная распределенная нагрузка на одну полку 4 кг;
- Изделие полностью разборное, что обеспечивает простоту сборки и хранения.
- Гарантия 2 года.</t>
  </si>
  <si>
    <t>Стеллаж Sheffilton SHT-STR1</t>
  </si>
  <si>
    <t>ЛДСП</t>
  </si>
  <si>
    <t>ДАННАЯ МОДЕЛЬ ПОД ЗАКАЗ.
Вместительный стеллаж SHT-STR1.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
Широкие и вместительные полки подходят для хранения книг, тетрадей, учебных материалов, журналов и
различных аксессуаров. Стеллаж имеет 10 ячеек для хранения. Основное преимущество стеллажа, что его
можно использовать с двух сторон. Он может служить в качестве разделителя в помещении, когда нужно
разделить помещение на разные зоны, например, учебную и игровую.
Мы можем изготовить любой стеллаж по вашим размерам, цвету и количеству полок.
Гарантия 2 года</t>
  </si>
  <si>
    <t>Стеллаж Sheffilton SHT-STR2</t>
  </si>
  <si>
    <t>белый/красный</t>
  </si>
  <si>
    <t>ДАННАЯ МОДЕЛЬ ПОД ЗАКАЗ.
Вместительный стеллаж SHT-STR2.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белый/красный
Широкие и вместительные полки подходят для хранения книг, тетрадей, учебных материалов, журналов и
различных аксессуаров. Стеллаж имеет 12 ячеек для хранения и 4 закрытых полки. Основное преимущество
стеллажа, что его можно использовать с двух сторон. Он может служить в качестве разделителя в помещении,
когда нужно разделить помещение на разные зоны, например, учебную и игровую.
Мы можем изготовить любой стеллаж по вашим размерам, цвету и количеству полок.
Гарантия 2 года</t>
  </si>
  <si>
    <t>Стеллаж Sheffilton SHT-STR3</t>
  </si>
  <si>
    <t>ДАННАЯ МОДЕЛЬ ПОД ЗАКАЗ.
Вместительный стеллаж SHT-STR3.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
Широкие и вместительные полки подходят для хранения книг, тетрадей, учебных материалов, журналов и
различных аксессуаров. Стеллаж имеет 16 ячеек для хранения. Основное преимущество стеллажа, что его
можно использовать с двух сторон. Он может служить в качестве разделителя в помещении, когда нужно
разделить помещение на разные зоны, например, учебную и игровую.
Мы можем изготовить любой стеллаж по вашим размерам, цвету и количеству полок.
Гарантия 2 года</t>
  </si>
  <si>
    <t>Стеллаж Sheffilton SHT-STR4</t>
  </si>
  <si>
    <t>ДАННАЯ МОДЕЛЬ ПОД ЗАКАЗ.
Вместительный стеллаж SHT-STR4.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
Широкие и вместительные полки подходят для хранения книг, тетрадей, учебных материалов, журналов и
различных аксессуаров. Стеллаж имеет 4 открытых ячеек для хранения. Имеет 6 закрытых полок. Основное
преимущество стеллажа, что его можно использовать с двух сторон. Он может служить в качестве разделителя
в помещении, когда нужно разделить помещение на разные зоны, например, учебную и игровую.
Мы можем изготовить любой стеллаж по вашим размерам, цвету и количеству полок.
Гарантия 2 года</t>
  </si>
  <si>
    <t>Стеллаж Sheffilton SHT-STR5</t>
  </si>
  <si>
    <t>ДАННАЯ МОДЕЛЬ ПОД ЗАКАЗ.
Вместительный стеллаж SHT-STR5.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
Широкие и вместительные полки подходят для хранения книг, тетрадей, учебных материалов, журналов и
различных аксессуаров. Стеллаж имеет 8 ячеек для хранения. Основное преимущество стеллажа, что его
можно использовать с двух сторон. Он может служить в качестве разделителя в помещении, когда нужно
разделить помещение на разные зоны, например, учебную и игровую.
Мы можем изготовить любой стеллаж по вашим размерам, цвету и количеству полок.
Гарантия 2 года</t>
  </si>
  <si>
    <t>Стеллаж Sheffilton SHT-STR6</t>
  </si>
  <si>
    <t>ДАННАЯ МОДЕЛЬ ПОД ЗАКАЗ.
Вместительный стеллаж SHT-STR6. Отличное решение для образовательных учреждений и офисов. Разработано
специально для национального проекта Точка Роста.
Материал: ЛДСП
Максимальная нагрузка на полку - 13 кг.
Цвет стеллажа: белый
Широкие и вместительные полки подходят для хранения книг, тетрадей, учебных материалов, журналов и
различных аксессуаров. Стеллаж имеет 3 ячейки для хранения.
Мы можем изготовить любой стеллаж по вашим размерам, цвету и количеству полок.
Гарантия 2 года</t>
  </si>
  <si>
    <t>Стеллаж с чехлом Sheffilton SHT-SS15-P</t>
  </si>
  <si>
    <t>СТН -202</t>
  </si>
  <si>
    <t>бежевый/салатовый (+)</t>
  </si>
  <si>
    <t>Стеллаж с чехлом - это компактное и практичное решение.
Подходит для хранения любых вещей: обуви, одежды, книг, детских игрушек и многого другого. Он защитит
их от пыли, грязи и влаги.
Чехол имеет яркий и оригинальный дизайн.
Простой уход и отличный подарок.
ТЕХНИЧЕСКИЕ ДАННЫЕ:
Стеллаж имеет 5 полок;
Чехол и полки выполнены из плотного нетканого материала;
Имеется 8 боковых карманов для хранения мелких вещей и тапочек;
Каркас выполнен из пластиковых трубок (диаметр/толщина 16х2,5мм) и пластиковых соединительных крепежей;
Максимальная распределенная статическая нагрузка на одну полку - 4 кг.
Стеллаж состоит из:
- стеллажа SHT-SS14-P;
- чехла SHT-CS2.
Рекомендация по уходу: чистка пылесосом, для трудновыводимых пятен используйте специальные пятновыводители
для тканей, в соответствии с инструкцией.
УПАКОВКА И ГАРАНТИЯ
Изделие полностью разборное, что обеспечивает простоту сборки и хранения.
Гарантия - 2 года.</t>
  </si>
  <si>
    <t>коричневый/венге/коричневый (+)</t>
  </si>
  <si>
    <t>Стеллаж с чехлом - это компактное и практичное решение.
Подходит для хранения любых вещей: обуви, одежды, книг, и другого. Он защитит их от пыли, грязи и
влаги.
Чехол имеет оригинальный узор, выполненный дизайнерами специально для Sheffilton.
ТЕХНИЧЕСКИЕ ДАННЫЕ:
Стеллаж имеет 5 полок;
Чехол и полки выполнены из плотного нетканого материала со специальной пропиткой, стойкой к влаге;
Имеется 8 боковых карманов для хранения мелких вещей и тапочек;
Каркас выполнен из пластиковых трубок (16х2,5мм) с пленкой "под дерево" и пластиковых соединительных
крепежей;
Максимальная распределенная статическая нагрузка на одну полку - 4 кг.
Состоит из:
- стеллажа SHT-SS14-P;
- чехла SHT-CS1.
Рекомендация по уходу: чистка пылесосом, для трудновыводимых пятен используйте специальные пятновыводители
для тканей, в соответствии с инструкцией.
УПАКОВКА И ГАРАНТИЯ
Изделие полностью разборное, что обеспечивает простоту сборки и хранения.
Гарантия - 2 года.</t>
  </si>
  <si>
    <t>черный/сине-фиолетовый</t>
  </si>
  <si>
    <t>Банкетка Sheffilton SHT-B1</t>
  </si>
  <si>
    <t>Б-5</t>
  </si>
  <si>
    <t>бежевый/черный муар</t>
  </si>
  <si>
    <t>кож.зам/металл</t>
  </si>
  <si>
    <t>Создана в универсальном классическом дизайне для интерьеров любого стиля.
Банкетка оснащена уютным мягким сидением.
Выполнена из металла и кож.зама.
Размеры мягкого сидения: 750х300х30 мм.
Максимальная нагрузка на банкетку 90 кг.
Изделие полностью разборное, что обеспечивает простоту сборки и хранения.
*Оттенок ткани может меняться в зависимости от партии.
Гарантия 2 года.</t>
  </si>
  <si>
    <t>Банкетка Sheffilton SHT-B4</t>
  </si>
  <si>
    <t>Б-7</t>
  </si>
  <si>
    <t>голубая пастель/золото</t>
  </si>
  <si>
    <t>ткань/металл</t>
  </si>
  <si>
    <t>ЭКСКЛЮЗИВНО ДЛЯ ВАС
Пуфик для самых востребованных покупателей! Великолепный, богатый оттенок порошковой краски каркаса
подчеркнет убранство Вашего дома, офиса, дизайн-студии, кафе, бара, ресторана! Пуфик - один из самых
универсальных предметов обстановки. Он не занимает много места, функционален, сочетается с большинством
интерьеров и поможет там, где обычная мебель не подходит. Изящный пуфик SHT-B4 станет просто незаменимым
– испытайте сами!
СТИЛЬ И КОМПАКТНОСТЬ
Пуфик цилиндрической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подставкой для ног или в стандартном применении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Максимальная статическая нагрузка на пуф 150 кг.
Гарантия 2 года.</t>
  </si>
  <si>
    <t>голубая пастель/черный муар</t>
  </si>
  <si>
    <t>Банкетки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Изящная банкетка
SHT-B4 станет просто незаменимым – испытайте сами!
СТИЛЬ И КОМПАКТНОСТЬ
Изящная банкетка цилиндрической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банкетки.
УДОБСТВО И ФУНКЦИОНАЛЬНОСТЬ
Мягкое наполнение придает пышности и создает максимальный комфорт при использовании. Банкетка вполне
может стать дополнительным посадочным местом, подставкой для ног или в стандартном применении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Максимальная статическая нагрузка на банкетку 150 кг.
Гарантия 2 года.</t>
  </si>
  <si>
    <t>желтый/черный муар</t>
  </si>
  <si>
    <t>фисташковый/золото</t>
  </si>
  <si>
    <t>фисташковый/черный муар</t>
  </si>
  <si>
    <t>Банкетка Sheffilton SHT-B6</t>
  </si>
  <si>
    <t>Б-13</t>
  </si>
  <si>
    <t>ванильный крем/черный муар</t>
  </si>
  <si>
    <t>микровелюр/металл</t>
  </si>
  <si>
    <t>Пуфы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Стильный пуф SHT-B6
станет просто незаменимым – убедитесь сами!
СТИЛЬ И КОМПАКТНОСТЬ
Нежный пуф цилиндрической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</si>
  <si>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пыльная роза/золото</t>
  </si>
  <si>
    <t>Пуфик для самых востребованных покупателей! Богатый золотой цвет каркаса подчеркнет убранство Вашего
дома, офиса, дизайн-студии, кафе, бара, ресторана! Пуфик - один из самых универсальных предметов обстановки.
Он не занимает много места, функционален, сочетается с большинством интерьеров и поможет там, где
обычная мебель не подходит. Стильный пуф SHT-B6 станет просто незаменимым – убедитесь сами!
СТИЛЬ И КОМПАКТНОСТЬ
Нежный пуф цилиндрической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</si>
  <si>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угольно-серый/черный муар</t>
  </si>
  <si>
    <t>Банкетка Sheffilton SHT-B7</t>
  </si>
  <si>
    <t>Б-12</t>
  </si>
  <si>
    <t>Пуфы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Стильный пуф SHT-B7
станет просто незаменимым – убедитесь сами!
СТИЛЬ И КОМПАКТНОСТЬ
Нежный пуф овальной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пуфа.
Вы можете собрать свою мини коллекцию пуфов, купив пуф SHT-B6 цилиндрической формы в аналогичном стиле!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</si>
  <si>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Пуфик для самых востребованных покупателей! Богатый золотой цвет каркаса подчеркнет убранство Вашего
дома, офиса, дизайн-студии, кафе, бара, ресторана! Пуфик - один из самых универсальных предметов обстановки.
Он не занимает много места, функционален, сочетается с большинством интерьеров и поможет там, где
обычная мебель не подходит. Модный пуф SHT-B7 станет просто незаменимым – убедитесь сами!
СТИЛЬ И КОМПАКТНОСТЬ
Нежный пуф овальной формы добавит уюта и разбавит Ваш интерьер. Главное украшение – тонкие ножки из
металла. Надежность металла и мягкость ткани прекрасно сочетаются в готовом исполнении пуфа.
Вы можете собрать свою мини коллекцию пуфов, купив пуф SHT-B6 цилиндрической формы в аналогичном стиле!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</si>
  <si>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Банкетка Sheffilton SHT-B8</t>
  </si>
  <si>
    <t>Б-11</t>
  </si>
  <si>
    <t>ледяная лаванда/золото</t>
  </si>
  <si>
    <t>Пуфы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Стильный пуф SHT-B8
станет просто незаменимым – убедитесь сами!
СТИЛЬ И КОМПАКТНОСТЬ
Нежный пуф цилиндрической формы в нижней части окантован золотым металлическим кольцом более узкого
диаметра.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каркас окрашен порошковой краской, устойчивой к механическому воздействию. Каркас выполнен
из металлического листа. Сидение выполнено из микровелюра с мягким наполнителем. Диаметр сидения 350
мм.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</si>
  <si>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морская глубина/золото</t>
  </si>
  <si>
    <t>нежная мята/хром лак</t>
  </si>
  <si>
    <t>Пуфы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Стильный пуф SHT-B8
станет просто незаменимым – убедитесь сами!
СТИЛЬ И КОМПАКТНОСТЬ
Нежный пуф цилиндрической формы в нижней части окантован серебряным металлическим кольцом более узкого
диаметра.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каркас окрашен порошковой краской, устойчивой к механическому воздействию. Каркас выполнен
из металлического листа. Сидение выполнено из микровелюра с мягким наполнителем. Диаметр сидения 350
мм.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</si>
  <si>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Банкетка Sheffilton SHT-B9</t>
  </si>
  <si>
    <t>Б-10</t>
  </si>
  <si>
    <t>Пуфик для самых искушенных покупателей! Богатый золотой цвет каркаса подчеркнет убранство Вашего дома,
офиса, дизайн-студии, кафе, бара, ресторана! Пуфик - один из самых универсальных предметов обстановки.
Он не занимает много места, функционален, сочетается с большинством интерьеров и поможет там, где
обычная мебель не подходит. Модный пуф SHT-B9 станет просто незаменимым – убедитесь сами!
СТИЛЬ И КОМПАКТНОСТЬ
Пуф кубической формы добавит уюта и разбавит Ваш интерьер. Главное украшение золотой металлический
с тонкими элементами из прутка.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и прутка.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</si>
  <si>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сиреневая орхидея/белый муар</t>
  </si>
  <si>
    <t>Пуфики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Стильный пуф SHT-B9
станет просто незаменимым – испытайте сами!
СТИЛЬ И КОМПАКТНОСТЬ
Пуф кубической формы добавит уюта и разбавит Ваш интерьер. Главное украшение металлический каркас
с тонкими элементами из прутка. Надежность металла и мягкость ткани прекрасно сочетаются в готовом
исполнении пуфа.
УДОБСТВО И ФУНКЦИОНАЛЬНОСТЬ
Мягкое наполнение придает пышности и создает максимальный комфорт при использовании. Пуф вполне может
стать дополнительным посадочным местом или банкеткой в прихожей.
УСТОЙЧИВОСТЬ И НАДЕЖНОСТЬ
Надежный металлический каркас окрашен порошковой краской, устойчивой к механическому воздействию.
Каркас выполнен из трубы и прутка. Сидение выполнено из микровелюра с мягким наполнителем.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</si>
  <si>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Банкетка Sheffilton SR-0628</t>
  </si>
  <si>
    <t>Б-2</t>
  </si>
  <si>
    <t>темный орех/беж (+)</t>
  </si>
  <si>
    <t>дерево/кож.зам</t>
  </si>
  <si>
    <t>Уютная банкетка с мягким сидением и полками для размещения обуви и тапочек.
Ножки выполнены из массива дерева, толщиной 35 мм., сидение из кож.зама, полки из металла, диаметр/толщина
трубы 12х0,8 мм.
Размеры мягкого сидения: 760х310х30 мм.
Расстояние между полками 150 мм.
Максимальная распределенная статическая нагрузка на полку 10 кг, на банкетку 90 кг.
Изделие полностью разборное, что обеспечивает простоту сборки и хранения.
*Оттенок ткани может меняться в зависимости от партии.
Гарантия 2 года.</t>
  </si>
  <si>
    <t>SR-0628</t>
  </si>
  <si>
    <t>темный орех/хром (+)</t>
  </si>
  <si>
    <t>- Банкетка - это превосходное решение для прихожей комнаты.
- Функциональная банкетка помогает рационально использовать пространство.
- Банкетка выполнена из натурального дерева;
- Предусмотрено мягкое сидение;
- Полки для обуви сделаны из хромированной трубы D12 мм;
- Максимальная нагрузка на полку 5 кг, на банкетку 100 кг;
- Изделие разборное; упаковка - плоская картонная коробка;
- Гарантия 2 года.</t>
  </si>
  <si>
    <t>Банкетка Sheffilton SR-0628-TP</t>
  </si>
  <si>
    <t>Б-3</t>
  </si>
  <si>
    <t>венге/пепельный</t>
  </si>
  <si>
    <t>дерево/рогожка</t>
  </si>
  <si>
    <t>Банкетки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Изящная банкетка
SHT-SR0628-TR станет просто незаменимой – испытайте сами!
СТИЛЬ И КОМПАКТНОСТЬ
Изящная банкетка прямоугольной формы добавит уюта и разбавит Ваш интерьер. Надежные ножки выполнены
из массива дерева со стильными металлическими трубками, в качестве подставки для обуви.
УДОБСТВО И ФУНКЦИОНАЛЬНОСТЬ
Мягкое наполнение придает пышности и создает максимальный комфорт при использовании. Банкетка вполне
может стать дополнительным посадочным местом, подставкой для ног или в стандартном применении банкеткой
в прихожей. Изделие полностью разборное, что обеспечивает простоту сборки и хранения.
УСТОЙЧИВОСТЬ И НАДЕЖНОСТЬ
Каркас выполнен из массива древесины с последующим тонированием и покрытием лаком. Полка для обуви
выполнена из металлической трубы. Сидение выполнено из рогожки с мягким наполнителем.
Максимальная статическая нагрузка на банкетку 90 кг, на полку для обуви 10 кг.
Гарантия 2 года.
*Оттенок ткани может меняться в зависимости от партии.</t>
  </si>
  <si>
    <t>венге/темный пепел</t>
  </si>
  <si>
    <t>темн орех/Катерина (+)</t>
  </si>
  <si>
    <t>дерево/гобелен</t>
  </si>
  <si>
    <t>Уютная банкетка с мягким сидением и полками для размещения обуви и тапочек.
Ножки выполнены из массива дерева, толщиной 35 мм., сидение из гобелена, полки из металла, диаметр/толщина
трубы 12х0,8 мм.
Размеры мягкого сидения: 760х310х30 мм.
Расстояние между полками 150 мм.
Максимальная распределенная статическая нагрузка на полку 10 кг, на банкетку 90 кг.
Изделие полностью разборное, что обеспечивает простоту сборки и хранения.
*Оттенок ткани может меняться в зависимости от партии.
Гарантия 2 года.</t>
  </si>
  <si>
    <t>темный орех/коричневый scotch</t>
  </si>
  <si>
    <t>дерево/микровелюр</t>
  </si>
  <si>
    <t>Банкетки - одни из самых универсальных предметов обстановки. Они не занимают много места, функциональны,
сочетаются с большинством интерьеров и помогут там, где обычная мебель не подходит. Изящная банкетка
SHT-SR0628-TR станет просто незаменимой – испытайте сами!
СТИЛЬ И КОМПАКТНОСТЬ
Благодаря стильному шотландскому принту на мягком микровелюре, банкетка способна преобразить обстановку
дома и добавить стиля! Надежные ножки выполнены из массива дерева со стильными металлическими трубками,
в качестве подставки для обуви.
УДОБСТВО И ФУНКЦИОНАЛЬНОСТЬ
Мягкое наполнение придает пышности и создает максимальный комфорт при использовании. Банкетка вполне
может стать дополнительным посадочным местом, подставкой для ног или в стандартном применении банкеткой
в прихожей. Изделие полностью разборное, что обеспечивает простоту сборки и хранения.
УСТОЙЧИВОСТЬ И НАДЕЖНОСТЬ
Каркас выполнен из массива древесины с последующим тонированием и покрытием лаком. Полка для обуви
выполнена из металлической трубы. Сидение выполнено из рогожки с мягким наполнителем.
Максимальная статическая нагрузка на банкетку 90 кг, на полку для обуви 10 кг.
Гарантия 2 года.
*Оттенок ткани может меняться в зависимости от партии.</t>
  </si>
  <si>
    <t>Банкетка Sheffilton Альберо SHT-B2</t>
  </si>
  <si>
    <t>Б-31</t>
  </si>
  <si>
    <t>беленый/кедровый/алюм.метал (+)</t>
  </si>
  <si>
    <t>дерево/рогожка/металл</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</si>
  <si>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Банкетка служит прекрасным дополнением прихожей. На мягком сидении удобно разместиться, на полке удобно
хранить обувь или сумки.
Комбинируется с другими товарами серии Альберо.
ТЕХНИЧЕСКИЕ ДАННЫЕ:
Выполнена из массива древесины, брусок 34х24 мм, и металла, труба 12х0,8 мм.
Мягкое сиденье из плотной прочной ткани - рогожка.
Размеры полки для обуви: 650х290х198 мм.
Расстояние от пола до полки: 198 мм.
Максимальная распределенная статическая нагрузка - 90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
*Оттенок ткани может меняться в зависимости от партии.
Гарантия - 2 года.</t>
  </si>
  <si>
    <t>венге/коричневый/алюм.метал (+)</t>
  </si>
  <si>
    <t>дерево/кож.зам/металл</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</si>
  <si>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Банкетка служит прекрасным дополнением прихожей. На мягком сидении удобно разместиться, на полке удобно
хранить обувь или сумки.
Комбинируется с другими товарами серии Альберо.
ТЕХНИЧЕСКИЕ ДАННЫЕ:
Выполнена из массива древесины, брусок 34х24 мм, и металла, труба 12х0,8 мм.
Мягкое сиденье из кож. зама с красивой текстурой.
Размеры полки для обуви: 650х290х198 мм.
Расстояние от пола до полки: 198 мм.
Максимальная распределенная статическая нагрузка - 90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
*Оттенок ткани может меняться в зависимости от партии.
Гарантия - 2 года.</t>
  </si>
  <si>
    <t>прозрачный лак/кедровый/алюм.метал (+)</t>
  </si>
  <si>
    <t>Банкетка Sheffilton Грация 685</t>
  </si>
  <si>
    <t>Б-685</t>
  </si>
  <si>
    <t>золотой антик/Зарина</t>
  </si>
  <si>
    <t>металл/гобелен</t>
  </si>
  <si>
    <t>Легкая, изящная банкетка Грация станет украшением вашей прихожей.
В комплект входит полка для обуви.
Каркас выполнен из металлической трубы, диаметром 16 мм.
Порошковая окраска изделия, стойкая к механическим повреждениям.
Максимальная нагрузка на банкетку 90 кг, на полку 7 кг.
Изделие полностью разборное, что обеспечивает простоту сборки и хранения.
*Оттенок ткани может меняться в зависимости от партии.
Гарантия 2 года.</t>
  </si>
  <si>
    <t>черный/Зарина</t>
  </si>
  <si>
    <t>черный/Катерина</t>
  </si>
  <si>
    <t>черный/коричневый</t>
  </si>
  <si>
    <t>металл/кож.зам</t>
  </si>
  <si>
    <t>Столик журнальный Sheffilton SHT-CT10</t>
  </si>
  <si>
    <t>Сж-84</t>
  </si>
  <si>
    <t>белый муар</t>
  </si>
  <si>
    <t>Изящный, стильный и миниатюрный журнальный столик от Sheffilton добавит изюминку в Ваш интерьер дома,
дачи, кафе, гостиницы и остальных зон отдыха. В небольшую пластиковую чашу в основании столика удобно
разместить полезные мелочи.
НАДЕЖНЫЙ
металлический каркас и столешница окрашены порошковой краской, устойчивой к механическому воздействию.
ВМЕСТИТЕЛЬНЫЙ
Высота столика 600 мм.
Диаметр столешницы 350 мм.
Каркас выполнен из трубы диаметром 10 мм.
Максимальная статическая нагрузка на столик 5 кг.
МОБИЛЬНЫЙ
Столик легко поднять за опоры и перенести в любое место дома или офиса. Столешница легко снимается
и ее можно использовать в качестве подноса, что очень удобно.
ЛЕГКАЯ СБОРКА
Столик полностью разборный. Легко собрать и разобрать обратно.</t>
  </si>
  <si>
    <t>золото</t>
  </si>
  <si>
    <t>Изящный, стильный и миниатюрный журнальный столик в благородном цвете под золото от Sheffilton добавит
акцент в Ваш интерьер дома, дачи, кафе, гостиницы и остальных зон отдыха. В небольшую пластиковую
чашу в основании столика удобно разместить полезные мелочи.
НАДЕЖНЫЙ
металлический каркас и столешница окрашены порошковой краской, устойчивой к механическому воздействию.
ВМЕСТИТЕЛЬНЫЙ
Высота столика 600 мм.
Диаметр столешницы 350 мм.
Каркас выполнен из трубы диаметром 10 мм.
Максимальная статическая нагрузка на столик 5 кг.
МОБИЛЬНЫЙ
Столик легко поднять за опоры и перенести в любое место дома или офиса. Столешница легко снимается
и ее можно использовать в качестве подноса, что очень удобно.
ЛЕГКАЯ СБОРКА
Столик полностью разборный. Легко собрать и разобрать обратно.</t>
  </si>
  <si>
    <t>Столик журнальный Sheffilton SHT-CT11</t>
  </si>
  <si>
    <t>Сж-98</t>
  </si>
  <si>
    <t>Cтильный и аккуратный журнальный столик от Sheffilton добавит изюминку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Выполнен из трубы 12 мм и металлического листа толщиной 1 мм. Диаметр столешницы 350 мм.
МОБИЛЬНЫЙ
Столик легко поднять и перенести в любое место дома или офиса. Бортик по краю столешницы позволяет
бокалам и тарелкам не упасть во время использования.
ЛЕГКАЯ СБОРКА
Столик полностью разборный. Легко собрать и разобрать обратно.</t>
  </si>
  <si>
    <t>Стильный и аккуратный журнальный столик от Sheffilton добавит изюминку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Выполнен из трубы 12 мм и металлического листа толщиной 1 мм. Диаметр столешницы 350 мм.
МОБИЛЬНЫЙ
Столик легко поднять и перенести в любое место дома или офиса. Бортик по краю столешницы позволяет
бокалам и тарелкам не упасть во время использования.
ЛЕГКАЯ СБОРКА
Столик полностью разборный. Легко собрать и разобрать обратно.</t>
  </si>
  <si>
    <t>Столик журнальный Sheffilton SHT-CT12</t>
  </si>
  <si>
    <t>Сж-102</t>
  </si>
  <si>
    <t>белый муар/глянц.белый</t>
  </si>
  <si>
    <t>металл/МДФ</t>
  </si>
  <si>
    <t>Cтильный и аккуратный журнальный столик от Sheffilton с белой глянцевой столешницей из МДФ гармонично
впишется в интерьер дома, дачи, кафе, гостиницы и остальных зон отдыха.
ПРОЧНОСТЬ И ВЛАГОСТОЙКОСТЬ
Столешница из МДФ отличается повышенной жесткостью и устойчива к воздействию влаги. Материал не содержит
и не выделяет вредных веществ. Диаметр столешницы 350 мм.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ПРОЧНЫЙ И НАДЕЖНЫЙ
металлический каркас окрашен порошковой краской, устойчивой к механическому воздействию. Выполнен
из трубы 12 мм.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</si>
  <si>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золото/мрамор премиум светлый</t>
  </si>
  <si>
    <t>Красота золота и текстуры прекрасно сочетаются журнальном столике от Sheffilton. Он гармонично впишется
в интерьер дома, дачи, кафе, гостиницы и остальных зон отдыха.
ПРОЧНОСТЬ И ВЛАГОСТОЙКОСТЬ
Столешница из МДФ отличается повышенной жесткостью и устойчива к воздействию влаги. Материал не содержит
и не выделяет вредных веществ. Диаметр столешницы 350 мм.
ДИЗАЙН И ЭСТЕТИКА
В качестве дизайнерского хода основание столика покрашено в благородный золотой цвет. Столешница из
МДФ смотрится аккуратно и привлекательно, поскольку имеет плавный закругленный переход от лицевой
поверхности к боковым кромкам. Рисунок под натуральный мрамор добавит нотку естественности.
ПРОЧНЫЙ И НАДЕЖНЫЙ
металлический каркас окрашен порошковой краской, устойчивой к механическому воздействию. Выполнен
из трубы 12 мм.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</si>
  <si>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черный муар/лофт медь</t>
  </si>
  <si>
    <t>Cтильный и аккуратный журнальный столик от Sheffilton с красивой столешницей из МДФ гармонично впишется
в интерьер дома, дачи, кафе, гостиницы и остальных зон отдыха.
ПРОЧНОСТЬ И ВЛАГОСТОЙКОСТЬ
Столешница из МДФ отличается повышенной жесткостью и устойчива к воздействию влаги. Материал не содержит
и не выделяет вредных веществ. Диаметр столешницы 350 мм.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Рисунок под натуральный металл добавит нотку стиля "лофт"
в интерьер.
ПРОЧНЫЙ И НАДЕЖНЫЙ
металлический каркас окрашен порошковой краской, устойчивой к механическому воздействию. Выполнен
из трубы 12 мм.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</si>
  <si>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SHT-CT3</t>
  </si>
  <si>
    <t>Сж-73</t>
  </si>
  <si>
    <t>Изящный, стильный и миниатюрный журнальный столик от Sheffilton добавит изюминку в Ваш интерьер. Бортик
по краю столешницы позволяет бокалам и тарелкам не упасть во время использования. Столик легко поднять
и перенести в любое место дома или офиса.
- Надежный металлический каркас и столешница окрашены порошковой краской, устойчивой к механическому
воздействию.
- Высота столика 450 мм.
- Диаметр столешницы 350 мм.
- Каркас выполнен из трубы диаметром 10 мм.
- Максимальная статическая нагрузка на столик 5 кг.</t>
  </si>
  <si>
    <t>Изящный, стильный и миниатюрный журнальный столик в благородном цвете под золото от Sheffilton добавит
акцент в Ваш интерьер.
ДЕЛО В ДЕТАЛЯХ
Бортик по краю столешницы позволяет бокалам и тарелкам не упасть во время использования. Столик легко
поднять и перенести в любое место дома или офиса.
УСТОЙЧИВЫЙ И НАДЕЖНЫЙ
Надежный металлический каркас и столешница окрашены порошковой краской, устойчивой к механическому
воздействию. Высота столика 450 мм. Диаметр столешницы 350 мм. Каркас выполнен из трубы диаметром
10 мм. Максимальная статическая нагрузка на столик 5 кг.
Гарантия 2 года.</t>
  </si>
  <si>
    <t>Изящный, стильный и миниатюрный журнальный столик от Sheffilton добавит изюминку в Ваш интерьер. Бортик
по краю столешницы позволяет бокалам и тарелкам не упасть во время использования. Столик легко поднять
за крючок и перенести в любое место дома или офиса.
- Надежный металлический каркас и столешница окрашены порошковой краской, устойчивой к механическому
воздействию.
- Высота столика 450 мм.
- Диаметр столешницы 350 мм.
- Каркас выполнен из трубы диаметром 10 мм.
- Максимальная статическая нагрузка на столик 5 кг.</t>
  </si>
  <si>
    <t>Столик журнальный Sheffilton SHT-CT6</t>
  </si>
  <si>
    <t>Сж-83</t>
  </si>
  <si>
    <t>Изящный и стильный журнальный столик от Sheffilton добавит изюминку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МОБИЛЬНЫЙ
Столик легко поднять и перенести в любое место дома или офиса. Столешница – съемная, можно использовать
в качестве подноса для перемещения вкусняшек с кухни к телевизору или ноутбуку. Диаметр столешницы
350 мм.
ЛЕГКАЯ СБОРКА
Столик полностью разборный. Легко собрать и разобрать обратно.</t>
  </si>
  <si>
    <t>золото/черный муар</t>
  </si>
  <si>
    <t>Изящный, стильный и миниатюрный журнальный столик со столешницей в благородном цвете под золото. Добавьте
акцент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МОБИЛЬНЫЙ
Столик легко поднять и перенести в любое место дома или офиса. Столешница – съемная, можно использовать
в качестве подноса для перемещения вкусняшек с кухни к телевизору или ноутбуку. Диаметр столешницы
350 мм.
ЛЕГКАЯ СБОРКА
Столик полностью разборный. Легко собрать и разобрать обратно.</t>
  </si>
  <si>
    <t>Столик журнальный Sheffilton SHT-CT7</t>
  </si>
  <si>
    <t>Сж-86</t>
  </si>
  <si>
    <t>дуб беленый/черный муар</t>
  </si>
  <si>
    <t>Проcтая арифметика, одна покупка – два столика! Прочность металла, красота столешницы создают простые
и органичные журнальные столики. Они добавят комфорта в Ваш интерьер дома, дачи, кафе, гостиницы и
остальных зон отдыха.
ДВА В ОДНОМ
Вы можете использовать два столика в комплекте, красиво перекрыв один другим. Можете использовать
в качестве отдельных столиков в каждой комнате своего дома. За ненадобностью можно полностью один
задвинуть за другой.
Диаметр столешницы верхнего столика 450 мм. Диаметр столешницы нижнего столика 366 мм.
УСТОЙЧИВЫЙ И НАДЕЖНЫЙ
Надежный металлический каркас окрашен порошковой краской, устойчивой к механическому воздействию.
Каркас выполнен из трубы. Столешница выполнена из ЛДСП с нежным природным рисунком под натуральное
дерево.
Максимальная статическая нагрузка на каждый столик 10 кг.
Гарантия 2 года.</t>
  </si>
  <si>
    <t>камень пьетра черный/белый муар</t>
  </si>
  <si>
    <t>Проcтая арифметика, одна покупка – два столика! Прочность металла, красота столешницы создают простые
и органичные журнальные столики. Они добавят комфорта в Ваш интерьер дома, дачи, кафе, гостиницы и
остальных зон отдыха.
ДВА В ОДНОМ
Вы можете использовать два столика в комплекте, красиво перекрыв один другим. Можете использовать
в качестве отдельных столиков в каждой комнате своего дома. За ненадобностью можно полностью один
задвинуть за другой.
Диаметр столешницы верхнего столика 450 мм. Диаметр столешницы нижнего столика 366 мм.
УСТОЙЧИВЫЙ И НАДЕЖНЫЙ
Надежный металлический каркас окрашен порошковой краской, устойчивой к механическому воздействию.
Каркас выполнен из трубы. Столешница выполнена из ЛДСП с нежным природным рисунком под натуральный
камень.
Максимальная статическая нагрузка на каждый столик 10 кг.
Гарантия 2 года.</t>
  </si>
  <si>
    <t>мрамор каррара белый/золото</t>
  </si>
  <si>
    <t>Столик журнальный Sheffilton SHT-CT8</t>
  </si>
  <si>
    <t>Сж-85</t>
  </si>
  <si>
    <t>Изящный, стильный и миниатюрный журнальный столик от Sheffilton добавит изюминку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Выполнен из трубы 12 мм и металлического листа толщиной 1 мм. Диаметр столешницы 350 мм.
МОБИЛЬНЫЙ
Столик легко поднять и перенести в любое место дома или офиса. Столешница легко снимается и ее можно
использовать в качестве подноса, что очень удобно.
ЛЕГКАЯ СБОРКА
Столик полностью разборный. Легко собрать и разобрать обратно.</t>
  </si>
  <si>
    <t>Изящный, стильный и миниатюрный журнальный столик в благородном цвете под золото от Sheffilton добавит
акцент в Ваш интерьер дома, дачи, кафе, гостиницы и остальных зон отдыха.
НАДЕЖНЫЙ
металлический каркас и столешница окрашены порошковой краской, устойчивой к механическому воздействию.
Выполнен из трубы 12 мм и металлического листа толщиной 1 мм. Диаметр столешницы 350 мм.
МОБИЛЬНЫЙ
Столик легко поднять и перенести в любое место дома или офиса. Столешница легко снимается и ее можно
использовать в качестве подноса, что очень удобно.
ЛЕГКАЯ СБОРКА
Столик полностью разборный. Легко собрать и разобрать обратно.</t>
  </si>
  <si>
    <t>Столик журнальный Sheffilton SHT-CT9</t>
  </si>
  <si>
    <t>Сж-87</t>
  </si>
  <si>
    <t>бетон чикаго светлый/черный муар</t>
  </si>
  <si>
    <t>Прочность металла, красота столешницы создают простой и органичный журнальный столик. Поможет Вам
хранить под рукой самые необходимые вещи. Добавит комфорта в Ваш интерьер дома, дачи, кафе, гостиницы
и остальных зон отдыха.
ДЕЛО В ДЕТАЛЯХ
Столик можно приставить к мягкой мебели высотой не более 60 см, что позволяет использовать окружающее
пространство более органично.
УСТОЙЧИВЫЙ И НАДЕЖНЫЙ
Надежный металлический каркас окрашен порошковой краской, устойчивой к механическому воздействию.
Каркас выполнен из трубы. Столешница выполнена из ЛДСП с природным рисунком под натуральный камень.
Размер столешницы 400 на 300 мм.
Максимальная статическая нагрузка на столик 7 кг.
Гарантия 2 года.</t>
  </si>
  <si>
    <t>Прочность металла, красота столешницы создают простой и органичный журнальный столик.
Поможет Вам хранить под рукой самые необходимые вещи. Добавит комфорта в Ваш интерьер дома, дачи,
кафе, гостиницы и остальных зон отдыха.
ДЕЛО В ДЕТАЛЯХ
Столик можно приставить к мягкой мебели высотой не более 60 см, что позволяет использовать окружающее
пространство более органично.
УСТОЙЧИВЫЙ И НАДЕЖНЫЙ
Надежный металлический каркас окрашен порошковой краской, устойчивой к механическому воздействию.
Каркас выполнен из трубы. Столешница выполнена из ЛДСП с нежным природным рисунком под натуральное
дерево. Размер столешницы 400 на 300 мм.
Максимальная статическая нагрузка на столик 7 кг.
Гарантия 2 года.</t>
  </si>
  <si>
    <t>дуб галифакс табак/черный муар</t>
  </si>
  <si>
    <t>Прочность металла, красота столешницы создают простой и органичный журнальный столик. Поможет Вам
хранить под рукой самые необходимые вещи. Добавит комфорта в Ваш интерьер дома, дачи, кафе, гостиницы
и остальных зон отдыха.
ДЕЛО В ДЕТАЛЯХ
Столик можно приставить к мягкой мебели высотой не более 60 см, что позволяет использовать окружающее
пространство более органично.
УСТОЙЧИВЫЙ И НАДЕЖНЫЙ
Надежный металлический каркас окрашен порошковой краской, устойчивой к механическому воздействию.
Каркас выполнен из трубы. Столешница выполнена из ЛДСП с природным рисунком под натуральное дерево.
Размер столешницы 400 на 300 мм.
Максимальная статическая нагрузка на столик 7 кг.
Гарантия 2 года.</t>
  </si>
  <si>
    <t>Столик журнальный Sheffilton SHT-S100/TT20 ЛДСП 60</t>
  </si>
  <si>
    <t>черный муар/мрамор каррара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</si>
  <si>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НАДЕЖНЫЙ МЕТАЛЛИЧЕСКИЙ КАРКАС окрашен порошковой краской, устойчивой к механическому воздействию.Максимальная
статическая нагрузка 260 кг.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</si>
  <si>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Столик журнальный Sheffilton SHT-S100/TT20 ЛДСП 70</t>
  </si>
  <si>
    <t>черный муар/бетон чикаго темно-серый</t>
  </si>
  <si>
    <t>Столик журнальный Sheffilton SHT-S100/ЛДСП 60</t>
  </si>
  <si>
    <t>черный муар/камень пьетра гриджио черный</t>
  </si>
  <si>
    <t>Сж-77</t>
  </si>
  <si>
    <t>черный муар/хромикс белый</t>
  </si>
  <si>
    <t>Столик журнальный Sheffilton SHT-S100/ЛДСП 70</t>
  </si>
  <si>
    <t>Сж-105</t>
  </si>
  <si>
    <t>черный муар/орех тьеполо</t>
  </si>
  <si>
    <t>Cтолешница SHT-ТT 70 ЛДСП в сочетании с основанием SHT-S37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ПРОЧНОСТЬ И НАДЁЖНОСТЬ
Металлический каркас окрашен порошковой краской, устойчивой к механическому воздействию. Максимальная
статическая нагрузка - 260 кг.</t>
  </si>
  <si>
    <t>Столик журнальный Sheffilton SHT-S100/МДФ 70</t>
  </si>
  <si>
    <t>Сж-88</t>
  </si>
  <si>
    <t>черный муар/светлый орех</t>
  </si>
  <si>
    <t>Столешница из МДФ отличаются повышенной прочностью и экологичностью. Материал более устойчив к воздействию
влаги, визуально и на ощупь неотличим от натурального дерева. Столешница из МДФ смотрится аккуратно
и привлекательно, поскольку имеет плавный закругленный переход от лицевой поверхности к боковым кромкам.
Готовый стол будет гармонично и со вкусом смотреться в доме, офисе, дизайн-студии, кафе, баре, ресторане.
- Длина/ширина столешницы 700 мм.
- Толщина столешницы 22 мм.
- Диаметр/толщина каркаса: 18/1,5 мм;
- НАДЕЖНЫЙ МЕТАЛЛИЧЕСКИЙ КАРКАС окрашен порошковой краской, устойчивой к механическому воздействию.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</si>
  <si>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Столик журнальный Sheffilton SHT-S100/МДФ 70/70</t>
  </si>
  <si>
    <t>черный муар/акация светлая поперечная</t>
  </si>
  <si>
    <t>Столешница из МДФ отличаются повышенной прочностью и экологичностью. Материал более устойчив к воздействию
влаги, визуально и на ощупь неотличим от натурального дерева. Столешница из МДФ смотрится аккуратно
и привлекательно, поскольку имеет плавный закругленный переход от лицевой поверхности к боковым кромкам.
Готовый стол будет гармонично и со вкусом смотреться в доме, офисе, дизайн-студии, кафе, баре, ресторане.
- Длина/ширина столешницы 700/700 мм.
- Толщина столешницы 22 мм.
- Диаметр/толщина каркаса: 18/1,5 мм;
- НАДЕЖНЫЙ МЕТАЛЛИЧЕСКИЙ КАРКАС окрашен порошковой краской, устойчивой к механическому воздействию.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</si>
  <si>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Столик журнальный Sheffilton SHT-S106/TT20 ЛДСП 70</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</si>
  <si>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НАДЕЖНЫЙ МЕТАЛЛИЧЕСКИЙ КАРКАС окрашен порошковой краской, устойчивой к механическому воздействию.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</si>
  <si>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Столик журнальный Sheffilton SHT-S106/ЛДСП 60</t>
  </si>
  <si>
    <t>Сж-79</t>
  </si>
  <si>
    <t>Столик журнальный Sheffilton SHT-S106/ЛДСП 60/60</t>
  </si>
  <si>
    <t>хром лак/дуб сонома</t>
  </si>
  <si>
    <t>- Общее впечатление от столика - легкость и изящество.
- Столешница выполнена из ЛДСП.
- Толщина столешницы 25 мм.
- На торцевой части используется кромка из ПВХ - 2 мм.
- Каркас из металла, окрашен порошковой краской, устойчивой к механическому воздействию.
- Диаметр/толщина каркаса: 18/1,5 мм.
- ВАЖНО! Размер (диаметр) столешницы должен составлять не более 700х700мм.
- Максимальная статическая нагрузка на стол 50 кг.</t>
  </si>
  <si>
    <t>Столик журнальный Sheffilton SHT-S112/TT20 ЛДСП 60</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</si>
  <si>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РЕЗИНОВЫЙ ПОДПЯТНИК
Предусмотрен подпятник с резиновой проставкой. Он эффективно защищает половое
покрытие от царапин.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</si>
  <si>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Столик журнальный Sheffilton SHT-S112/ЛДСП 60</t>
  </si>
  <si>
    <t>Столик журнальный Sheffilton SHT-S112/ЛДСП 60/60</t>
  </si>
  <si>
    <t>Сж-104</t>
  </si>
  <si>
    <t>- Общее впечатление от столика - легкость и изящество.
- Столешница выполнена из ЛДСП.
- Толщина столешницы 25 мм.
- На торцевой части используется кромка из ПВХ - 2 мм.
- Каркас из металла, окрашен порошковой краской, устойчивой к механическому воздействию.
- ВАЖНО! Размер (диаметр) столешницы должен составлять не более 700х700мм.
- Максимальная статическая нагрузка на стол 50 кг.</t>
  </si>
  <si>
    <t>Столик журнальный Sheffilton SHT-S112/МДФ 70</t>
  </si>
  <si>
    <t>Сж-12</t>
  </si>
  <si>
    <t>Столешница из МДФ отличаются повышенной прочностью и экологичностью. Материал более устойчив к воздействию
влаги, визуально и на ощупь неотличим от натурального дерева. Столешница из МДФ смотрится аккуратно
и привлекательно, поскольку имеет плавный закругленный переход от лицевой поверхности к боковым кромкам.
Готовый стол будет гармонично и со вкусом смотреться в доме, офисе, дизайн-студии, кафе, баре, ресторане.
- Длина/ширина столешницы 700 мм.
- Толщина столешницы 22 мм.
- НАДЕЖНЫЙ МЕТАЛЛИЧЕСКИЙ КАРКАС окрашен порошковой краской, устойчивой к механическому воздействию.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</si>
  <si>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Столик журнальный Sheffilton SHT-S113/TT20 ЛДСП 70</t>
  </si>
  <si>
    <t>Столик журнальный Sheffilton SHT-S113/ЛДСП 60</t>
  </si>
  <si>
    <t>Столик журнальный Sheffilton SHT-S37/ЛДСП 60</t>
  </si>
  <si>
    <t>медный металлик/дуб песочный</t>
  </si>
  <si>
    <t>- Столешница шестигранник - необычное дизайнерское решение для интерьера!
-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 Толщина столешницы 25 мм.
- На торцевой части используется кромка из ПВХ - 2 мм.
- Каркас из металла, окрашен порошковой краской, устойчивой к механическому воздействию.
- Диаметр/толщина каркаса: 18/1,5 мм.
- ВАЖНО! Размер (диаметр) столешницы должен составлять не более 700х700мм.
- Максимальная статическая нагрузка на стол 50 кг.</t>
  </si>
  <si>
    <t>хром лак/хромикс белый</t>
  </si>
  <si>
    <t>Сж-65</t>
  </si>
  <si>
    <t>хром лак/дуб песочный</t>
  </si>
  <si>
    <t>- Общее впечатление от столика - легкость и изящество.
- Столешница выполнена из ЛДСП.
- Толщина столешницы 25 мм.
- На торцевой части используется кромка из ПВХ - 2 мм.
- Каркас из металла, окрашен порошковой краской, устойчивой к механическому воздействию.
- Диаметр/толщина каркаса: 18/1,5 мм.
- Высота каркаса 430 мм.
- Расстояние между опорами 460 мм.
- ВАЖНО! Размер (диаметр) столешницы должен составлять не более 700х700мм.
- Максимальная статическая нагрузка на стол 50 кг.</t>
  </si>
  <si>
    <t>Столик журнальный Sheffilton SHT-S37/ЛДСП 60/60</t>
  </si>
  <si>
    <t>Сж-66</t>
  </si>
  <si>
    <t>медный мет./дуб сонома</t>
  </si>
  <si>
    <t>Столик журнальный Sheffilton SHT-S37/ЛДСП 70</t>
  </si>
  <si>
    <t>медный металлик/орех тьеполо</t>
  </si>
  <si>
    <t>Столик журнальный Sheffilton SHT-S37/ТT7 60/60 ДУБ/керамика</t>
  </si>
  <si>
    <t>черный муар/браш.коричневый/песочный</t>
  </si>
  <si>
    <t>металл/керамика/массив дуба</t>
  </si>
  <si>
    <t>Столешницы со вставкой из керамики мало подвержены механическим повреждениям и царапинам, устойчивы
к ударам.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 Подходит для использования в домашних и общественных помещениях, в кафе, баре, ресторане;
- Длина/ширина столешницы 600 мм., высота 50 мм.;
- Инструкция по уходу: протирать влажной тканью, вытирать чистой сухой тканью, при необходимости можно
использовать слабый мыльный раствор;
- НАДЕЖНЫЙ МЕТАЛЛИЧЕСКИЙ КАРКАС окрашен порошковой краской, устойчивой к механическому воздействию;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ВАЖНО! Размер (диаметр) столешницы должен составлять не более 700х700мм.
- Максимальная статическая нагрузка на стол 50 кг.</t>
  </si>
  <si>
    <t>Столик журнальный Sheffilton SHT-S38/ST18-1</t>
  </si>
  <si>
    <t>Сж-90</t>
  </si>
  <si>
    <t>черный/темный янтарь</t>
  </si>
  <si>
    <t>металл/дерево/эпоксидная смола</t>
  </si>
  <si>
    <t>- Столик отлично подойдет для интерьера в "эко-стиле" и "лофт".
- В данной модели сохранены текстура коры и тактильные качества.
- Уникальность рисунка сидения сохранена с помощью заливки из эпоксидной смолы.
- Сидение выполнено из спила ствола дерева (слэб), толщиной 60 - 80 мм.
- Из-за неоднорости размера натурального массива слеба возможно отклонение в размере "+ -" 20 мм.
по максимальному диаметру.
- Длительное пребывание изделия на солнце не рекомендовано.
- Диаметр/толщина металлического каркаса: 18/1,5 мм.
- ВАЖНО! Размер (диаметр) столешницы должен составлять не более 700х700мм.
- Максимальная статическая нагрузка на стол 50 кг.</t>
  </si>
  <si>
    <t>Столик журнальный Sheffilton SHT-S38/TT20 ЛДСП 70</t>
  </si>
  <si>
    <t>Cтолешница SHT-ТT 60 ЛДСП в сочетании с основанием SHT-S38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ПРОЧНОСТЬ И НАДЁЖНОСТЬ
Металлический каркас окрашен порошковой краской, устойчивой к механическому воздействию. Максимальная
статическая нагрузка - 200 кг.</t>
  </si>
  <si>
    <t>Столик журнальный Sheffilton SHT-S38/ЛДСП 70</t>
  </si>
  <si>
    <t>Cтолешница SHT-ТT 70 ЛДСП в сочетании с основанием SHT-S38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ПРОЧНОСТЬ И НАДЁЖНОСТЬ
Металлический каркас окрашен порошковой краской, устойчивой к механическому воздействию. Максимальная
статическая нагрузка - 200 кг.</t>
  </si>
  <si>
    <t>Столик журнальный Sheffilton SHT-S39/70/70 ДУБ/OSB</t>
  </si>
  <si>
    <t>- Такой стол будет долговечен, а красивая текстура натурально дуба придает превосходный внешний вид!
- Столешница выполнена целиком из натурального дуба.
- Природный рисунок дерева делает каждую столешницу уникальной. Каждое изделие покрыто прозрачным
лаком, что обеспечивает защиту от внешних воздействий.
- Основа столешницы - OSB - плита, толщиной 18 мм.
- Столешница покрыта защитным бесцветным лаком.
- Рельефное обрамление выполнено из дуба, толщиной 50 мм.
- Устойчивость к впитыванию загрязнений, конденсата, жира.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Деревянные детали могут немного отличаться по оттенку из-за неоднородности структуры дерева.
- ВАЖНО! Размер (диаметр) столешницы должен составлять не более 700х700мм.
- Максимальная статическая нагрузка на стол 50 кг.</t>
  </si>
  <si>
    <t>Столик журнальный Sheffilton SHT-S39/ЛДСП 60</t>
  </si>
  <si>
    <t>серый/дуб песочный</t>
  </si>
  <si>
    <t>дерево/ЛДСП</t>
  </si>
  <si>
    <t>- Столешница шестигранник - необычное дизайнерское решение для интерьера!
-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 Толщина столешницы 25 мм.
- На торцевой части используется кромка из ПВХ - 2 мм.
- Каркас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Высота каркаса 420 мм.
- ВАЖНО! Размер (диаметр) столешницы должен составлять не более 700х700мм.
- Максимальная статическая нагрузка на стол 50 кг.</t>
  </si>
  <si>
    <t>Сж-4</t>
  </si>
  <si>
    <t>прозрачный лак/хромикс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</si>
  <si>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Каркас выполнен из МАССИВА ДРЕВЕСИНЫ с последующим тонированием и покрытием лаком. Максимальная статическая
нагрузка - 260 кг;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</si>
  <si>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темный орех/орех тьеполо</t>
  </si>
  <si>
    <t>- Этот круглый столик воплощает в себе очарование элегантной классики.
- Столешница выполнена из ЛДСП.
- Толщина столешницы 25 мм.
- На торцевой части используется кромка из ПВХ - 2 мм.
- Каркас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Высота каркаса 420 мм.
- ВАЖНО! Размер (диаметр) столешницы должен составлять не более 700х700мм.
- Максимальная статическая нагрузка на стол 50 кг.</t>
  </si>
  <si>
    <t>Столик журнальный Sheffilton SHT-S39/ЛДСП 60/60</t>
  </si>
  <si>
    <t>дуб атланта брашир./дуб сонома</t>
  </si>
  <si>
    <t>- В современных дизайнерских проектах ему точно найдется достойное место.
- Столешница выполнена из ЛДСП.
- Толщина столешницы 25 мм.
- На торцевой части используется кромка из ПВХ - 2 мм.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</si>
  <si>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Сж-5</t>
  </si>
  <si>
    <t>светлый орех/дуб сонома</t>
  </si>
  <si>
    <t>- Этот квадратный столик воплощает в себе очарование элегантной классики.
- Столешница выполнена из ЛДСП.
- Толщина столешницы 25 мм.
- На торцевой части используется кромка из ПВХ - 2 мм.
- Каркас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Высота каркаса 420 мм.
- ВАЖНО! Размер (диаметр) столешницы должен составлять не более 700х700мм.
- Максимальная статическая нагрузка на стол 50 кг.</t>
  </si>
  <si>
    <t>Столик журнальный Sheffilton SHT-S39/ЛДСП 70</t>
  </si>
  <si>
    <t>светлый орех/орех тьеполо</t>
  </si>
  <si>
    <t>Cтолешница SHT-ТT 70 ЛДСП в сочетании с основанием SHT-S39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ПРОЧНОСТЬ И НАДЁЖНОСТЬ
Каркас выполнен из МАССИВА ДРЕВЕСИНЫ с последующим тонированием и покрытием лаком.Специальные подпятники
обеспечивают защиту каркаса от царапин, тем самым увеличивая срок службы. Максимальная статическая
нагрузка - 260 кг.</t>
  </si>
  <si>
    <t>Столик журнальный Sheffilton SHT-S39/МДФ 70</t>
  </si>
  <si>
    <t>дуб выбеленный/акация светлая</t>
  </si>
  <si>
    <t>дерево/МДФ</t>
  </si>
  <si>
    <t>ТОВАР ДОСТУПЕН ТОЛЬКО ПОД ЗАКАЗ ОТ 20 ШТУК!
- В современных дизайнерских проектах ему точно найдется достойное место!
- Столешница из МДФ смотрится аккуратно и привлекательно, поскольку имеет плавный закругленный переход
от лицевой поверхности к боковым кромкам.
- Долгий срок эксплуатации, устойчивость к влаге, стойкость к механическим повреждениям.
- Длина/ширина столешницы 700х700 мм.
- Толщина столешницы - 22 мм.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Деревянные детали могут немного отличаться по оттенку из-за неоднородности структуры дерева.
- ВАЖНО! Размер (диаметр) столешницы должен составлять не более 700х700мм.
- Максимальная статическая нагрузка на стол 50 кг.</t>
  </si>
  <si>
    <t>Столик журнальный Sheffilton SHT-S39/ТT7 60/60 ДУБ/керамика</t>
  </si>
  <si>
    <t>светлый орех/браш.коричневый/песочный</t>
  </si>
  <si>
    <t>дерево/керамика</t>
  </si>
  <si>
    <t>Столешницы со вставкой из керамики мало подвержены механическим повреждениям и царапинам, устойчивы
к ударам.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 Подходит для использования в домашних и общественных помещениях, в кафе, баре, ресторане;
- Длина/ширина столешницы 600 мм., высота 50 мм.;
- Инструкция по уходу: протирать влажной тканью, вытирать чистой сухой тканью, при необходимости можно
использовать слабый мыльный раствор;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</si>
  <si>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Столик журнальный Sheffilton SHT-S39/ТT8 60/60 ДУБ/керамика</t>
  </si>
  <si>
    <t>прозрачный лак/коричневая сепия</t>
  </si>
  <si>
    <t>- Столешницы из керамики абсолютно не подвержены механическим повреждениям и царапинам, устойчивы
к ударам.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Обеденная
группа с использованием керамической столешницы придаст оригинальный дизайн интерьеру и непременно
украсит кухню, кафе, бар или ресторан.
- Длина/ширина столешницы 600 мм., высота 55 мм.;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ВАЖНО! Размер (диаметр) столешницы должен составлять не более 700х700мм.
- Максимальная статическая нагрузка на стол 50 кг.</t>
  </si>
  <si>
    <t>Столик журнальный Sheffilton SHT-S70/TT20 ЛДСП 70</t>
  </si>
  <si>
    <t>темный орех/бетон чикаго темно-серый</t>
  </si>
  <si>
    <t>дерево/металл/ЛДСП</t>
  </si>
  <si>
    <t>Cтолешница SHT-ТT 70 ЛДСП в сочетании с основанием SHT-S70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ПРОЧНОСТЬ И НАДЁЖНОСТЬ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t>
  </si>
  <si>
    <t>Столик журнальный Sheffilton SHT-S70/ЛДСП 60</t>
  </si>
  <si>
    <t>темный орех/камень пьетра гриджио черный</t>
  </si>
  <si>
    <t>темный орех/черный муар/орех тьеполо</t>
  </si>
  <si>
    <t>- Сочетание металла и дерева действительно создают желаемый эффект. Металл - верный спутник хай-тека,
дерево несет в себе благородство тепла и цвета.В современных дизайнерских проектах ему точно найдется
достойное место.
- Столешница выполнена из ЛДСП.
- Толщина столешницы 25 мм.
- На торцевой части используется кромка из ПВХ - 2 мм.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ВАЖНО! Размер (диаметр) столешницы должен составлять не более 700х700мм.
- Максимальная статическая нагрузка на стол 50 кг.</t>
  </si>
  <si>
    <t>Столик журнальный Sheffilton SHT-S70/ЛДСП 60/60</t>
  </si>
  <si>
    <t>Сж-7</t>
  </si>
  <si>
    <t>прозрачный лак/черный/дуб сонома</t>
  </si>
  <si>
    <t>Столик журнальный Sheffilton SHT-S70/ЛДСП 70</t>
  </si>
  <si>
    <t>дерево/ЛДСП/металл</t>
  </si>
  <si>
    <t>Столик журнальный Sheffilton SHT-S70/ТT8 60/60 ДУБ/керамика</t>
  </si>
  <si>
    <t>Сж-8</t>
  </si>
  <si>
    <t>тем.орех/чер/прозр.лак/коричневая сепия</t>
  </si>
  <si>
    <t>дерево/металл/дерево/керамика</t>
  </si>
  <si>
    <t>- Такой стол будет долговечен, а красивая текстура дерева придает превосходный внешний вид!
- Столешницы из керамики абсолютно не подвержены механическим повреждениям и царапинам, устойчивы
к ударам.
-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 Инструкция по уходу: протирать влажной тканью, вытирать чистой сухой тканью, при необходимости можно
использовать слабый мыльный раствор.
- Длина/ширина столешницы 600 мм., высота 55 мм.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ВАЖНО! Размер (диаметр) столешницы должен составлять не более 700х700мм.
- Максимальная статическая нагрузка на стол 50 кг.</t>
  </si>
  <si>
    <t>Столик журнальный Sheffilton SHT-S71/МДФ 70</t>
  </si>
  <si>
    <t>Сж-9</t>
  </si>
  <si>
    <t>дуб браш.коричневый/орех светлый</t>
  </si>
  <si>
    <t>дерево/металл/МДФ</t>
  </si>
  <si>
    <t>- В современных дизайнерских проектах такому столику точно найдется достойное место!
- Каркас обработан технологией "браширование" - искусстенное старение и покрыто прозрачным лаком,
что обеспечивает защиту от внешних воздействий. Отлично впишется в интерьер стиля "лофт".
- Специальные подпятники обеспечивают защиту каркаса от царапин, тем самым увеличивая срок службы;
- Каркас из плотной древесины дуба, 30х30 мм. и перекладины 60х10 мм.;
- Ширина передних опор 410 мм; задних 400 мм.;
- Столешница из МДФ смотрится аккуратно и привлекательно, поскольку имеет плавный закругленный переход
от лицевой поверхности к боковым кромкам.
- Долгий срок эксплуатации, устойчивость к влаге, стойкость к механическим повреждениям.
- Толщина столешницы - 22 мм.;
- Каркас из металла, окрашен порошковой краской, устойчивой к механическому воздействию.
- Диаметр каркаса 8 и 5 мм.
- Высота каркаса 430 мм.
- ВАЖНО! Размер (диаметр) столешницы должен составлять не более 700х700мм.
- Максимальная статическая нагрузка на стол 50 кг.</t>
  </si>
  <si>
    <t>Столик журнальный Sheffilton SHT-TU23/H51/МДФ 70</t>
  </si>
  <si>
    <t>Сж-72</t>
  </si>
  <si>
    <t>темно-серый RAL7021/акация светлая</t>
  </si>
  <si>
    <t>- Общее впечатление от столика - легкость и изящество.
- Столешница из МДФ смотрится аккуратно и привлекательно, поскольку имеет плавный закругленный переход
от лицевой поверхности к боковым кромкам.
- Толщина столешницы - 22 мм.
- Долгий срок эксплуатации, устойчивость к влаге, стойкость к механическим повреждениям.
- Стильное, одновременно изящное и надежное подстолье для журнального столика. Тонкие линии красиво
подчеркнут любую столешницу!
-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
- На опоры наклеены подпятники из полипропилена;
- ВАЖНО! Размер (диаметр) столешницы должен составлять не более 700х700мм.
- Максимальная статическая нагрузка на стол 50 кг.</t>
  </si>
  <si>
    <t>Столик журнальный Sheffilton SHT-TU29/H36/ЛДСП 60</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</si>
  <si>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</si>
  <si>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Столик журнальный Sheffilton SHT-TU29/ЛДСП 70</t>
  </si>
  <si>
    <t>Сж-91</t>
  </si>
  <si>
    <t>чёрный муар/орех тьеполо</t>
  </si>
  <si>
    <t>Cтолешница SHT-ТT 70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СТИЛЬНЫЙ ДЕЗАЙН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</si>
  <si>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Sheffilton SHT-TU37/ST18-1</t>
  </si>
  <si>
    <t>черный муар/темный янтарь</t>
  </si>
  <si>
    <t>металл/дерево</t>
  </si>
  <si>
    <t>Лаконичный дизайн столика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В столешнице сохранена текстура коры и тактильные качества. При грамотном дизайне естественный рисунок
и оригинальность спила будут притягивать взгляды посетителей.
ПРОЧНОСТЬ И НАДЁЖНОСТЬ
Столешница выполнена из спила ствола дерева (слэб). Уникальность рисунка сохранена с помощью заливки
из эпоксидной смолы. Данный вид смолы отличается высокой прочностью.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t>
  </si>
  <si>
    <t>Столик журнальный Sheffilton SHT-TU37/ДУБ/КЕРАМИКА 60/60</t>
  </si>
  <si>
    <t>металл/дерево/керамика</t>
  </si>
  <si>
    <t>Лаконичный дизайн стола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ДЕЗАЙН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ПРОЧНОСТЬ И НАДЁЖНОСТЬ
Столешницы со вставкой из керамики мало подвержены механическим повреждениям и царапинам, устойчивы
к ударам.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t>
  </si>
  <si>
    <t>Столик журнальный Sheffilton SHT-TU37/ЛДСП 60</t>
  </si>
  <si>
    <t>Сж-95</t>
  </si>
  <si>
    <t>золото/хромикс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</si>
  <si>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</si>
  <si>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Лаконичный дизайн стола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ДЕЗАЙН
Цвет столешницы имитирует текстуру ценного сорта древесины.
ПРОЧНОСТЬ И НАДЁЖНОСТЬ
Столешница выполнена из ЛДСП и покрыта специальной пленкой, которая формирует защитный слой от внешнего
воздействия.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t>
  </si>
  <si>
    <t>Столик журнальный Sheffilton SHT-TU37/ЛДСП 60/60</t>
  </si>
  <si>
    <t>золото/дуб сонома</t>
  </si>
  <si>
    <t>Сж-93</t>
  </si>
  <si>
    <t>черный муар/дуб сонома</t>
  </si>
  <si>
    <t>Столик журнальный Sheffilton SHT-TU37/МДФ 70</t>
  </si>
  <si>
    <t>Лаконичный дизайн стола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t>
  </si>
  <si>
    <t>Столик журнальный Sheffilton SHT-TU37/ТТ20 60 ЛДСП</t>
  </si>
  <si>
    <t>Сж-94</t>
  </si>
  <si>
    <t>золото/дуб песочный</t>
  </si>
  <si>
    <t>Столик журнальный Sheffilton SHT-TU37/ТТ20 70 ЛДСП</t>
  </si>
  <si>
    <t>золото/бетон чикаго темно-серый</t>
  </si>
  <si>
    <t>золото/орех тьеполо</t>
  </si>
  <si>
    <t>Столик журнальный SHT-TU29/H36/70/70 ДУБ/OSB</t>
  </si>
  <si>
    <t>прозрачный лак/черный муар</t>
  </si>
  <si>
    <t>Cтолешница SHT-ТT4 70/70 ДУБ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выполнена целиком из натурального дуба. Такой стол будет долговечен, а красивая текстура
натурально дуба придает превосходный внешний вид! Природный рисунок дерева делает каждую столешницу
уникальной. Каждое изделие покрыто прозрачным лаком, что обеспечивает защиту от внешних воздействий.
Столешница отлично в пишется в интерьер стиля "лофт".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</si>
  <si>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SHT-TU29/H36/TT20 ЛДСП 60/60</t>
  </si>
  <si>
    <t>Cтолешница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</si>
  <si>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Сж-106</t>
  </si>
  <si>
    <t>дуб песочный/черный муар</t>
  </si>
  <si>
    <t>Cтолешница SHT-ТT4 60/60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</si>
  <si>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SHT-TU29/H36/TT20 ЛДСП 70</t>
  </si>
  <si>
    <t>Cтолешница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</si>
  <si>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SHT-TU29/H36/ЛДСП 60</t>
  </si>
  <si>
    <t>Сж-103</t>
  </si>
  <si>
    <t>орех тьеполо/черный муар</t>
  </si>
  <si>
    <t>Cтолешница SHT-ТT 60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</si>
  <si>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SHT-TU29/H36/ЛДСП 60/60</t>
  </si>
  <si>
    <t>дуб сонома/черный муар</t>
  </si>
  <si>
    <t>Cтолешница SHT-ТT4 60/60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</si>
  <si>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SHT-TU29/H36/ЛДСП 80</t>
  </si>
  <si>
    <t>Сж-108</t>
  </si>
  <si>
    <t>орех/черный муар</t>
  </si>
  <si>
    <t>Cтолешница SHT-ТT 80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НАДЁЖНОСТЬ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</si>
  <si>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SHT-TU29/H36/МДФ 70</t>
  </si>
  <si>
    <t>орех светлый/черный муар</t>
  </si>
  <si>
    <t>Cтолешница SHT-ТT 70 МДФ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</si>
  <si>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SHT-TU29/H36/МДФ 70/70</t>
  </si>
  <si>
    <t>акация светлая поперечная/черный муар</t>
  </si>
  <si>
    <t>Cтолешница SHT-ТT4 70/70 ДУБ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</si>
  <si>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Столик журнальный SHT-TU29/H36/МДФ 80</t>
  </si>
  <si>
    <t>Сж-107</t>
  </si>
  <si>
    <t>бетон светлый/черный муар</t>
  </si>
  <si>
    <t>Cтолешница SHT-ТT 80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</si>
  <si>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лофт медь/черный муар</t>
  </si>
  <si>
    <t>Cтолешница SHT-ТT 80 ЛДСП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t>
  </si>
  <si>
    <t>палисандр/черный муар</t>
  </si>
  <si>
    <t>Cтолешница SHT-ТT 80 МДФ в сочетании с основанием SHT-TU29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РЕЗИНОВЫЙ ПОДПЯТНИК
Предусмотрен подпятник с резиновой проставкой. Он эффективно защищает половое покрытие от царапин.</t>
  </si>
  <si>
    <t>Вешалка Sheffilton CH-4149</t>
  </si>
  <si>
    <t>В1-66</t>
  </si>
  <si>
    <t>т.серый/св.серый/хром</t>
  </si>
  <si>
    <t>Компактная вешалка для гардеробной, ванной, детской, прихожей, кладовой.
Помогает поддерживать порядок и экономить свободное пространство;
Полка для обуви, две штанги для вешалок-плечиков и боковые крючки для сумок, зонтов.
Штанги из хромированной трубы (диаметр/толщина: 28/0,8 мм); стойки - из металлической трубы, (диаметр/толщина:
32/0,8 мм, 28/0,8 мм) и полка 16/0,8 мм.
Расстояние между штангами 195 мм.
Высота вешалки регулируется в пределах 890-1660 мм (телескопическая система).
Размеры полки для обуви ШхГ: 720х350 мм.
Высота от пола до полки для обуви 80 мм.
Расстояние между трубками полки 90 мм.
Колеса вращаются на 360 градусов, обеспечивая легкое передвижение вешалки.
Диаметр колесной опоры 40 мм.
Ширина одной штанги позволяет вместить до 25 вешалок-плечиков.
Максимальная распределенная нагрузка на штангу 16 кг, на полку 20 кг.
Изделие полностью разборное, что обеспечивает простоту сборки и хранения.
Гарантия 2 года.</t>
  </si>
  <si>
    <t>Вешалка Sheffilton CH-4345</t>
  </si>
  <si>
    <t>В1-65</t>
  </si>
  <si>
    <t>- Компактная вешалка для гардеробной, ванной, детской, прихожей, кладовой;
- Поможет поддержать порядок и сэкономить свободное пространство;
- Полка для обуви, штанга для вешалок-плечиков и боковые крючки для сумок, зонтов и пакетов;
- Штанга выполнена из хромированной трубы (диаметр/толщина: 28/0,8 мм); стойки - из металлической
трубы, (32/0,8 мм, 28/0,8 мм) и полка 16/0,8 мм;
- Высота вешалки регулируется в пределах 890-1660 мм (телескопическая система);
- Размеры полки для обуви ШхГ: 720х350 мм;
- Высота от пола до полки для обуви 80 мм;
- Расстояние между трубками полки 90 мм;
- Колеса вращаются на 360 градусов, обеспечивая легкое передвижение вешалки;
- Диаметр колесной опоры 40 мм;
- Ширина штанги позволяет вместить до 25 вешалок-плечиков;
- Максимальная распределенная нагрузка на штангу 16 кг, на полку 20 кг;
- Изделие полностью разборное, что обеспечивает простоту сборки и хранения.
- Гарантия 2 года.</t>
  </si>
  <si>
    <t>черный/светлый орех</t>
  </si>
  <si>
    <t>Она украсит интерьер в экологичном стиле.
Текстура натурального дерева делает её универсальной для любой комнаты, она хорошо будет смотреться
как в гостиной, прихожей, так и рабочем кабинете или приемной;
Полка для обуви, штанга для вешалок-плечиков и боковые крючки для сумок, зонтов;
Штанга выполнена из металлической трубы (диаметр/толщина: 28/0,8 мм); стойки - из металлической трубы,
(32/0,8 мм, 28/0,8 мм), полка 16/0,8 мм;
Отделка пленкой PVC "под дерево";
Высота вешалки регулируется в пределах 890-1660 мм (телескопическая система);
Размеры полки: 720х350 мм;
Высота от пола до полки 80 мм;
Расстояние между трубками полки 90 мм;
Колеса вращаются на 360 градусов, обеспечивая легкое передвижение вешалки;
Диаметр колесной опоры 40 мм;
Ширина штанги позволяет вместить до 25 вешалок-плечиков;
Максимальная распределенная нагрузка на штангу 16 кг, на полку 20 кг;
Изделие полностью разборное, что обеспечивает простоту сборки и хранения.
Гарантия 2 года.</t>
  </si>
  <si>
    <t>черный/темный орех</t>
  </si>
  <si>
    <t>Она украсит интерьер в экологичном стиле.
Текстура натурального дерева делает её универсальной для любой комнаты, она хорошо будет смотреться
как в гостиной, прихожей, так и рабочем кабинете или приемной;
Полка для обуви, штанга для вешалок-плечиков и боковые крючки для сумок, зонтов;
Штанга выполнена из металлической трубы (диаметр/толщина: 28/0,8 мм); стойки - из металлической трубы,
(32/0,8 мм, 28/0,8 мм), полка 16/0,8 мм;
Отделка пленкой PVC "под дерево";
Высота вешалки регулируется в пределах 890-1660 мм (телескопическая система);
Размеры полки: 720х350 мм;
Высота от пола до полки 80 мм;
Расстояние между трубками полки 90 мм;
Колеса вращаются на 360 градусов, обеспечивая легкое передвижение вешалки;
Диаметр колесной опоры 40 мм;
Ширина штанги позволяет вместить до 25 вешалок-плечиков;
Максимальная распределенная нагрузка на штангу 16 кг, на полку 20 кг;
Изделие разборное; упаковка - плоская картонная коробка;
Гарантия 2 года.</t>
  </si>
  <si>
    <t>Вешалка Sheffilton SHT-WR11</t>
  </si>
  <si>
    <t>В1-77</t>
  </si>
  <si>
    <t>металл/ткань/пластик</t>
  </si>
  <si>
    <t>Гардеробная за пять минут - поможет разместить множество ваших вещей.
Высокая вешалка с двумя штангами позволяет рационально использовать площадь пола.
В ней предусмотрены 4 полки, 2 штанги для вешалок-плечиков и 2 боковых кармана.
Среднюю полку можно устанавливать в любой последовательности.
Выполнена из металла, диаметр/толщина трубы 16х0,8 мм., и пластика.
Расстояние от верхней штанги до полки - 880 мм.
Расстояние между полками - 215 мм.
Расстояние от второй штанги до нижней полки - 880 мм.
Размеры нижней полки: 600х305х880 мм.
Размеры кармана: 148х222х40 мм.
Превосходно смотрятся в комплекте с моделями SHT-WR12 и SHT-WR15;
При использовании двух и более вешалок, можете скрепить их между собой клипсами, что придает жесткость
и устойчивость конструкциям;
Максимальная распределенная нагрузка на одну полку - 5 кг., на один карман - 0,5 кг., на одну штангу
- 5 кг.
Изделие полностью разборное, что обеспечивает простоту сборки и хранения.
Гарантия 2 года.</t>
  </si>
  <si>
    <t>Вешалка Sheffilton SHT-WR12</t>
  </si>
  <si>
    <t>В1-79</t>
  </si>
  <si>
    <t>- Гардеробная за пять минут - поможет разместить множество ваших вещей.
- Высокая вешалка с полками и штангой позволяет рационально использовать площадь пола.
- Превосходно смотрятся в комплекте с моделями SHT-WR11 и SHT-WR15;
- При использовании двух и более вешалок, можете скрепить их между собой клипсами, что придает жесткость
и устойчивость конструкциям;
- В ней предусмотрены 5 полок и штанга для вешалок-плечиков.
- Полки можно устанавливать в любой последовательности.
- Выполнена из металла, диаметр/толщина трубы 16х0,8 мм. и пластика.
- Расстояние между средними полками - 215 мм., между последними - 296 мм.
- Размеры нижней полки: 600х305х296 мм.
- Максимальная распределенная нагрузка на одну полку - 5 кг., на одну штангу - 5 кг.
- Изделие полностью разборное, что обеспечивает простоту сборки и хранения.
- Гарантия 2 года.</t>
  </si>
  <si>
    <t>Вешалка Sheffilton SHT-WR125</t>
  </si>
  <si>
    <t>В1-92</t>
  </si>
  <si>
    <t>металл/пластик/ткань</t>
  </si>
  <si>
    <t>Высокая и открытая гардеробная вешалка WHT-WR125 предназначена для комфортного хранения вещей и организации
пространства. Она собрана из стеллажей SHT-WR11, SHT-WR12, SHT-WR15. Отлично подходит для размещения
в гардеробной, спальне, прихожей или в магазине.
Предусмотрено 9 полок и 5 штанг для вешалок-плечиков. Вы можете спокойно вешать одежду, ставить обувь
и хранить все необходимое рядом. Все полки съемные, можно собрать каркас с учетом ваших требований
для хранения вещей.
При использовании двух и более вешалок, можете скрепить их между собой клипсами, что придает жесткость
и устойчивость конструкциям;
Каркас выполнен из металлических трубок (диаметр 16мм) и пластиковых соединительных крепежей;
Надежный металлический каркас окрашен порошковой краской, устойчивой к механическому воздействию;
Максимальная распределенная нагрузка на одну полку - 5 кг., на одну штангу - 5 кг.;
Изделие полностью разборное, что обеспечивает простоту сборки и хранения.
Гарантия 2 года.</t>
  </si>
  <si>
    <t>Вешалка Sheffilton SHT-WR13</t>
  </si>
  <si>
    <t>В1-78</t>
  </si>
  <si>
    <t>- Компактная вешалка для гардеробной, ванной, детской, прихожей, кладовой;
- Поможет поддержать порядок в доме и сэкономить свободное пространство;
- Предусмотрены полка для обуви, крючки для одежды, сумок, зонтов, пакетов;
- Выполнена из металла и пластика;
- Диаметр и толщина трубы (стойка 28х0,8 и 32х1 мм, крючки 10х0,6 мм, полка 16х0,8 мм);
- Расстояние между крючками 100 мм;
- Колеса вращаются на 360 градусов, обеспечивая легкое передвижение вешалки;
- Максимальная распределенная нагрузка на крючок 2,5 кг, на полку 10 кг;
- Изделие полностью разборное, что обеспечивает простоту сборки и хранения.
- Гарантия 2 года.</t>
  </si>
  <si>
    <t>Вешалка Sheffilton SHT-WR15</t>
  </si>
  <si>
    <t>B1-88</t>
  </si>
  <si>
    <t>Высокая и открытая гардеробная вешалка WHT-WR15 предназначена для комфортного хранения вещей и организации
пространства. Подходит для размещения в гардеробной, спальне, прихожей.
Предусмотрено 8 полок и 2 штанги для вешалок-плечиков. Вы можете спокойно вешать одежду, ставить обувь
и хранить все необходимое рядом. Все полки съемные, можно собрать каркас с учетом ваших требований
для хранения вещей.
Превосходно смотрятся в комплекте с моделями SHT-WR11 и SHT-WR12;
При использовании двух и более вешалок, можете скрепить их между собой клипсами, что придает жесткость
и устойчивость конструкциям;
Каркас из металлических трубок (диаметр 16мм) и пластиковых соединительных крепежей;
Полки из проволки диаметром 3 мм.;
Расстояние между маленькими полками 490,5 мм., между большими полками 981 мм.;
Максимальная распределенная нагрузка на одну полку - 5 кг., на одну штангу - 5 кг.;
Изделие полностью разборное, что обеспечивает простоту сборки и хранения.
Гарантия 2 года.</t>
  </si>
  <si>
    <t>Вешалка Sheffilton SHT-WR16</t>
  </si>
  <si>
    <t>В1-93</t>
  </si>
  <si>
    <t>черный/черный муар</t>
  </si>
  <si>
    <t>- Гардеробная за пять минут - поможет разместить множество ваших вещей.
- Высокая вешалка с полками и штангой позволяет рационально использовать площадь пола.
- При использовании двух и более вешалок, можете скрепить их между собой клипсами, что придает жесткость
и устойчивость конструкциям;
- В ней предусмотрены 3 полки и штанга для вешалок-плечиков.
- Полки можно устанавливать в любой последовательности.
- Выполнена из металла, диаметр/толщина трубы 16х0,8 мм. и пластика.
- Максимальная распределенная нагрузка на одну полку - 5 кг., на одну штангу - 5 кг.
- Изделие полностью разборное, что обеспечивает простоту сборки и хранения.
- Гарантия 2 года.</t>
  </si>
  <si>
    <t>Вешалка Sheffilton SHT-WR18</t>
  </si>
  <si>
    <t>В1-100</t>
  </si>
  <si>
    <t>медный металлик/черный</t>
  </si>
  <si>
    <t>- Гардеробная за пять минут - поможет разместить множество ваших вещей.
- Высокая вешалка с полками и штангой позволяет рационально использовать площадь помещения.
- В ней предусмотрены 2 полки и штанга для вешалок-плечиков.
- Выполнена из металла, диаметр/толщина трубы 16х0,8 мм. Штанга выполнена из трубы 12х0,6 мм. Полки
выполнены из проволоки 3 мм.
- Расстояние между полками - 250 мм.
- Размеры нижней полок: 400х592х400 мм.
- Максимальная распределенная нагрузка на одну полку - 5 кг., на одну штангу - 10 кг.
- Изделие полностью разборное, что обеспечивает простоту сборки и хранения.
- Гарантия 2 года.</t>
  </si>
  <si>
    <t>серый муар/черный</t>
  </si>
  <si>
    <t>- Гардеробная за пять минут - поможет разместить множество ваших вещей.
- Высокая вешалка с полками и штангой позволяет рационально использовать площадь производства.
- В ней предусмотрены 2 полки и штанга для вешалок-плечиков.
- Выполнена из металла, диаметр/толщина трубы 16х0,8 мм. Штанга выполнена из трубы 12х0,6 мм. Полки
выполнены из проволоки 3 мм.
- Расстояние между полками - 250 мм.
- Размеры нижней полок: 400х592х400 мм.
- Максимальная распределенная нагрузка на одну полку - 5 кг., на одну штангу - 10 кг.
- Изделие полностью разборное, что обеспечивает простоту сборки и хранения.
- Гарантия 2 года.</t>
  </si>
  <si>
    <t>Вешалка Sheffilton SHT-WR4150</t>
  </si>
  <si>
    <t>В1-70</t>
  </si>
  <si>
    <t>черный/черный муар/хром лак (+)</t>
  </si>
  <si>
    <t>- Компактная и удобная вешалка для гардеробной, ванной, детской, прихожей, кладовой;
- Поможет поддержать порядок и сэкономить свободное пространство;
- Полка для обуви, две штанги для вешалок-плечиков, боковые крючки для сумок, зонтов, пакетов;
- Штанги выполнены из металлической трубы (диаметр/толщина: 28/0,8 мм); стойки - из металлической
трубы, (диаметр/толщина: 32/0,8 мм, 28/0,8 мм) и полка 16/0,8 мм;
- Расстояние между штангами 195 мм;
- Высота вешалки регулируется в пределах 845-1615 мм (телескопическая система раздвижения);
- Размеры полки для обуви ШхГ: 720х125 мм;
- Высота от пола до полки для обуви 80 мм;
- Расстояние между трубками полки 90 мм;
- Ширина штанги позволяет вместить до 25 вешалок-плечиков;
- Максимальная распределенная нагрузка на штангу 16 кг, на полку 10 кг;
- Изделие полностью разборное, что обеспечивает простоту сборки и хранения.
- Гарантия 2 года.</t>
  </si>
  <si>
    <t>Вешалка Sheffilton SHT-WR4340</t>
  </si>
  <si>
    <t>В1-68</t>
  </si>
  <si>
    <t>- Компактная и удобная вешалка для гардеробной, ванной, детской, прихожей, кладовой;
- Поможет поддержать порядок в комнате и сэкономить свободное пространство;
- Полка для обуви, штанга для вешалок-плечиков и боковые крючки для сумок, зонтов и пакетов;
- Штанга выполнена из металлической трубы (диаметр/толщина: 28/0,8 мм); стойки - из металлической
трубы, (диаметр/толщина: 32/0,8 мм, 28/0,8 мм) и полка 16/0,8 мм;
- Высота вешалки регулируется в пределах 845-1615 мм (телескопическая система раздвижения);
- Размеры полки для обуви ШхГ: 720х125 мм;
- Высота от пола до полки для обуви 80 мм;
- Расстояние между трубками полки 90 мм;
- Ширина штанги позволяет вместить до 25 вешалок-плечиков;
- Максимальная распределенная нагрузка на штангу 16 кг, на полку 10 кг;
- Изделие полностью разборное, что обеспечивает простоту сборки и хранения.
- Гарантия 2 года.</t>
  </si>
  <si>
    <t>Вешалка Sheffilton SHT-WR546</t>
  </si>
  <si>
    <t>В1-53</t>
  </si>
  <si>
    <t>серый/черный (+)</t>
  </si>
  <si>
    <t>- Многофункциональная вместительная гардеробная вешалка;
- Предусмотрены полка для обуви, полка для головных уборов, штанга для вешалок-плечиков, дополнительные
крючки для пакетов, зонтов, сумок, платков, рюкзаков;
- Вешалка выполнена из металлической трубы и пластиковой фурнитуры;
- Порошковая окраска изделия, стойкая к механическим повреждениям;
- Диаметр и толщина трубы: 28х0,8 мм и штанга 20х1,5 мм, крючки 10х0,6 мм, сетка из металлического
прутка, диаметром 5 мм;
- Расстояние от пола до штанги 1390 мм; от пола до крючков 950 мм;
- Ширина штанги для размещения одежды 660 мм;
- Размеры верхней полки ШхГ: 850х225 мм; нижней полки: 850х300 мм;
- Колесные опоры позволяют легко передвигать вешалку;
- Ширина штанги позволяет вместить до 28 вешалок-плечиков;
- Максимальная распределенная нагрузка на крючок 5 кг, на полку 3,5 кг; на штангу 12 кг.
- Изделие полностью разборное, что обеспечивает простоту сборки и хранения.
- Гарантия 2 года.</t>
  </si>
  <si>
    <t>Вешалка Sheffilton SHT-WR6</t>
  </si>
  <si>
    <t>В1-73</t>
  </si>
  <si>
    <t>черный/черный муар/хром лак</t>
  </si>
  <si>
    <t>- Функциональная, вместительная, удобная вешалка;
- Полка для обуви, две штанги для вешалок-плечиков и боковые крючки для галстуков, ремней, сумок,
платков, рюкзаков, зонтов, пакетов;
- Штанги и стойки выполнены из металлической трубы (диаметр/толщина: 28/0,8 мм);
стойки 32/0,8 мм и полка 16/0,8 мм;
- Высота вешалки регулируется в пределах 890-1660 мм (телескопическая система раздвижения), ширина
860-1340 мм;
- Размеры полки для обуви ШхГ: 720х350 мм;
- Высота от пола до полки для обуви 80 мм;
- Расстояние между трубками полки 90 мм;
- Колеса вращаются на 360 градусов, обеспечивая легкое передвижение вешалки;
- Диаметр колесной опоры 40 мм;
- Ширина одной штанги позволяет вместить до 25 вешалок-плечиков;
- Максимальная распределенная нагрузка на штангу 16 кг, на крючок 0,6 кг, на полку 20 кг;
- Изделие полностью разборное, что обеспечивает простоту сборки и хранения.
- Гарантия 2 года.</t>
  </si>
  <si>
    <t>Вешалка Sheffilton SHT-WR7</t>
  </si>
  <si>
    <t>В1-63</t>
  </si>
  <si>
    <t>- Компактная вешалка для гардеробной, ванной, детской, прихожей, кладовой;
- Полка для обуви, штанги для вешалок-плечиков и дополнительные крючки для сумок, ремней, галстуков,
зонтов и пакетов;
- Штанги выполнены из металлической трубы (диаметр/толщина: 28/0,8 мм); стойки выполнены из металлической
трубы (32/0,8 мм, 28/0,8 мм) и полка 16/0,8 мм;
- Расстояние между штангами 195 мм;
- Высота вешалки регулируется в пределах 890-1660 мм (телескопическая система);
- Размеры полки для обуви ШхВ: 690х245 мм;
- Высота от пола до полки для обуви 90 мм;
- Расстояние между трубками полки 90 мм;
- Колеса вращаются на 360 градусов, обеспечивая легкое передвижение вешалки;
- Диаметр колесной опоры 40 мм;
- Ширина одной штанги позволяет вместить до 25 вешалок-плечиков;
- Максимальная распределенная нагрузка на штангу 16 кг, на крючок 1 кг, на полку 20 кг;
- Изделие полностью разборное, что обеспечивает простоту сборки и хранения.
- Гарантия 2 года.</t>
  </si>
  <si>
    <t>Барная обеденная группа Sheffilton SHT-DS37</t>
  </si>
  <si>
    <t>черный муар/черный/орех</t>
  </si>
  <si>
    <t>металл/пластик/ЛДСП</t>
  </si>
  <si>
    <t>компл</t>
  </si>
  <si>
    <t>Для совместных трапез - готовый обеденный комплект с удобными стульями.
Можно выбрать другие цвета стульев и стола.
В комплект входит:
- барное основание для стола SHT-TU5-BS2/H110 черный муар;
- столешница TT 80/80 ЛДСП орех;
- стул барный SHT-S48 черный/черный муар.
- Максимальная статическая нагрузка на стол 50 кг., на стул 260 кг.;
- Изделия разборные.
- Гарантия 2 года.</t>
  </si>
  <si>
    <t>Обеденная группа Sheffilton SHT-DS10</t>
  </si>
  <si>
    <t>белый/ягодное варенье/черный муар</t>
  </si>
  <si>
    <t>МДФ/ткань/металл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</si>
  <si>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80 МДФ
- сидение SHT-ST35
- каркас стула SHT-S37
Максимальная статическая нагрузка на стол 50 кг., на стул 260 кг.;
Гарантия 2 года.</t>
  </si>
  <si>
    <t>Обеденная группа Sheffilton SHT-DS112</t>
  </si>
  <si>
    <t>пластик</t>
  </si>
  <si>
    <t>Для совместных трапез - готовый обеденный комплект с удобными стульями.
Можно выбрать другие цвета стульев и стола.
В комплект входит:
- стул SHT-S111
- столешница SHT-TT30
- основание для стола SHT-TU30
СОВРЕМЕННЫЙ СТОЛ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</si>
  <si>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Обеденная группа Sheffilton SHT-DS115</t>
  </si>
  <si>
    <t>серое облако/хром лак/дуб сонома светлый</t>
  </si>
  <si>
    <t>микровелюр/металл/МДФ</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</si>
  <si>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80/80 МДФ
- сидение SHT-ST37
- каркас стула SHT-S112
Максимальная статическая нагрузка на стол 50 кг., на стул 200 кг.;
Гарантия 2 года.</t>
  </si>
  <si>
    <t>Обеденная группа Sheffilton SHT-DS116</t>
  </si>
  <si>
    <t>лунный камень/белый/черный муар</t>
  </si>
  <si>
    <t>микровелюр/ЛДСП/металл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</si>
  <si>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SHT-TU25
- столешница SHT-TT 80/80 ЛДСП
- сидение SHT-ST29-С1
- каркас стула SHT-S112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Максимальная статическая нагрузка на стол 50 кг.
Гарантия 2 года.</t>
  </si>
  <si>
    <t>Обеденная группа Sheffilton SHT-DS118</t>
  </si>
  <si>
    <t>бежевый/капучино</t>
  </si>
  <si>
    <t>Для совместных трапез - готовый обеденный комплект с удобными стульями.
Можно выбрать другие цвета стульев и стола.
В комплект входит:
- стул SHT-S110
- столешница SHT-TT30
- основание для стола SHT-TU30
СОВРЕМЕННЫЙ СТОЛ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</si>
  <si>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Обеденная группа Sheffilton SHT-DS119</t>
  </si>
  <si>
    <t>розовый десерт/белый/черный муар</t>
  </si>
  <si>
    <t>Для совместных трапез - готовый обеденный комплект с удобными стульями.
Можно выбрать другие цвета стульев и стола.
В комплект входит:
- основание SHT-TU25
- столешница SHT-TT 80/80 ЛДСП
- сидение SHT-ST35
- каркас стула SHT-S112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</si>
  <si>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SHT-DS120</t>
  </si>
  <si>
    <t>тихий океан/серый/бетон/черный муар</t>
  </si>
  <si>
    <t>микровелюр/МДФ/металл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</si>
  <si>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80 МДФ
- сидение SHT-ST36-1 и SHT-ST36-3
- каркас стула SHT-S100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</si>
  <si>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SHT-DS121</t>
  </si>
  <si>
    <t>рубиновое вино/темный орех/дуб тортуга</t>
  </si>
  <si>
    <t>микровелюр/дерево/МДФ</t>
  </si>
  <si>
    <t>Для совместных трапез - готовый обеденный комплект с удобными мягкими стульями.
Можно выбрать другие цвета стульев и стола.
В комплект входит:
- основание SHT-TU9
- столешница SHT-TT 80 МДФ
- сидение SHT-ST37
- каркас стула SHT-S70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Максимальная статическая нагрузка на стол 50 кг., на стул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</si>
  <si>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SHT-DS122</t>
  </si>
  <si>
    <t>коричневый сахар/бетон крем/хром лак</t>
  </si>
  <si>
    <t>рогожка/МДФ/металл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</si>
  <si>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120-80 МДФ
- сидение SHT-ST29-С12
- каркас стула SHT-S37
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ПРЕКРАСНАЯ ЭРГОНОМИКА сидения обеспечивает удобную посадку и комфортное времяпровождение.Обивка сидения
выполнена из рогожки,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260 кг.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</si>
  <si>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SHT-DS123</t>
  </si>
  <si>
    <t>бежевый/дуб сонома</t>
  </si>
  <si>
    <t>пластик/МДФ</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</si>
  <si>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120/80 МДФ
- сидение SHT-ST85
- спинка SHT-BS85
- каркас стула SHT-S85
ДИЗАЙН В КАЖДОЙ ДЕТАЛИ!
СОВРЕМЕННЫЙ СТОЛ С ОСНОВАНИЕМ ИЗ АРМИРОВАННОГО ПЛАСТИКА - один из инновационных и стильных предметов
мебельной обстановки. Стол с таким основанием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стула позволяет снизить утомляемость, повысить трудоспособность и обеспечить удобную
посадку
ПРОЧНОСТЬ И ДОЛГОВЕЧНОСТЬ
Стул и основание выполнены из полипропилена с армирующими добавками, благодаря которым повышается
жесткость и надежность. Столешница из МДФ отличается повышенной жесткостью и устойчива к воздействию
влаги. Не подвержены химическим и механическим воздействиям – процарапыванию, истиранию и растрескиванию.
Максимальная статическая нагрузка на стул 260 кг.
Стол выдерживает продолжительные нагрузки - максимальная статическая нагрузка до 100 кг.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ПЕРФОРАЦИЯ СПИНКИ И СИДЕНИЯ обеспечивает легкость конструкции, придает эффектный
внешний вид.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и стол полностью разборные и имеют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</si>
  <si>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SHT-DS124</t>
  </si>
  <si>
    <t>белый/черный/белый шагрень/белый</t>
  </si>
  <si>
    <t>пластик/МДФ/кож.зам</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</si>
  <si>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пластик
- столешница SHT-TT 120-80 МДФ
- стул SHT-S110-СN1 пластик/кож.зам
ДИЗАЙН В КАЖДОЙ ДЕТАЛИ!
Современный комплект - один из инновационных и стильных предметов мебельной обстановки. Стол с основанием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основание выполнены из полипропилена с армирующими добавками, благодаря которым повышается
жесткость и надежность. Столешница из МДФ отличается повышенной жесткостью и устойчива к воздействию
влаги.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Стул и стол полностью разборные и имеют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</si>
  <si>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SHT-DS125</t>
  </si>
  <si>
    <t>палисандр/коричневый/оранжевый/черный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</si>
  <si>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пластик
- столешница SHT-TT 120/80 МДФ
- стул SHT-S111-СN1 пластик/кож.зам
ДИЗАЙН В КАЖДОЙ ДЕТАЛИ!
Современный комплект - один из инновационных и стильных предметов мебельной обстановки. Стол с основанием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основание выполнены из полипропилена с армирующими добавками, благодаря которым повышается
жесткость и надежность. Столешница из МДФ отличается повышенной жесткостью и устойчива к воздействию
влаги.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</si>
  <si>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SHT-DS126</t>
  </si>
  <si>
    <t>бежевый/коричневый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</si>
  <si>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SHT-S111 пластик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</si>
  <si>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SHT-DS127</t>
  </si>
  <si>
    <t>пастельно-голубой/белый</t>
  </si>
  <si>
    <t>пластик/кож.зам</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</si>
  <si>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SHT-S108-СN1 пластик/кож.зам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Сидение выполнено из прочного и износоустойчивого кож.зам.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</si>
  <si>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SHT-DS128</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</si>
  <si>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SHT-S85M пластик/металл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 и сидение со спинкой стула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ПРЕКРАСНАЯ ЭРГОНОМИКА
Вращение спинки позволяет снизить утомляемость, повысить трудоспособность и обеспечить удобную посадку
ПЕРФОРАЦИЯ СПИНКИ И СИДЕНИЯ обеспечивает легкость конструкции, придает эффектный внешний вид.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ПОДПЯТНИКИ
каркаса обеспечивают защиту покрытия от царапин и повышают устойчивость стула.
Стул ШТАБЕЛИРУЕТСЯ, что позволяет значительно экономить пространство при хранении.
Комплект полностью разборный и имеет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</si>
  <si>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SHT-DS129</t>
  </si>
  <si>
    <t>белый/хром лак</t>
  </si>
  <si>
    <t>Обеденная группа Sheffilton SHT-DS130</t>
  </si>
  <si>
    <t>черный/бежевый/желтый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</si>
  <si>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SHT-S85 пластик
ДИЗАЙН В КАЖДОЙ ДЕТАЛИ!
Современный комплект - один из инновационных и стильных предметов мебельной обстановки. Стол и стулья
из армированного пластика отличаются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 и стулья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Максимальная статическая нагрузка на стул 260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ПРЕКРАСНАЯ ЭРГОНОМИКА
Вращение спинки позволяет снизить утомляемость, повысить трудоспособность и обеспечить удобную посадку
ПЕРФОРАЦИЯ СПИНКИ И СИДЕНИЯ обеспечивает легкость конструкции, придает эффектный внешний вид.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ПОДПЯТНИКИ
каркаса обеспечивают защиту покрытия от царапин и повышают устойчивость стула.
Комплект полностью разборный и имеет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</si>
  <si>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SHT-DS131</t>
  </si>
  <si>
    <t>черный/красный</t>
  </si>
  <si>
    <t>Обеденная группа Sheffilton SHT-DS132</t>
  </si>
  <si>
    <t>мятный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</si>
  <si>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SHT-S111-СN1 пластик/кож.зам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Сидение выполнено из прочного и износоустойчивого кож.зам.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</si>
  <si>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SHT-DS133</t>
  </si>
  <si>
    <t>коричневый/бук/черный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</si>
  <si>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SHT-S108 пластик
ДИЗАЙН В КАЖДОЙ ДЕТАЛИ!
Современный комплект - один из инновационных и стильных предметов мебельной обстановки. Стол и стулья
из армированного пластика отличаются своей прочностью, легкостью, долговечностью и считаются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</si>
  <si>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SHT-DS134</t>
  </si>
  <si>
    <t>лаванда/серый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</si>
  <si>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SHT-S111 пластик
ДИЗАЙН В КАЖДОЙ ДЕТАЛИ!
Современный комплект - один из инновационных и стильных предметов мебельной обстановки. Стол и стулья
из армированного пластика отличаются своей прочностью, легкостью, долговечностью и считаются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</si>
  <si>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SHT-DS135</t>
  </si>
  <si>
    <t>белый/черный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</si>
  <si>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SHT-S110-СN1 пластик/кож.зам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Сидение выполнено из прочного и износоустойчивого кож.зам.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</si>
  <si>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SHT-DS136</t>
  </si>
  <si>
    <t>кофейный ликер/тем.орех/черн/дуб сонома</t>
  </si>
  <si>
    <t>микровелюр/дерево/металл/МДФ</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</si>
  <si>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SHT-ST35
- каркас стула SHT-S70
- столешница SHT-TT 120/80 МДФ
- основание для стола SHT-TU9-2
Максимальная статическая нагрузка на стол 50 кг., на стул 200 кг.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*Оттенок ткани может меняться в зависимости от партии.
РЕКОМЕНДАЦИЯ ПО УХОДУ: Используйте чистку пылесосом, а для трудновыводимых пятен специальные пятновыводители
для тканей, в соответствии с инструкцией.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</si>
  <si>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SHT-DS137</t>
  </si>
  <si>
    <t>нейтральный серый/бетон/черный муар</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</si>
  <si>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120/80 МДФ
- сидение SHT-ST36-3
- каркас стула SHT-S113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</si>
  <si>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SHT-DS140</t>
  </si>
  <si>
    <t>коричневый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</si>
  <si>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SHT-S86 пластик/металл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Стул под "искусственный ротанг" - это комфортное времяпровождение
в любом помещении и на открытом воздухе. Более практичный аналог мебели из ротанга, не требует особого
ухода, не растягивается, не расплетается.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стула и стол выполнены из полипропилена с армирующими добавками, благодаря которым повышается
жесткость и надежность. Надежные металлические опоры стула оцинкованы и окрашены порошковой краской,
что обеспечивает долгую службу и защиту от коррозийных процессов.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ШТАБЕЛИРУЕСЯ
Стулья можно штабелировать, что позволяет экономить место при хранении. В рабочем положении (стул
стоит на опорах) штабелируется по 5 штук.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</si>
  <si>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SHT-DS141</t>
  </si>
  <si>
    <t>бежевый/мятный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</si>
  <si>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пластик
- столешница SHT-TT30 83/83 пластик
- стул SHT-S111-CN1 пластик/кож.зам
ДИЗАЙН В КАЖДОЙ ДЕТАЛИ!
Современный комплект - один из инновационных и стильных предметов мебельной обстановки. Стол из армированного
пластика отличается своей прочностью, легкостью, долговечностью и считается самой востребованной мебелью
среди современных потребителей.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Современный стиль позволяет добавить комплект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и стол выполнены из полипропилена с армирующими добавками, благодаря которым повышается жесткость
и надежность. Не подвержены химическим и механическим воздействиям – процарапыванию, истиранию и растрескиванию.
Максимальная статическая нагрузка на стул 200 кг.
Стол выдерживает продолжительные нагрузки - максимальная статическая нагрузка до 100 кг.
ДИЗАЙН И ЭСТЕТИКА
Изящные перекрещивающиеся ножки повторяют натуральные изгибы деревьев.
Рисунок под живой камень на столешнице придает изделию эксклюзивный вид. Изогнутая спинка и широкое
сидение обеспечивают удобную посадку и подарят новые ощущения комфорта во время отдыха.
РЕГУЛИРУЕМЫЕ ОПОРЫ
Позволяют комфортно использовать стол даже на неровной поверхности. На опорах имеются подпятники из
силикона, что придает дополнительный антискользящий эффект. При желании основание можно использовать
без регулируемых опор.
КАУЧУКОВЫЕ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ПОД ЗАКАЗ
Доступны любые цветовые сочетания от 50 штук.</t>
  </si>
  <si>
    <t>Обеденная группа Sheffilton SHT-DS142</t>
  </si>
  <si>
    <t>серый туман/белый/хром лак</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</si>
  <si>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SHT-ST29-C20
- каркас стула SHT-S37
- столешница SHT-TT 80 МДФ
- основание для стола SHT-TU2-1
Максимальная статическая нагрузка на стол 50 кг., на стул 260 кг.
*Оттенок ткани может меняться в зависимости от партии.
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SHT-ST29-C20
серый туман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заключен в геометрической ромбовидной простежке мягкого сидения. Абсолютная симметрия,
которой доставляет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</si>
  <si>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Обеденная группа Sheffilton SHT-DS143</t>
  </si>
  <si>
    <t>кремовый/бетон крем/черный муар</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</si>
  <si>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SHT-ST31-C2
- каркас стула SHT-S37
- столешница SHT-TT 120-80 МДФ
- основание для стола SHT-TU14
Максимальная статическая нагрузка на стол 50 кг., на стул 260 кг.
*Оттенок ткани может меняться в зависимости от партии.
Стол с красивой овальной столешницей из МДФ под натуральный бетон будет гармонично и со вкусом смотреться
в доме, офисе, дизайн-студии, кафе, баре, ресторане.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</si>
  <si>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Обеденная группа Sheffilton SHT-DS144</t>
  </si>
  <si>
    <t>лиственно-зеленый/бетон светлый/черный</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</si>
  <si>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SHT-ST35-2
- каркас стула SHT-S113
- столешница SHT-TT 80 МДФ
- основание для стола SHT-TU10
Максимальная статическая нагрузка на стол 50 кг., на стул 260 кг.
*Оттенок ткани может меняться в зависимости от партии.
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SHT-ST35-2
лиственно-зеленый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спинки, впишется
в любой стиль. Дело за Вашей фантазией и вдохновением!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</si>
  <si>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Обеденная группа Sheffilton SHT-DS145</t>
  </si>
  <si>
    <t>жемчужный/белый/черный</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</si>
  <si>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SHT-ST29-C
- каркас стула SHT-S100
- столешница SHT-TT 80 МДФ
- основание для стола SHT-TU34-P
Максимальная статическая нагрузка на стол 50 кг., на стул 260 кг.
*Оттенок ткани может меняться в зависимости от партии.
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SHT-ST29-C20
серый туман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заключен в геометрической ромбовидной простежке мягкого сидения. Абсолютная симметрия,
которой доставляет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</si>
  <si>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Обеденная группа Sheffilton SHT-DS146</t>
  </si>
  <si>
    <t>жемчужный/белый/золото</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</si>
  <si>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80 МДФ
- сидение SHT-ST29-C
- каркас стула SHT-S37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</si>
  <si>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SHT-DS147</t>
  </si>
  <si>
    <t>рубиновое вино/палисандр/золото</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</si>
  <si>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80 МДФ
- сидение SHT-ST37
- каркас стула SHT-S37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</si>
  <si>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SHT-DS148</t>
  </si>
  <si>
    <t>лиственно-зеленый/бетон светлый/золото</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</si>
  <si>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80 МДФ
- сидение SHT-ST35-2
- каркас стула SHT-S37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</si>
  <si>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SHT-DS150</t>
  </si>
  <si>
    <t>лунный камень/черный муар/дуб сонома све</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</si>
  <si>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80 МДФ
- сидение SHT-ST31-C2
- каркас стула SHT-S100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стул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
Максимальная статическая нагрузка на стол 50 кг.
Гарантия 2 года.</t>
  </si>
  <si>
    <t>Обеденная группа Sheffilton SHT-DS151</t>
  </si>
  <si>
    <t>имперский желтый/бетон крем/белый</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</si>
  <si>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SHT-ST35-1
- каркас стула SHT-S37
- столешница SHT-TT 120-80 МДФ
- основание для стола SHT-TU10
Максимальная статическая нагрузка на стол 50 кг., на стул 260 кг.
*Оттенок ткани может меняться в зависимости от партии.
Стол с красивой овальной столешницей из МДФ под натуральный бетон будет гармонично и со вкусом смотреться
в доме, офисе, дизайн-студии, кафе, баре, ресторане.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</si>
  <si>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Обеденная группа Sheffilton SHT-DS152</t>
  </si>
  <si>
    <t>черный муар/бетон светлый/черный</t>
  </si>
  <si>
    <t>МДФ/металл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</si>
  <si>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SHT-TU3-1
- столешница SHT-TT 80 МДФ
- стул SHT-ST126
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из МДФ отличается повышенной жесткостью и устойчива к воздействию влаги.
ЭКОЛОГИЧЕСКАЯ ЧИСТОТА
Материал не содержит и не выделяет вредных веществ.
ПРЕКРАСНАЯ ЭРГОНОМИКА
Изогнутая спинка и просторное сидение обеспечат удобную посадку и подарят новые ощущения комфорта
во время отдыха.
УСТОЙЧИВОСТЬ.
Опоры регулируются по высоте, что позволяет использовать подстолье даже на неровных поверхностях,
без каких-либо последствий для устойчивости.
ВОЗДЕЙСТВИЕ ЛЮБЫХ ПОГОДНЫХ УСЛОВИЙ
Цинкование позволяет использовать стул без подушки на открытом воздухе.
РЕГУЛИРУЕМЫЕ ПОДПЯТНИКИ
каркаса обеспечивают защиту покрытия от царапин и повышают устойчивость стула, адаптируясь под неровности
пола.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</si>
  <si>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SHT-DS153</t>
  </si>
  <si>
    <t>белоснежная шагрень/хром лак/белый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</si>
  <si>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80 МДФ
- стул SHT-ST127
ДИЗАЙН В КАЖДОЙ ДЕТАЛИ
Главная концепция модели - воздушность и легкость, что позволяет расширить пространство в помещении.
А благодаря мягкому съемному сидению Вы можете добавить мягкости в интерьер. Выразительные линии и
изящные ножки создают оригинальную форму стула, представляя собой единую конструкцию.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из МДФ отличается повышенной жесткостью и устойчива к воздействию влаги. Изящные ножки
соединены металлическими прутьями, которые вносят в образ утонченность и обеспечивают его прочность.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Размер подушки 40х42 см.
ПЕРЕНОСИТ ВОЗДЕЙСТВИЕ ЛЮБЫХ ПОГОДНЫХ УСЛОВИЙ
Цинкование позволяет использовать стул без подушки на открытом воздухе.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ПОДПЯТНИКИ
каркаса обеспечивают защиту покрытия от царапин и повышают устойчивость стула.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</si>
  <si>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SHT-DS154</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</si>
  <si>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30
- стул SHT-ST126
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Рисунок под живой камень придает изделию эксклюзивный вид. Столешница имеет безопасный плавный закругленный
переход от лицевой поверхности к боковым кромкам. Изящные перекрещивающиеся ножки повторяют натуральные
изгибы деревьев.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ПРЕКРАСНАЯ ЭРГОНОМИКА
Изогнутая спинка и просторное сидение обеспечат удобную посадку и подарят новые ощущения комфорта
во время отдыха.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ПЕРЕНОСИТ ВОЗДЕЙСТВИЕ ЛЮБЫХ ПОГОДНЫХ УСЛОВИЙ
Цинкование позволяет использовать стул без подушки на открытом воздухе.
РЕГУЛИРУЕМЫЕ ПОДПЯТНИКИ
каркаса обеспечивают защиту покрытия от царапин и повышают устойчивость стула, адаптируясь под неровности
пола.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t>
  </si>
  <si>
    <t>Обеденная группа Sheffilton SHT-DS155</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</si>
  <si>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30
- стул SHT-ST126
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Рисунок под живой камень придает изделию эксклюзивный вид. Столешница имеет безопасный плавный закругленный
переход от лицевой поверхности к боковым кромкам. Изящные перекрещивающиеся ножки повторяют натуральные
изгибы деревьев.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Размер подушки 40х42 см.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ПЕРЕНОСИТ ВОЗДЕЙСТВИЕ ЛЮБЫХ ПОГОДНЫХ УСЛОВИЙ
Цинкование позволяет использовать стул без подушки на открытом воздухе.
РЕГУЛИРУЕМЫЕ ПОДПЯТНИКИ
каркаса обеспечивают защиту покрытия от царапин и повышают устойчивость стула, адаптируясь под неровности
пола.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t>
  </si>
  <si>
    <t>Обеденная группа Sheffilton SHT-DS157</t>
  </si>
  <si>
    <t>Обеденная группа Sheffilton SHT-DS159</t>
  </si>
  <si>
    <t>черный муар/ палисандр/черный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</si>
  <si>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120/80
- стул SHT-ST126
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из МДФ отличается повышенной жесткостью и устойчива к воздействию влаги. Опора устанавливается
под наклоном.
ПРЕКРАСНАЯ ЭРГОНОМИКА
Изогнутая спинка и просторное сидение обеспечат удобную посадку и подарят новые ощущения комфорта
во время отдыха.
УСТОЙЧИВОСТЬ
Не подвержены химическим и механическим воздействиям – процарапыванию, истиранию и растрескиванию.
ПЕРЕНОСИТ ВОЗДЕЙСТВИЕ ЛЮБЫХ ПОГОДНЫХ УСЛОВИЙ
Цинкование позволяет использовать стул без подушки на открытом воздухе.
ЭКОЛОГИЧЕСКАЯ ЧИСТОТА
Материал не содержит и не выделяет вредных веществ.
РЕГУЛИРУЕМЫЕ ПОДПЯТНИКИ
каркаса обеспечивают защиту покрытия от царапин и повышают устойчивость стула, адаптируясь под неровности
пола.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</si>
  <si>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SHT-DS160</t>
  </si>
  <si>
    <t>бетон голубой/черный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</si>
  <si>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 столешница SHT-TT 120/80
- стул SHT-ST127
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Столешница из МДФ отличается повышенной жесткостью и устойчива к воздействию влаги.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ПЕРЕНОСИТ ВОЗДЕЙСТВИЕ ЛЮБЫХ ПОГОДНЫХ УСЛОВИЙ
Подстолье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УСТОЙЧИВОСТЬ
Не подвержены химическим и механическим воздействиям – процарапыванию, истиранию и растрескиванию.
ПЕРЕНОСИТ ВОЗДЕЙСТВИЕ ЛЮБЫХ ПОГОДНЫХ УСЛОВИЙ
Цинкование позволяет использовать стул без подушки на открытом воздухе.
ЭКОЛОГИЧЕСКАЯ ЧИСТОТА
Материал не содержит и не выделяет вредных веществ.
РЕГУЛИРУЕМЫЕ ПОДПЯТНИКИ
каркаса обеспечивают защиту покрытия от царапин и повышают устойчивость стула, адаптируясь под неровности
пола.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</si>
  <si>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SHT-DS161</t>
  </si>
  <si>
    <t>бежевый/лаванда</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</si>
  <si>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SHT-TT30
- стул SHT-ST111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Рисунок под живой камень придает изделию эксклюзивный вид. Столешница имеет безопасный плавный закругленный
переход от лицевой поверхности к боковым кромкам. Изящные перекрещивающиеся ножки повторяют натуральные
изгибы деревьев.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КАУЧУКОВЫЕ ПОДПЯТНИКИ
каркаса обеспечивают защиту покрытия от царапин и повышают устойчивость стула.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t>
  </si>
  <si>
    <t>Обеденная группа Sheffilton SHT-DS162</t>
  </si>
  <si>
    <t>белый/серый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</si>
  <si>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SHT-TT30
- стул SHT-ST110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Рисунок под живой камень придает изделию эксклюзивный вид. Столешница имеет безопасный плавный закругленный
переход от лицевой поверхности к боковым кромкам. Изящные перекрещивающиеся ножки повторяют натуральные
изгибы деревьев.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КАУЧУКОВЫЕ ПОДПЯТНИКИ
каркаса обеспечивают защиту покрытия от царапин и повышают устойчивость стула.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t>
  </si>
  <si>
    <t>Обеденная группа Sheffilton SHT-DS163</t>
  </si>
  <si>
    <t>палисандр/коричневый/темный орех</t>
  </si>
  <si>
    <t>пластик/ЛДСП/металл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</si>
  <si>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120/80 МДФ
- сидения SHT-ST68
- каркас SHT-S424
СТИЛЬНЫЙ ДЕЗАЙН
Сидение под "искусственный ротанг" более практичный аналог мебели из ротанга, не требует особого ухода,
не растягивается, не расплетается. Стул в комплекте сидение с опорами SHT-S424 или SHT-S424-С комфортен
для времяпровождения.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Устойчив к прямым солнечным лучам, не деформируется и не изменяет цвет.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Каркас выполнен
из МЕТАЛЛА, что обеспечивает ПРОЧНОСТЬ изделия. Столешница из МДФ отличается повышенной жесткостью
и устойчива к воздействию влаги.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</si>
  <si>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SHT-DS164</t>
  </si>
  <si>
    <t>дуб сонома светлый/бежевый/светлый орех</t>
  </si>
  <si>
    <t>пластик/МДФ/металл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</si>
  <si>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120/80 МДФ
- сидения SHT-ST68
- каркас SHT-S424-С
СТИЛЬНЫЙ ДЕЗАЙН
Сидение под "искусственный ротанг" более практичный аналог мебели из ротанга, не требует особого ухода,
не растягивается, не расплетается. Стул в комплекте сидение с опорами SHT-S424 или SHT-S424-С комфортен
для времяпровождения.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Устойчив к прямым солнечным лучам, не деформируется и не изменяет цвет.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Каркас выполнен
из МЕТАЛЛА, что обеспечивает ПРОЧНОСТЬ изделия. Столешница из МДФ отличается повышенной жесткостью
и устойчива к воздействию влаги.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t>
  </si>
  <si>
    <t>Обеденная группа Sheffilton SHT-DS165</t>
  </si>
  <si>
    <t>дуб белен./лун. камень/черн. муар/золото</t>
  </si>
  <si>
    <t>металл/микровелюр/ЛДСП</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</si>
  <si>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80/80 ЛДСП
- сидения SHT-ST29
- каркас SHT-S95-1
СТИЛЬНЫЙ ДЕЗАЙН
Цвет столешницы имитирует текстуру ценного сорта древесин.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ПРОЧНОСТЬ И ДОЛГОВЕЧНОСТЬ
Столешница выполнена из ЛДСП и покрыта специальной пленкой, которая формирует защитный слой от внешнего
воздействия. Обивка сидения выполнена из микровелюра, в качестве мягкого наполнителя используется
поролон.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ПРЕКРАСНАЯ ЭРГОНОМИКА
Сидение обеспечивает удобную посадку и комфортное времяпровождение. Стол с опорами SHT-TU14 обеспечивает
удобство и комфорт при использовании. Стул с каркасом SHT-S95-1 обеспечивает удобную посадку и комфортное
времяпровождение.</t>
  </si>
  <si>
    <t>Обеденная группа Sheffilton SHT-DS166</t>
  </si>
  <si>
    <t>бетон светл./лун. камень/черн. муар/зол.</t>
  </si>
  <si>
    <t>металл/микровелюр/МДФ</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</si>
  <si>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80 МДФ
- сидения SHT-ST29
- каркас SHT-S95-1
СТИЛЬНЫЙ ДЕЗАЙН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ПРОЧНОСТЬ И ДОЛГОВЕЧНОСТЬ
Столешница из МДФ отличается повышенной жесткостью и устойчива к воздействию влаги. Обивка сидения
выполнена из микровелюра, в качестве мягкого наполнителя используется поролон.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ПРЕКРАСНАЯ ЭРГОНОМИКА
Сидение обеспечивает удобную посадку и комфортное времяпровождение. Стол с опорами SHT-TU14 обеспечивает
удобство и комфорт при использовании. Стул с каркасом SHT-S95-1 обеспечивает удобную посадку и комфортное
времяпровождение.</t>
  </si>
  <si>
    <t>Обеденная группа Sheffilton SHT-DS167</t>
  </si>
  <si>
    <t>палисандр/импер. желт./черн. муар/золото</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</si>
  <si>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80 МДФ
- сидения SHT-ST29
- каркас SHT-S35-1
СТИЛЬНЫЙ ДЕЗАЙН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Стильный дезайн сиденья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ПРОЧНОСТЬ И ДОЛГОВЕЧНОСТЬ
Столешница из МДФ отличается повышенной жесткостью и устойчива к воздействию влаги. Обивка выполнена
из микровелюра, в качестве мягкого наполнителя используется поролон.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ПРЕКРАСНАЯ ЭРГОНОМИКА
Сидение обеспечивает удобную посадку и комфортное времяпровождение. Стол с опорами SHT-TU14 обеспечивает
удобство и комфорт при использовании. Стул с каркасом SHT-S95-1 обеспечивает удобную посадку и комфортное
времяпровождение.</t>
  </si>
  <si>
    <t>Обеденная группа Sheffilton SHT-DS168</t>
  </si>
  <si>
    <t>дуб сонома светлый/бежевый/кремовый</t>
  </si>
  <si>
    <t>микровелюр/пластик/МДФ</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</si>
  <si>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120/80 МДФ
- cтул SHT-S85 C-12
ДИЗАЙН И ЭСТЕТИКА
Изящные перекрещивающиеся ножки повторяют натуральные изгибы деревьев.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Мягкое сидение и спинка Sheffilton сшиты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Максимальная статическая
нагрузка на готовый стул 260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Столешница из
МДФ отличается повышенной жесткостью и устойчива к воздействию влаги.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ФУНКЦИОНАЛЬНОСТЬ
Специальная дополнительная вставка позволяет увеличить базу подстолья и использовать его для столешниц
больших размеров (800*1200). При желании можно убрать вставку и использовать основание для квадратных
или круглых столешниц.
  </t>
  </si>
  <si>
    <t>Обеденная группа Sheffilton SHT-DS169</t>
  </si>
  <si>
    <t>песчаное облако/белый</t>
  </si>
  <si>
    <t>керамика/пластик</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</si>
  <si>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SHT-TT21-6 90 КРУГЛАЯ
- cтулья S108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Изящные перекрещивающиеся ножки повторяют натуральные изгибы деревьев.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КАУЧУКОВЫЕ ПОДПЯТНИКИ
каркаса обеспечивают защиту покрытия от царапин и повышают устойчивость стула.</t>
  </si>
  <si>
    <t>Обеденная группа Sheffilton SHT-DS170</t>
  </si>
  <si>
    <t>гранитно-серый/белый/серый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</si>
  <si>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SHT-TT21-6 100-75 ОВАЛЬНАЯ
- cтулья S110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Изящные перекрещивающиеся ножки повторяют натуральные изгибы деревьев.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СИЛИКОНОВЫЕ ПОДПЯТНИКИ
каркаса обеспечивают защиту покрытия от царапин и повышают устойчивость стула.</t>
  </si>
  <si>
    <t>Обеденная группа Sheffilton SHT-DS171</t>
  </si>
  <si>
    <t>гранитно-серый/выбеленный/угольно-серый</t>
  </si>
  <si>
    <t>керамика/дерево/микровелюр</t>
  </si>
  <si>
    <t>Для совместных трапез - готовый обеденный комплект с удобными стульями.
Можно выбрать другие цвета стульев и стола.
В комплект входит:
- основание SHT-TU9
- столешница SHT-TT21-6 100-75 ОВАЛЬНАЯ
- сиденья ST38
- каркас S39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НАДЁЖНЫЙ КАРКАС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Максимальная статическая нагрузка на стол 50 кг.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t>
  </si>
  <si>
    <t>Обеденная группа Sheffilton SHT-DS172</t>
  </si>
  <si>
    <t>кор.сепия/черн.муар./тих.океан/темн.орех</t>
  </si>
  <si>
    <t>керам./металл/микровел/дерево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</si>
  <si>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SHT-TT21-6 100-75
- сиденья ST36-1
- каркас S39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НАДЁЖНЫЙ КАРКАСОпора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t>
  </si>
  <si>
    <t>Обеденная группа Sheffilton SHT-DS173</t>
  </si>
  <si>
    <t>коричневая сепия/черный муар/латте</t>
  </si>
  <si>
    <t>керам./металл/микровел</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</si>
  <si>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SHT-TT21-6 100-75
- сиденья SHT-ST34-1
- каркас SHT-S95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 Оригинальную нотку каркасу придают конусообразные ножки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напольное покрытие от царапин.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ПРЕКРАСНАЯ ЭРГОНОМИКА сидения обеспечивает удобную посадку и комфортное времяпровождение. . Стул с
каркасом SHT-S95-1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t>
  </si>
  <si>
    <t>Обеденная группа Sheffilton SHT-DS174</t>
  </si>
  <si>
    <t>бетон светлый/белый/синий мираж</t>
  </si>
  <si>
    <t>МДФ/металл/твид</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</si>
  <si>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80 МДФ
- сиденья SHT-ST34
- каркас SHT-S37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Стильный дизайн стула заключен в красиво очерченном вырезе внизу спинки сидения.
Такой элемент придает готовому стулу воздушности и удобство в использовании.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НАДЁЖНОСТЬ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НАДЕЖНЫЙ МЕТАЛЛИЧЕСКИЙ КАРКАС окрашен порошковой краской, устойчивой к механическому воздействию.</t>
  </si>
  <si>
    <t>Обеденная группа Sheffilton SHT-DS175</t>
  </si>
  <si>
    <t>палисандр/черный муар/золото/синий мираж</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</si>
  <si>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80 МДФ
- сиденья SHT-ST34
- каркас SHT-S95-1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Стильный дизайн стула заключен в красиво очерченном вырезе внизу спинки сидения.
Такой элемент придает готовому стулу воздушности и удобство в использовании.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ПРЕКРАСНАЯ ЭРГОНОМИКА сидения обеспечивает удобную посадку и комфортное времяпровождение. Стол с опорами
SHT-TU14 обеспечивает удобство и комфорт при использовании.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</si>
  <si>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Обеденная группа Sheffilton SHT-DS176</t>
  </si>
  <si>
    <t>палисандр/коричн./синий мираж/темн.орех</t>
  </si>
  <si>
    <t>МДФ/пластик/твид/дерево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</si>
  <si>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 столешница SHT-TT 120/80 МДФ
- сиденья SHT-ST34
- каркас SHT-S122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Стильный дизайн стула заключен в красиво очерченном вырезе внизу спинки сидения.
Такой элемент придает готовому стулу воздушности и удобство в использовании. Оригинальную нотку каркасу
придают ножки с заметным волнообразным изгибом.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ПРЕКРАСНАЯ ЭРГОНОМИКА сидения обеспечивает удобную посадку и комфортное времяпровождение. Стул с каркасом
SHT-S122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ПЕРЕНОСИТ ВОЗДЕЙСТВИЕ ЛЮБЫХ ПОГОДНЫХ УСЛОВИЙ
Подстолье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t>
  </si>
  <si>
    <t>Обеденная группа Sheffilton SHT-DS178</t>
  </si>
  <si>
    <t>орех/голубая пастель/темн.орех/черн.муар</t>
  </si>
  <si>
    <t>ЛДСП/микровелюр/дерево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</si>
  <si>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SHT-TU16
- столешница SHT-TT 80/80 ЛДСП
- сиденья SHT-ST34-1
- каркас SHT-S122
ПРОЧНОСТЬ И НАДЁЖНОСТЬ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Выполнено из массива
дуба, толщиной 40 мм.
Толщина верхнего фланца для крепления столешницы 3 мм.Максимальная нагрузка на одну опору 12,5 кг.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 Стул с
каркасом SHT-S122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t>
  </si>
  <si>
    <t>Обеденная группа Sheffilton SHT-DS179</t>
  </si>
  <si>
    <t>мрамор прем./песч. буря/венге/тёмн.орех</t>
  </si>
  <si>
    <t>МДФ/микровелюр/дерево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</si>
  <si>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SHT-TU9
- столешница SHT-TT 90 МДФ
- сиденья SHT-ST36-1
- каркас SHT-S122
ПРОЧНОСТЬ И ВЛАГОСТОЙКОСТЬ
Столешница из МДФ отличается повышенной жесткостью и устойчива к воздействию влаги.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Оригинальную нотку каркасу придают ножки с заметным волнообразным изгибом.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t>
  </si>
  <si>
    <t>Обеденная группа Sheffilton SHT-DS180</t>
  </si>
  <si>
    <t>мрамор прем./графит/черный/темный орех</t>
  </si>
  <si>
    <t>МДФ/микровелюр/металл/дерево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</si>
  <si>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90 МДФ
- сиденья SHT-ST29-С4
- каркас SHT-S70
ПРОЧНОСТЬ И ВЛАГОСТОЙКОСТЬ
Столешница из МДФ отличается повышенной жесткостью и устойчива к воздействию влаги.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t>
  </si>
  <si>
    <t>Обеденная группа Sheffilton SHT-DS181</t>
  </si>
  <si>
    <t>мрам.прем./сосн.кор/черн.муар/темн.-сер.</t>
  </si>
  <si>
    <t>МДФ/микровелюр/металл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</si>
  <si>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SHT-TU23/Н71
- столешница SHT-TT 90 МДФ
- сиденья SHT-ST37
- каркас SHT-S38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Прострочка вдоль сидения и спинки придает изделию классический и стильный вид. Стильная расцветка
из искусственной замши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искусственной замши,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t>
  </si>
  <si>
    <t>Обеденная группа Sheffilton SHT-DS182</t>
  </si>
  <si>
    <t>мрамор прем./латте/черный муар/черный</t>
  </si>
  <si>
    <t>МДФ/микровелюр/металл/пластик</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</si>
  <si>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 90 МДФ
- сиденья SHT-ST34-1
- каркас SHT-S95-1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ПРЕКРАСНАЯ ЭРГОНОМИКА сидения обеспечивает удобную посадку и комфортное времяпровождение. Стул с каркасом
SHT-S95-1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t>
  </si>
  <si>
    <t>Обеденная группа Sheffilton SHT-DS183</t>
  </si>
  <si>
    <t>дуб.браш.кор./руб.вино./черн.муар</t>
  </si>
  <si>
    <t>ДУБ/микровелюр/металл/дерево</t>
  </si>
  <si>
    <t>Для совместных трапез - готовый обеденный комплект с удобными стульями.
Можно выбрать другие цвета стульев и стола.
В комплект входит:
- основание SHT-TU22
- столешница SHT-TT5 80/80 ДУБ
- сиденья SHT-ST37
- каркас SHT-S95-1
СТИЛЬНЫЙ ДИЗАЙН. Столешница выполнена целиком из натурального дуба. Брашированные, обработанные бруски
расположены через промежутки между собой. Необычный эффект "прозрачности" несомненно развлечет посетителей
и решит проблему с крошками на столе. Прострочка вдоль сидения и спинки придает изделию классический
и стильный вид. Нежная расцветка микровелюра внесет уют и воздушность в интерьер. Оригинальную нотку
каркасу придают конусообразные ножки.
ПРОЧНОСТЬ И ДОЛГОВЕЧНОСТЬ. Основание выполнено из металла и отдекорированно пластинами из натурального
"брашированного" дуба (эффект искусственного старения). Жесткость и прочность конструкции обеспечивается
массивной металлической трубой из которой выполнена стойка.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t>
  </si>
  <si>
    <t>Обеденная группа Sheffilton SHT-DS184</t>
  </si>
  <si>
    <t>палисандр/песч.буря/черный муар</t>
  </si>
  <si>
    <t>Для совместных трапез - готовый обеденный комплект с удобными стульями.
Можно выбрать другие цвета стульев и стола.
В комплект входит:
- основание SHT-TU20
- столешница SHT-TT 120/80 МДФ
- сиденья SHT-ST36-1
- каркас SHT-S95-1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Оригинальную нотку каркасу придают конусообразные ножки.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В КОМПЛЕКТ ВХОДИТ ДВЕ ОПОРЫ.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t>
  </si>
  <si>
    <t>Обеденная группа Sheffilton SHT-DS185</t>
  </si>
  <si>
    <t>белоснежная шагрень/мятный/черный муар</t>
  </si>
  <si>
    <t>МДФ/пластик/металл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</si>
  <si>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SHT-TU4-1
- столешница SHT-TT 80 МДФ
- стулья SHT-S111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СТИЛЬНЫЙ ДИЗАЙН.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Главная концепция модели стула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t>
  </si>
  <si>
    <t>Обеденная группа Sheffilton SHT-DS186</t>
  </si>
  <si>
    <t>бетон светлый/угольно-серый/черный муар</t>
  </si>
  <si>
    <t>Для совместных трапез - готовый обеденный комплект с удобными стульями.
Можно выбрать другие цвета стульев и стола.
В комплект входит:
- основание SHT-TU4-1
- столешница SHT-TT 80 МДФ
- сиденья SHT-SТ38
- каркас SHT-S106
ПРОЧНОСТЬ И ВЛАГОСТОЙКОСТЬ
Столешница из МДФ отличается повышенной жесткостью и устойчива к воздействию влаги.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СТИЛЬНЫЙ ДИЗАЙН.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Специальные подпятники обеспечивают защиту каркаса от царапин, тем самым увеличивая срок службы.</t>
  </si>
  <si>
    <t>Обеденная группа Sheffilton SHT-DS187</t>
  </si>
  <si>
    <t>бетон светлый/ежевичное вино/хром лак</t>
  </si>
  <si>
    <t>Для совместных трапез - готовый обеденный комплект с удобными стульями.
Можно выбрать другие цвета стульев и стола.
В комплект входит:
- основание SHT-TU10
- столешница SHT-TT 80 МДФ
- сиденья SHT-SТ29
- каркас SHT-S37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НАДЕЖНЫЙ МЕТАЛЛИЧЕСКИЙ КАРКАС стула окрашен порошковой краской, устойчивой к механическому воздействию.
Максимальная статическая нагрузка - 260 кг.
НАДЕЖНЫЕ ОПОРЫ.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Максимальная нагрузка на одну опору 12,5 кг.</t>
  </si>
  <si>
    <t>Обеденная группа Sheffilton SHT-DS188</t>
  </si>
  <si>
    <t>мрам.прем.темн./песч. буря/черн.муар/зол</t>
  </si>
  <si>
    <t>Для совместных трапез - готовый обеденный комплект с удобными стульями.
Можно выбрать другие цвета стульев и стола.
В комплект входит:
- основание SHT-TU14
- столешница SHT-TT 90 МДФ
- сиденья SHT-SТ36-1
- каркас SHT-S95-1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  Прострочка вдоль спинки придает изделию классический и стильный вид. Насыщенная
расцветка микровелюра внесет колорит в интерьер.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Стол с опорами SHT-TU14 обеспечивает удобство и комфорт при использовании.
ОБИВКА выполнена из микровелюра, в качестве мягкого наполнителя используется поролон.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</si>
  <si>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Обеденная группа Sheffilton SHT-DS189</t>
  </si>
  <si>
    <t>мрам.прем.светл./нежная мята/хром лак</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</si>
  <si>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90 МДФ
- сиденья SHT-SТ36-3
- каркас SHT-S37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  Прострочка вдоль спинки придает изделию классический и стильный вид. Насыщенная
расцветка микровелюра внесет колорит в интерьер.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Металлическая труба, диаметром/толщиной 20х1,5 мм. и пруток, диаметром 5 мм.
Толщина верхних кронштейнов для крепления столешницы 3 мм.
Максимальная статическая нагрузка на стол 50 кг.</t>
  </si>
  <si>
    <t>Обеденная группа Sheffilton SHT-DS190</t>
  </si>
  <si>
    <t>дымчатый/нейтральн. серый/белый/бел.муар</t>
  </si>
  <si>
    <t>стекло/микровелюр/пластик/мета</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</si>
  <si>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 столешница SHT-ТT26 118/77 СТЕКЛО
- сиденья SHT-SТ36-3
- каркас SHT-S95-1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что полностью безопасно для
эксплуатации.
ДОЛГОВЕЧНОСТЬ И ИЗНОСОСТОЙКОСТЬ
Находясь в постоянной эксплуатации, стеклянная столешница по истечении длительного времени не деформируется
и не сотрётся. Стекло триплекс толщиной от 10 мм, с легкостью выдержит вес предметов сервировки и
блюд.
Максимальная статическая нагрузка до 50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SHT-TU30-2, Вы создадите стол, который станет
оригинальным украшением с неповторимым и изысканным внешним видом.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Рисунок на спинке
сидения придает изделию эффектный вид. Нежная расцветка микровелюра внесет уют и воздушность в интерьер. 
ЭКОЛОГИЧНОСТЬ
Благодаря экологически чистым и натуральным компонентам, поверхность из стекла не выделяет абсолютно
никаких вредоносных веществ и не загрязняет окружающую среду.
ФУНКЦИОНАЛЬНОСТЬ
Стеклянная столешница легко крепится на основание SHT-TU30-2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t>
  </si>
  <si>
    <t>Обеденная группа Sheffilton SHT-DS191</t>
  </si>
  <si>
    <t>палисандр/черн./угольно-серый/черн.муар</t>
  </si>
  <si>
    <t>МДФ/пластик/микровелюр/металл</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</si>
  <si>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 столешница SHT-TT 120/80 МДФ
- сиденья SHT-SТ35-1
- каркас SHT-S37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Красивые продольные складки из мягкого микровелюра дридают изделию особый
шарм.Скругленные линии спинки и сидения подчеркивают модный силуэт.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НАДЕЖНЫЙ МЕТАЛЛИЧЕСКИЙ КАРКАС окрашен порошковой краской, устойчивой к механическому воздействию.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t>
  </si>
  <si>
    <t>Обеденная группа Sheffilton SHT-DS192</t>
  </si>
  <si>
    <t>белоснежная шагрень/зефирный/венге</t>
  </si>
  <si>
    <t>Для совместных трапез - готовый обеденный комплект с удобными стульями.
Можно выбрать другие цвета стульев и стола.
В комплект входит:
- основание SHT-TU9
- столешница SHT-TT 120/80 МДФ
- сиденья SHT-SТ38
- каркас SHT-S39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НАДЕЖНОСТЬ. Максимальная статическая нагрузка на стол 50 кг.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t>
  </si>
  <si>
    <t>Обеденная группа Sheffilton SHT-DS193</t>
  </si>
  <si>
    <t>бежевый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</si>
  <si>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SHT-TT30 83/83
- стулья S111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ПЕРФОРАЦИЯ СПИНКИ обеспечивает легкость конструкции и придает эффектный внешний вид.</t>
  </si>
  <si>
    <t>Обеденная группа Sheffilton SHT-DS194</t>
  </si>
  <si>
    <t>черный/белый/черный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</si>
  <si>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SHT-TT30 83/83
- стулья S110-CN1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МЯГКОЕ СИДЕНИЕ
Просторное сидение выполнено из износоустойчивого кож.зам. Обеспечивает удобную посадку и позволяет
расположиться максимально уютно.</t>
  </si>
  <si>
    <t>Обеденная группа Sheffilton SHT-DS195</t>
  </si>
  <si>
    <t>белый/пастельно-зеленый</t>
  </si>
  <si>
    <t>Для совместных трапез - готовый обеденный комплект с удобными стульями.
Можно выбрать другие цвета стульев и стола.
В комплект входит:
- основание SHT-TU30
- столешница SHT-TT30 83/83
- стулья S108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t>
  </si>
  <si>
    <t>Обеденная группа Sheffilton SHT-DS196</t>
  </si>
  <si>
    <t>дымчатый/черный/серый</t>
  </si>
  <si>
    <t>стекло/пластик</t>
  </si>
  <si>
    <t>Для совместных трапез - готовый обеденный комплект с удобными стульями.
Можно выбрать другие цвета стульев и стола.
В комплект входит:
- основание SHT-TU30-2
- столешница SHT-ТT26 118/77 СТЕКЛО
- стулья S110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что полностью безопасно для
эксплуатации.
ДОЛГОВЕЧНОСТЬ И ИЗНОСОСТОЙКОСТЬ
Находясь в постоянной эксплуатации, стеклянная столешница по истечении длительного времени не деформируется
и не сотрётся. Стекло триплекс толщиной от 10 мм, с легкостью выдержит вес предметов сервировки и
блюд.
Максимальная статическая нагрузка до 50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SHT-TU30-2, Вы создадите стол, который станет
оригинальным украшением с неповторимым и изысканным внешним видом.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Рисунок на спинке
сидения придает изделию эффектный вид. Нежная расцветка микровелюра внесет уют и воздушность в интерьер. 
ЭКОЛОГИЧНОСТЬ
Благодаря экологически чистым и натуральным компонентам, поверхность из стекла не выделяет абсолютно
никаких вредоносных веществ и не загрязняет окружающую среду.
ФУНКЦИОНАЛЬНОСТЬ
Стеклянная столешница легко крепится на основание SHT-TU30-2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СИЛИКОНОВЫЕ ПОДПЯТНИКИ каркаса обеспечивают защиту покрытия от царапин и повышают устойчивость стула.</t>
  </si>
  <si>
    <t>Рабочее место Sheffilton SHT-DS17</t>
  </si>
  <si>
    <t>дуб сонома/Holland 65/белый</t>
  </si>
  <si>
    <t>ЛДСП/микровелюр/металл</t>
  </si>
  <si>
    <t>ТОВАР ДОСТУПЕН ПОД ЗАКАЗ ОТ 5 ШТУК!
Адаптивное рабочее место – работайте, играйте, учитесь, развивайтесь без ограничений!
ЗАПАТЕНТОВАНО! Рабочее место Sheffilton защищено патентом, что гарантирует его уникальность, качество
и надежность.
В МЕБЕЛИ ДЛЯ РАБОТЫ ДОМА ВАЖНЫ:
КОМФОРТ. Правильная эргономика рабочего места дает физический комфорт и сохраняет здоровье.
ДИЗАЙН. "Вписываться" или быть "незаметным" в интерьере. Дает психологический комфорт, это когда не
ощущаете себя 24 часа на работе.
КОМПАКТНОСТЬ. Мебель для работы дома не должна занимать много места.
МОБИЛЬНОСТЬ. Иметь возможность перемещаться из одной комнаты в другую.
ДОСТУПНАЯ ЦЕНА. Экономия бюджета.
НАДЕЖНОСТЬ. Прочная конструкция и ресурсоемкие технические решения.
УДОБСТВО ЭКСПЛУАТАЦИИ. Быть простым в использовании.</t>
  </si>
  <si>
    <t>Стол со стульями Sheffilton SHT-DS114</t>
  </si>
  <si>
    <t>лиственно-зеленый/черный муар/браш.корич</t>
  </si>
  <si>
    <t>микровелюр/металл/дерево</t>
  </si>
  <si>
    <t>Для совместных трапез - готовый обеденный комплект с удобными мягкими стульями.
Можно выбрать другие цвета стульев и стола.
В комплект входит:
- основание SHT-TU2-1
- столешница SHT-TT 80/80 дуб
- сидение SHT-ST35-2
- каркас стула SHT-S112
Максимальная статическая нагрузка на стол 50 кг., на стул 200 кг.</t>
  </si>
  <si>
    <t>Стол со стульями Sheffilton SHT-DS117</t>
  </si>
  <si>
    <t>лиственно-зеленый/медный/палисандр</t>
  </si>
  <si>
    <t>Для совместных трапез - готовый обеденный комплект с удобными мягкими стульями.
Можно выбрать другие цвета стульев и стола.
В комплект входит:
- два основания SHT-TU15
- столешница SHT-TT 120/80 МДФ
- сидение SHT-ST35-2
- каркас стула SHT-S37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Максимальная статическая нагрузка на стол 50 кг., на стул 260 кг.</t>
  </si>
  <si>
    <t>Стол со стульями Sheffilton SHT-DS18</t>
  </si>
  <si>
    <t>SHT-T32</t>
  </si>
  <si>
    <t>дуб сонома/ал.металлик</t>
  </si>
  <si>
    <t>ЛДСП/МДФ/металл</t>
  </si>
  <si>
    <t>Компактный обеденный комплект состоит из стола SHT-T10 и двух стульев SHT-S53.
Стулья полностью задвигаются под стол, при этом экономят место на кухне.
Прекрасный вариант для маленькой кухни, загородного дома или дачи.
Под столешницей предусмотрена полка, размером 360х420х140 мм. для хранения бутылок, салфеток, полотенец.
Полка из металла, диаметр/толщина 12х0,6 мм и прутка, диаметром 5 мм.
Высота от пола до полки: 620 мм.
Каркас стула и стола выполнен из металла, диаметр/толщина 20х0,8 мм.
Столешница из ЛДСП, размером 920х600 мм., и толщиной 24 мм.
Расстояние между опорами каркаса: 450 мм.
Сиденье стула из МДФ, размером 345х345 мм, и толщиной 16 мм.
Высота и ширина спинки: 330х460 мм.
Высота от пола до сидения: 450 мм.
Расстояние между задними опорами: 440 мм; передними 280 мм.
Максимальная статическая нагрузка на полку 5 кг, стол 50 кг, стул 100 кг.
Гарантия 2 года.</t>
  </si>
  <si>
    <t>Стол со стульями Sheffilton SHT-DS56</t>
  </si>
  <si>
    <t>дуб выбеленный/черный муар/дуб беленый</t>
  </si>
  <si>
    <t>гнутая фанера/металл/ЛДСП</t>
  </si>
  <si>
    <t>Для совместных трапез - готовый обеденный комплект с удобными стульями.
Можно выбрать другие цвета стульев и стола.
В комплект входит:
- сидение SHT-ST10-1
- каркас стула SHT-S38
- столешница SHT-TT 80 ЛДСП
- основание для стола SHT-TU14
Максимальная статическая нагрузка на стол 50 кг., на стул 200 кг.
*Оттенок ткани может меняться в зависимости от партии.</t>
  </si>
  <si>
    <t>Стол со стульями Sheffilton SHT-DS69</t>
  </si>
  <si>
    <t>розовый десерт/черный/белоснежная шагрен</t>
  </si>
  <si>
    <t>Для совместных трапез - готовый обеденный комплект с удобными мягкими стульями.
Можно выбрать другие цвета стульев и стола.
В комплект входит:
- основание SHT-TU2-1
- столешница SHT-TT 80 МДФ
- сидение SHT-ST35
- каркас стула SHT-S37
Максимальная статическая нагрузка на стол 50 кг., на стул 260 кг.</t>
  </si>
  <si>
    <t>Стол со стульями Sheffilton SHT-DS71</t>
  </si>
  <si>
    <t>ягодное варенье/светлый орех/дуб тортуга</t>
  </si>
  <si>
    <t>Для совместных трапез - готовый обеденный комплект с удобными мягкими стульями.
Можно выбрать другие цвета стульев и стола.
В комплект входит:
- основание SHT-TU9
- столешница SHT-TT 80 МДФ
- сидение SHT-ST35
- каркас стула SHT-S39
Максимальная статическая нагрузка на стол 50 кг., на стул 260 кг.</t>
  </si>
  <si>
    <t>Стол со стульями Sheffilton SHT-DS81</t>
  </si>
  <si>
    <t>Для совместных трапез - готовый обеденный комплект с удобными мягкими стульями.
Можно выбрать другие цвета стульев и стола.
В комплект входит:
- сидение SHT-ST35
- каркас стула SHT-S70
- столешница SHT-TT 80/80 МДФ
- основание для стола SHT-TU16
Максимальная статическая нагрузка на стол 50 кг., на стул 200 кг.
*Оттенок ткани может меняться в зависимости от партии.</t>
  </si>
  <si>
    <t>Стол со стульями Sheffilton SHT-DS86</t>
  </si>
  <si>
    <t>метрополитан/хром лак/белый</t>
  </si>
  <si>
    <t>гнутая фанера/металл/МДФ</t>
  </si>
  <si>
    <t>Для совместных трапез - готовый обеденный комплект с удобными стульями.
Можно выбрать другие цвета стульев и стола.
В комплект входит:
- основание SHT-TU2-1
- столешница SHT-TT 80 МДФ
- сидение SHT-ST10-1
- каркас стула SHT-S100
Максимальная статическая нагрузка на стол 50 кг., на стул 260 кг.</t>
  </si>
  <si>
    <t>Cтул Sheffilton SHT-ST16/S92</t>
  </si>
  <si>
    <t>СТ-457</t>
  </si>
  <si>
    <t>Натуральный и стильный барный стул - это естественная текстура дерева в комплекте с металлическими
деталями. Дерево обработано эффектом "браширования" для большего эффекта природного рисунка древесины.
Винтовой механизм, укрепленный под выточенным округлым сиденьем, позволяет регулировать высоту стула
из обычного в барный.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Максимальная статическая нагрузка - 260 кг.</t>
  </si>
  <si>
    <t>Cтул Sheffilton SHT-ST16/S93</t>
  </si>
  <si>
    <t>СТ-203</t>
  </si>
  <si>
    <t>Натуральный и стильный полубарный/барный стул - это естественная текстура дерева в комплекте с металлическими
деталями. Дерево обработано эффектом "браширования" для большего эффекта природного рисунка древесины.
Винтовой механизм, укрепленный под круглым сиденьем, позволяет регулировать высоту стула из обычного
в барный.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Диаметр/толщина сидения - 350/25 мм.;
- Максимальная статическая нагрузка - 260 кг.</t>
  </si>
  <si>
    <t>Cтул барный Sheffilton SHT-S91</t>
  </si>
  <si>
    <t>СТ-104</t>
  </si>
  <si>
    <t>прозр.лак/лосось RAL3022/т.сер. RAL702</t>
  </si>
  <si>
    <t>Материалы и высокий уровень исполнения говорят о прочности и долговечности стула. Сидение и спинка
выполнены из массива дуба. Естественный рисунок и текстура дерева подчеркнута покрытием из прозрачного
лака. Спинка, окрашенная в приятный цвет лосось RAL3022, добавит изюминку в любое цветовое решение
интерьера. Барный стул SHT-S91 отлично впишется в лофт пространство. Эффектно будет смотреться в интерьере
паба, бара, кафе.
Уникальность стула SHT-S91 составляют несколько отличительных черт:
- На сидение нанесено специальное углубление для большего тактильного комфорта
- Тыльная сторона оригинального сидения имеет фрезеровку, что значительно облегчает конструкцию
- Между деревянным сидением и каркасом проложен герметик, что позволяет избежать скрипов и повышает
надежность крепления
- Каркас стула выполнен из металлической трубы, длиной/шириной 20 мм. и окрашен порошковой краской,
устойчивой к механическому воздействию;
- Используйте стул в помещении или на закрытой веранде;
- Максимальная статическая нагрузка на стул 300 кг.</t>
  </si>
  <si>
    <t>Cтул барный Sheffilton SHT-ST16/S93</t>
  </si>
  <si>
    <t>СТ-401</t>
  </si>
  <si>
    <t>Барный стул Sheffilton SHT-ST76/S69-C</t>
  </si>
  <si>
    <t>СТ-207</t>
  </si>
  <si>
    <t>Опоры стульев имеют конусообразную форму с декоративной пленкой PVC "под дерево", что придает стулу
стильный и современный вид
Идеально подходят для кафе, баров, фаст-фудов и отлично вписываются в домашнее пространство
- Сидение выполнено из полипропилена с армирующими добавками, которые обеспечивают дополнительную
ПРОЧНОСТЬ И ДОЛГОВЕЧНОСТЬ.
- Поверхность стула имеет ДЕКОРАТИВНУЮ ОТДЕЛКУ "под кожу" с прострочкой, что придает ему оригинальный
и эстетичный внешний вид.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Каркас выполнен из МЕТАЛЛа, что обеспечивает ПРОЧНОСТЬ изделия (диаметр/толщина - 28/1.5мм).
УПАКОВКА И ГАРАНТИЯ
Изделие разборное. Упаковка - полиэтилен и картон.
Максимальная статическая нагрузка - 200 кг.
Гарантия 2 года.</t>
  </si>
  <si>
    <t>Кресло Sheffilton SHT-AMS1-1</t>
  </si>
  <si>
    <t>SHT-K1</t>
  </si>
  <si>
    <t>дымный/черный муар/браш.корич.</t>
  </si>
  <si>
    <t>микровелюр/металл/дерево дуб</t>
  </si>
  <si>
    <t>Стильное кресло SHT-AMS1-1 – идеальный пример гармоничного сочетания элегантной строгости геометрических
форм и удобной конфигурации. Мы позаботились о высоком качестве конструкции. Благодаря прочному металлическому
каркасу, оно прослужит Вам долгий срок. Кресло идеально впишется в интерьер в современном или лофт
стиле. Кресло с невысокими ножками чаще всего выбирают для лобби, лаунж зон и баров, но оно отлично
смотрится и как акцентное кресло в гостиной современного дома.
КОМФОРТНЫЙ ДИЗАЙН
Дизайн модели основан на выдержанной цветовой гамме и небольшой высоте – все это помогает создать
располагающую обстановку к отдыху, расслаблению или приятной неформальной беседе. Невысокая спинка
отходит от сидения под небольшим углом, что делает кресло еще более удобным. Стильные, мягкие, практически
одинаковые по форме и размеру комфортабельные подушки обиты микровелюром. Каркас выполнен из металлического
листа, поэтому сбоку кресло выглядит абсолютно невесомым. Ножки плавно переходят в подлокотники и
спинку. Кресло имеет твердые прямоугольные подлокотники из массива дерева с декоративной отделкой
"браширование".
КАЧЕСТВО НА ВЫСОТЕ
Кресло изготовлено из материалов высокого качества. Каркас выполнен из металла и окрашен порошковой
краской, устойчивой к механическому воздействию. Подлокотники – натуральный массив дерева. Наполнитель
– высокоэластичный ППУ, не теряющих своих упругих свойств на протяжении долгих лет. Использование
фактурного микровелюра в качестве обивки делает модель не только красивой, но и практичной.
Максимальная статическая нагрузка на кресло – 200 кг.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</si>
  <si>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Кресло Sheffilton SHT-AMS1-2</t>
  </si>
  <si>
    <t>SHT-K2</t>
  </si>
  <si>
    <t>серое утро/антрацит</t>
  </si>
  <si>
    <t>иск.замша/металл</t>
  </si>
  <si>
    <t>Стильное кресло SHT-AMS1-1 – идеальный пример гармоничного сочетания элегантной строгости геометрических
форм и удобной конфигурации. Мы позаботились о высоком качестве конструкции. Благодаря прочному металлическому
каркасу, оно прослужит Вам долгий срок. Кресло идеально впишется в интерьер в современном или лофт
стиле. Кресло с невысокими ножками чаще всего выбирают для лобби, лаунж зон и баров, но оно отлично
смотрится и как акцентное кресло в гостиной современного дома.
КОМФОРТНЫЙ ДИЗАЙН
Дизайн модели основан на выдержанной цветовой гамме и небольшой высоте – все это помогает создать
располагающую обстановку к отдыху, расслаблению или приятной неформальной беседе. Невысокая спинка
отходит от сидения под небольшим углом, что делает кресло еще более удобным. Стильные, мягкие, практически
одинаковые по форме и размеру комфортабельные подушки обиты микровелюром. Каркас выполнен из металлического
листа, поэтому сбоку кресло выглядит абсолютно невесомым. Ножки плавно переходят в подлокотники и
спинку.
КАЧЕСТВО НА ВЫСОТЕ
Кресло изготовлено из материалов высокого качества. Каркас выполнен из металла и окрашен порошковой
краской, устойчивой к механическому воздействию. Комплектуется мягкими подлокотниками на липучках,
которые удобно снять и сделать влажную чистку. Наполнитель – высокоэластичный ППУ, не теряющих своих
упругих свойств на протяжении долгих лет. Использование фактурного микровелюра в качестве обивки делает
модель не только красивой, но и практичной.
Максимальная статическая нагрузка на кресло – 200 кг.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</si>
  <si>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Кресло Sheffilton SHT-AMS17</t>
  </si>
  <si>
    <t>Holland 65/белый/прозрачный лак</t>
  </si>
  <si>
    <t>Кресло Sheffilton SHT-AMS2</t>
  </si>
  <si>
    <t>SHT-K3</t>
  </si>
  <si>
    <t>серый дым/черный муар</t>
  </si>
  <si>
    <t>рогожка/металл</t>
  </si>
  <si>
    <t>Мягкое уютное кресло в современном стиле, обитое тканью светло-серого оттенка из рогожки, на каркасе
из черного металла. Благодаря своему универсальному дизайну и лаконичному сочетанию цветов такое кресло
гармонично впишется практически в любой современный интерьер кафе, бара, ресторана, офиса, общественных
учреждений, залов ожидания или дома.
КОМФОРТНЫЙ ДИЗАЙН
Дизайн модели основан на выдержанной, но контрастной цветовой гамме. Линии металлического каркаса,
опоясывающие мягкое сидение, делают дизайн модели особенно стильной. Ножки плавно переходят в подлокотники
и спинку, подчеркивая каждый изгиб кресла. Спинка, отклоненная под небольшим углом, и мягкая подушечка
на сидении дают еще больший комфорт при использовании.
РЕГУЛИРУЕМЫЕ ОПОРЫ
На шарнирах позволяют без помех использовать кресло на неровной поверхности. На опорах имеются подпятники
из эластичной резины, которые придают антискользящие свойства.
КАЧЕСТВО НА ВЫСОТЕ
Кресло изготовлено из материалов высокого качества. Каркас выполнен из металла и окрашен порошковой
краской, устойчивой к механическому воздействию. Наполнитель – высокоэластичный ППУ, не теряющих своих
упругих свойств на протяжении долгих лет. Использование фактурной рогожки в качестве обивки делает
модель не только по современному стильной, но и практичной.
Максимальная статическая нагрузка на кресло – 260 кг.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</si>
  <si>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Стул Sheffilton SHT-S101</t>
  </si>
  <si>
    <t>СТ-101</t>
  </si>
  <si>
    <t>желтый/espresso/белая шагрень гл.</t>
  </si>
  <si>
    <t>металл/кож.зам/алюминий</t>
  </si>
  <si>
    <t>СТУЛ ДОСТУПЕН ПОД ЗАКАЗ ОТ 20 ШТУК!
Материалы и высокий уровень исполнения говорят о прочности и долговечности стула. Стул SHT-S101 отлично
впишется в арт пространство. Эффектно будет смотреться в интерьере паба, бара, кафе.
Уникальность стула SHT-S101 составляют несколько отличительных черт:
- Мягкое сидение с наполнителем из поролона обшито высококачественным кож. замом цвета "espresso".
- Каркас стула выполнен из металлической трубы, длиной/шириной 28 мм. и окрашен порошковой краской,
устойчивой к механическому воздействию;
- Спинка стула выполнена из алюминиевого сплава толщиной 10 мм. и установлена на скрытый крепеж. Окрашена
порошковой краской белого цвета;
- Металлические детали сварены между собой цельносварными швами. Такой тип сварки делает конструкцию
еще более надежной
- Используйте стул в помещении или на закрытой веранде;
- Максимальная статическая нагрузка на стул 300 кг;
- Гарантия 2 года.
*Оттенок ткани может меняться в зависимости от партии.</t>
  </si>
  <si>
    <t>сереб./espresso/белая шагрень гл.</t>
  </si>
  <si>
    <t>СТУЛ ДОСТУПЕН ПОД ЗАКАЗ ОТ 20 ШТУК!
Материалы и высокий уровень исполнения говорят о прочности и долговечности стула. Стул SHT-S101 отлично
впишется в арт пространство. Эффектно будет смотреться в интерьере паба, бара, кафе.
Уникальность стула SHT-S101 составляют несколько отличительных черт:
- Спинка стула выполнена из алюминиевого сплава толщиной 10 мм. и установлена на скрытый крепеж. Окрашена
порошковой краской белого цвета;
- Мягкое сидение с наполнителем из поролона обшито высококачественным кож. замом цвета "espresso".
- Каркас стула выполнен из металлической трубы, длиной/шириной 28 мм. и окрашен порошковой краской,
устойчивой к механическому воздействию;
- Металлические детали сварены между собой цельносварными швами. Такой тип сварки делает конструкцию
еще более надежной
- Используйте стул в помещении или на закрытой веранде;
- Максимальная статическая нагрузка на стул 300 кг;
- Гарантия 2 года.
*Оттенок ткани может меняться в зависимости от партии.</t>
  </si>
  <si>
    <t>Стул Sheffilton SHT-S108</t>
  </si>
  <si>
    <t>СТ-250</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</si>
  <si>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</si>
  <si>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</si>
  <si>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бук</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</si>
  <si>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</si>
  <si>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красный RAL3020</t>
  </si>
  <si>
    <t>ПОД ЗАКАЗ ОТ 50 ШТУК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</si>
  <si>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пастельно-зеленый</t>
  </si>
  <si>
    <t>Стул Sheffilton SHT-S108-CN1</t>
  </si>
  <si>
    <t>СТ-265</t>
  </si>
  <si>
    <t>голубой PAN545c/белый</t>
  </si>
  <si>
    <t>ПОД ЗАКАЗ ОТ 50 ШТУК
Оригинальный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Отличительная черта стула – устойчивые, выразительные ТРЕУГОЛЬНЫЕ опоры.
Широкие спинка и мягкое сидение позволяют расположиться с максимальным комфортом.
ПРОЧНОСТЬ И ДОЛГОВЕЧНОСТЬ
Спинка и каркас выполнены из полипропилена с армирующими добавками и выдерживают продолжительные нагрузки.
Стеклонаполнение дает большую жесткость при посадке.
Сидение выполнено из прочного и износоустойчивого кож.зам.
Максимальная статическая нагрузка - 200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обеспечивает удобную посадку и комфортное времяпровождение.
СИЛИКОНОВЫЕ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силиконовая защита, которая обеспечивает бережное штабелирование.</t>
  </si>
  <si>
    <t>желтый RAL1021/черный</t>
  </si>
  <si>
    <t>ПОД ЗАКАЗ ОТ 50 ШТУК
Оригинальный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Отличительная черта стула – устойчивые, выразительные ТРЕУГОЛЬНЫЕ опоры.
Широкие спинка и мягкое сидение позволяют расположиться с максимальным комфортом.
ПРОЧНОСТЬ И ДОЛГОВЕЧНОСТЬ
Спинка и каркас выполнены из полипропилена с армирующими добавками и выдерживают продолжительные нагрузки.
Стеклонаполнение дает большую жесткость при посадке.
Сидение выполнено из прочного и износоустойчивого кож.зам.
Максимальная статическая нагрузка - 200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обеспечивает удобную посадку и комфортное времяпровождение.
СИЛИКОНОВЫЕ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силиконовая защита, которая обеспечивает бережное штабелирование.</t>
  </si>
  <si>
    <t>Стул Sheffilton SHT-S108-P</t>
  </si>
  <si>
    <t>мятный/белый</t>
  </si>
  <si>
    <t>пластик/пластик</t>
  </si>
  <si>
    <t>ПОД ЗАКАЗ ОТ 50 ШТУК
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</si>
  <si>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серый/черный</t>
  </si>
  <si>
    <t>ПОД ЗАКАЗ ОТ 50 ШТУК
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</si>
  <si>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Стул Sheffilton SHT-S110</t>
  </si>
  <si>
    <t>СТ-251</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</si>
  <si>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</si>
  <si>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капучино</t>
  </si>
  <si>
    <t>пастельно-лиловый</t>
  </si>
  <si>
    <t>пастельно-розовый</t>
  </si>
  <si>
    <t>ПОД ЗАКАЗ ОТ 50 ШТУК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</si>
  <si>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серый</t>
  </si>
  <si>
    <t>Оригинальный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Отличительная черта стула – устойчивые, выразительные ТРЕУГОЛЬНЫЕ опоры.
Широкие спинка и сидение позволяют расположиться с максимальным комфортом.
ПРОЧНОСТЬ И ДОЛГОВЕЧНОСТЬ
Сидение и каркас выполнены из полипропилена с армирующими добавками и выдерживают продолжительные
нагрузки. Стеклонаполнение дает большую жесткость при посадке.
Максимальная статическая нагрузка - 200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СИЛИКОНОВЫЕ ПОДПЯТНИКИ каркаса обеспечивают защиту покрытия от царапин и повышают устойчивость стула.
ШТАБЕЛИРУЕТСЯ максимально по 5 штук, что значительно облегчает хранение и использование. С обратной
стороны каждого стула, предусмотрена силиконовая защита, которая обеспечивает бережное штабелирование.</t>
  </si>
  <si>
    <t>Стул Sheffilton SHT-S110-CN1</t>
  </si>
  <si>
    <t>СТ-252</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</si>
  <si>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ПРЕКРАСНАЯ ЭРГОНОМИКА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</si>
  <si>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зеленый RAL6018/бежевый</t>
  </si>
  <si>
    <t>ПОД ЗАКАЗ ОТ 50 ШТУК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ПРЕКРАСНАЯ ЭРГОНОМИКА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</si>
  <si>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Стул Sheffilton SHT-S110-P</t>
  </si>
  <si>
    <t>серый/белый</t>
  </si>
  <si>
    <t>СТ-326</t>
  </si>
  <si>
    <t>желтый/желтый</t>
  </si>
  <si>
    <t>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</si>
  <si>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зеленый/зеленый</t>
  </si>
  <si>
    <t>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</si>
  <si>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лаванда/черный</t>
  </si>
  <si>
    <t>Стул Sheffilton SHT-S111</t>
  </si>
  <si>
    <t>СТ-241</t>
  </si>
  <si>
    <t>бежевый RAL1013</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</si>
  <si>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</si>
  <si>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голубой</t>
  </si>
  <si>
    <t>Данная модель стула ПОД ЗАКАЗ от 50шт. Вы можете выбрать любой цвет стула под Ваш интерьер, уточняйте
подробности у менеджера.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</si>
  <si>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лаванда RAL4011</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</si>
  <si>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</si>
  <si>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оранжевый RAL2008</t>
  </si>
  <si>
    <t>Данная модель стула ПОД ЗАКАЗ от 50шт. Вы можете выбрать любой цвет стула и мягкой подушки под Ваш
интерьер, уточняйте подробности у менеджера.
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</si>
  <si>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пастельно-голубой</t>
  </si>
  <si>
    <t>Стул Sheffilton SHT-S111-CN1</t>
  </si>
  <si>
    <t>СТ-253</t>
  </si>
  <si>
    <t>бежевый RAL1001/кремовый мрамор</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</si>
  <si>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</si>
  <si>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</si>
  <si>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мятный/мятный</t>
  </si>
  <si>
    <t>оранжевый/черный (+)</t>
  </si>
  <si>
    <t>ДИЗАЙН В КАЖДОЙ ДЕТАЛИ
Главная концепция модели - воздушность и легкость, что позволяет расширить пространство в помещении.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ПЕРФОРАЦИЯ СПИНКИ обеспечивает легкость конструкции и придает эффектный внешний вид
ПРЕКРАСНАЯ ЭРГОНОМИКА
Изогнутая спинка и широкое сидение обеспечивают удобную посадку и подарят новые ощущения комфорта
во время отдыха.
МЯГКОЕ СИДЕНИЕ
Просторное сидение выполнено из износоустойчивого кож.зам. Обеспечивает удобную посадку и позволяет
расположиться максимально уютно.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</si>
  <si>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Стул Sheffilton SHT-S111-P</t>
  </si>
  <si>
    <t>красный/черный</t>
  </si>
  <si>
    <t>ПОД ЗАКАЗ ОТ 50 ШТУК
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и придает эффектный внешний вид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</si>
  <si>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СТ-327</t>
  </si>
  <si>
    <t>ДИЗАЙН В КАЖДОЙ ДЕТАЛИ
Главная концепция модели - воздушность и легкость, что позволяет расширить пространство в помещении.
А благодаря цветной пластиковой накладке на сидении, Вы можете разнообразить свой дизайн и достичь
интересного визуального эффекта. Выразительные линии и треугольные опоры создают оригинальную форму
стула, представляя собой единую конструкцию. Такой дизайн цельнопластикового стула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Стул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ИСПЫТАНИЯ СТУЛЬЕВ
Каждый стул проходит испытания на устойчивость, прочность и безопасность. Выдерживает продолжительные
нагрузки - максимальная статическая нагрузка 200 кг.
ПЕРЕНОСИТ ВОЗДЕЙСВИЕ ЛЮБЫХ ПОГОДНЫХ УСЛОВИЙ
Стул выполнен из атмосферостойкого пластика. Устойчив к прямым солнечным лучам, не деформируется и
не изменяет цвет. Можно использовать на открытом воздухе при температуре от -15 С до +40С.
ПЕРФОРАЦИЯ СПИНКИ обеспечивает легкость конструкции и придает эффектный внешний вид
ПРЕКРАСНАЯ ЭРГОНОМИКА
Изогнутая спинка и просторное сидение обеспечивают удобную посадку и подарят новые ощущения комфорта
во время отдыха.
ШТАБЕЛИРУЕТСЯ
максимально по 5 штук, что значительно облегчает хранение и использование. С обратной стороны каждого
стула, предусмотрена каучуковая защита, которая обеспечивает бережное штабелирование.
КАУЧУКОВЫЕ ПОДПЯТНИКИ
каркаса обеспечивают защиту покрытия от царапин и повышают устойчивость стула.</t>
  </si>
  <si>
    <t>Стул Sheffilton SHT-S51</t>
  </si>
  <si>
    <t>СТ-51</t>
  </si>
  <si>
    <t>- Элегантный и красивый. Стул создан для домашней атмосферы загородного дома или дачи;
- Его оригинальный силуэт создаёт ощущение лёгкости и воздушности;
- Стул штабелируется, что очень удобно при хранении;
- К стулу идеально подходит стол SHT-T8;
- Каркас и сиденье выполнены из металла, диаметр/толщина 18х1,5 мм;
- Диаметр сиденья 352 мм;
- Высота подлокотников над сидением 240 мм.;
- Расстояние от пола до сидения 450 мм;
- Порошковая окраска изделия, стойкая к механическим повреждениям;
- Заглушки стула черного цвета;
- Максимальная нагрузка на стул 100 кг;
- Изделие неразборное.
- Гарантия 2 года.</t>
  </si>
  <si>
    <t>белый/серебр.патина</t>
  </si>
  <si>
    <t>- Элегантный и красивый. Стул создан для домашней атмосферы загородного дома или дачи;
- Стул выполнен полностью из металла с декоративной отделкой - патинирование под серебро ("эффект
искусственного старения"), придающая интерьеру оригинальность и неповторимость;
- Стул штабелируется, что очень удобно при хранении;
- К стулу идеально подходит стол SHT-T8;
- Каркас и сиденье выполнены из металла, диаметр/толщина 18х1,5 мм;
- Диаметр сиденья 352 мм;
- Высота подлокотников над сидением 240 мм.;
- Расстояние от пола до сидения 450 мм;
- Порошковая окраска изделия, стойкая к механическим повреждениям;
- Заглушки стула черного цвета;
- Максимальная нагрузка на стул 100 кг;
- Изделие неразборное.
- Гарантия 2 года.</t>
  </si>
  <si>
    <t>Стул Sheffilton SHT-S53</t>
  </si>
  <si>
    <t>СТ-53</t>
  </si>
  <si>
    <t>- Классический компактный вариант обеденного стула;
- Идеально подходит к обеденному столу SHT-T10;
- Надежен и легок в уходе;
- Сиденье выполнено из МДФ, толщиной 16 мм;
- Размеры сидения ШхГ: 345х345;
- Высота и ширина спинки: 330х460 мм;
- Высота от пола до сидения: 450 мм;
- Расстояние между задними опорами: 440 мм; передними 280 мм;
- Каркас выполнен из металлической трубы, диаметром и толщиной 20х0,8 мм;
- Порошковая окраска изделия, стойкая к механическим повреждениям;
- Максимальная нагрузка 100 кг;
- Гарантия 2 года.</t>
  </si>
  <si>
    <t>Стул Sheffilton SHT-S63</t>
  </si>
  <si>
    <t>дерево/дуб</t>
  </si>
  <si>
    <t>Уникальная линейка стульев из натурального дерева SHT-S63 от Sheffilton!
Данный стул доступен под заказ от 10 штук!
Минималистичный дизайн ставит каждый стул на первые позиции в современных модных трендах. Массив дуба,
покрытый защитным слоем лака, экологичен и практичен в использовании. Форма стула имеет изогнутые
края, что придет ему эстетичность и элегантность. Специальное углубление на дерянном сидении дает
дополнительный тактильный комфорт. Эргономичная спинка стула обеспечивает удобную и комфортную посадку.
- Используйте стул в помещении или на закрытой веранде;
- Каркас выполнен из МАССИВА ДУБА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t>
  </si>
  <si>
    <t>серый/декор.состаривание</t>
  </si>
  <si>
    <t>дерево/бук</t>
  </si>
  <si>
    <t>Уникальная линейка стульев из натурального дерева SHT-S63 от Sheffilton!
Данный стул доступен под заказ от 10 штук!
Минималистичный дизайн ставит каждый стул на первые позиции в современных модных трендах. Патинирование
- "декоративное состаривание", которое придает стулу эффектный внешний вид! Форма стула имеет изогнутые
края для большей визуальной эстетичности и элегантности. Специальное углубление на деревянном сидении
создано для дополнительного тактильного комфорта. Эргономичная спинка стула обеспечивает удобную и
комфортную посадку.
- Используйте стул в помещении или на закрытой веранде;
- Каркас выполнен из МАССИВА БУКА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t>
  </si>
  <si>
    <t>СТ-63</t>
  </si>
  <si>
    <t>прозрачный лак/бук</t>
  </si>
  <si>
    <t>Уникальная линейка стульев из натурального дерева SHT-S63 от Sheffilton!
Минималистичный дизайн ставит каждый стул на первые позиции в современных модных трендах. Натуральный
бук, покрытый защитным слоем лака, экологичен и практичен в использовании. Форма стула имеет изогнутые
края, что придет ему эстетичность и элегантность. Специальное углубление на дерянном сидении дает
дополнительный тактильный комфорт. Эргономичная спинка стула обеспечивает удобную и комфортную посадку.
- Используйте стул в помещении или на закрытой веранде;
- Каркас выполнен из МАССИВА БУКА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t>
  </si>
  <si>
    <t>прозрачный лак/дуб</t>
  </si>
  <si>
    <t>Уникальная линейка стульев из натурального дерева SHT-S63 от Sheffilton!
Минималистичный дизайн ставит каждый стул на первые позиции в современных модных трендах. Натуральный
дуб, покрытый защитным слоем лака, экологичен и практичен в использовании. Форма стула имеет изогнутые
края, что придет ему эстетичность и элегантность. Специальное углубление на дерянном сидении дает
дополнительный тактильный комфорт. Эргономичная спинка стула обеспечивает удобную и комфортную посадку.
- Используйте стул в помещении или на закрытой веранде;
- Каркас выполнен из МАССИВА ДУБА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t>
  </si>
  <si>
    <t>прозрачный лак/кедровый</t>
  </si>
  <si>
    <t>дерево дуб/рогожка</t>
  </si>
  <si>
    <t>Уникальная линейка стульев из натурального дерева SHT-S63 от Sheffilton!
Минималистичный дизайн ставит каждый стул на первые позиции в современных модных трендах. Натуральный
дуб, покрытый защитным слоем лака, экологичен и практичен в использовании. Форма стула имеет изогнутые
края, что придет ему эстетичность и элегантность.
Эргономичная спинка стула в купе с мягким сидением обеспечивают удобную и комфортную посадку.
- Используйте стул в помещении или на закрытой веранде;
- Каркас выполнен из МАССИВА ДУБА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
*Оттенок ткани может меняться в зависимости от партии.</t>
  </si>
  <si>
    <t>прозрачный лак/черный</t>
  </si>
  <si>
    <t>дерево бук/кож.зам</t>
  </si>
  <si>
    <t>Уникальная линейка стульев из натурального дерева SHT-S63 от Sheffilton!
Минималистичный дизайн ставит каждый стул на первые позиции в современных модных трендах. Натуральный
бук, покрытый защитным слоем лака, экологичен и практичен в использовании. Форма стула имеет изогнутые
края, что придет ему эстетичность и элегантность.
Эргономичная спинка стула в купе с мягким сидением из кожзаменителя обеспечивают удобную и комфортную
посадку.
- Используйте стул в помещении или на закрытой веранде;
- Каркас выполнен из МАССИВА БУКА и покрыт прозрачным лаком;
- Высота стула 870 мм;
- Расстояние между передними ножками 390 мм.;
- Расстояние между задними ножками 485 мм.;
- Расстояние от пола до сидения 390 мм.;
- Максимальная статическая нагрузка - 200 кг.
*Оттенок ткани может меняться в зависимости от партии.</t>
  </si>
  <si>
    <t>Стул Sheffilton SHT-S68</t>
  </si>
  <si>
    <t>СТ-68</t>
  </si>
  <si>
    <t>бежевый/ваниль (цинк)</t>
  </si>
  <si>
    <t>- Стул под "искусственный ротанг" - это комфортное времяпровождение в загородном доме, саду, летней
веранде, кафе и ресторанах;
- Более практичный аналог мебели из ротанга, не требует особого ухода, не растягивается, не расплетается;
- Стул выполнен из атмосферостойкого пластика и отлично переносит воздействие любых погодных условий;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Надежные металлические опоры оцинкованы и окрашены порошковой краской, что обеспечивает долгую службу
и защиту от коррозийных процессов;
- Можно штабелировать, что позволяет экономить место при хранении;
- В рабочем положении (стул стоит на опорах) штабелируется по 5 штук;
- Максимальная статическая нагрузка - 200 кг.;
- Гарантия 2 года.</t>
  </si>
  <si>
    <t>бежевый/коричневый муар</t>
  </si>
  <si>
    <t>пластик/металл (ps)</t>
  </si>
  <si>
    <t>- Стул под "искусственный ротанг" - это комфортное времяпровождение в загородном доме, саду, летней
веранде, кафе и ресторанах;
- Более практичный аналог мебели из ротанга, не требует особого ухода, не растягивается, не расплетается;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Надежные металлические опоры оцинкованы и окрашены порошковой краской, что обеспечивает долгую службу
и защиту от коррозийных процессов;
- Можно штабелировать, что позволяет экономить место при хранении;
- В рабочем положении (стул стоит на опорах) штабелируется по 5 штук;
- Максимальная статическая нагрузка - 200 кг.;
- Гарантия 2 года.</t>
  </si>
  <si>
    <t>коричневый/коричневый муар (цинк)</t>
  </si>
  <si>
    <t>коричневый/черный муар (цинк)</t>
  </si>
  <si>
    <t>черно-коричневый/черный муар</t>
  </si>
  <si>
    <t>пластик/металл (цинк)</t>
  </si>
  <si>
    <t>Стул Sheffilton SHT-S68/S424-F</t>
  </si>
  <si>
    <t>бежевый/ваниль</t>
  </si>
  <si>
    <t>- Стул под "искусственный ротанг" - это комфортное времяпровождение в загородном доме, саду, летней
веранде, кафе и ресторанах;
- Более практичный аналог мебели из ротанга, не требует особого ухода, не растягивается, не расплетается;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Каркас выполнен из формованной металлической трубы и имеют конусообразную форму, что придает стулу
элегантный и стильный вид (диаметр/толщина - 28/0,8мм). Каркас окрашен порошковой краской, стойкой
к механическим повреждениям;
- Можно штабелировать, что позволяет экономить место при хранении;
- В рабочем положении (стул стоит на опорах) штабелируется по 5 штук;
- Максимальная статическая нагрузка - 200 кг.
- Гарантия 2 года.</t>
  </si>
  <si>
    <t>черно-коричневый/коричневый муар</t>
  </si>
  <si>
    <t>Стул Sheffilton SHT-S68/S424-С</t>
  </si>
  <si>
    <t>бежевый/хром лак (цинк)</t>
  </si>
  <si>
    <t>- Стул под "искусственный ротанг" - это комфортное времяпровождение в загородном доме, саду, летней
веранде, кафе и ресторанах;
- Более практичный аналог мебели из ротанга, не требует особого ухода, не растягивается, не расплетается;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Надежные металлические опоры оцинкованы и окрашены порошковой краской, что обеспечивает долгую службу
и защиту от коррозийных процессов;
- Можно штабелировать, что позволяет экономить место при хранении;
- В рабочем положении (стул стоит на опорах) штабелируется по 5 штук;
- Максимальная статическая нагрузка - 200 кг.
- Гарантия 2 года.</t>
  </si>
  <si>
    <t>коричневый/темный орех</t>
  </si>
  <si>
    <t>- Стул под "искусственный ротанг" - это комфортное времяпровождение в загородном доме, саду, летней
веранде, кафе и ресторанах;
- Более практичный аналог мебели из ротанга, не требует особого ухода, не растягивается, не расплетается;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Надежные металлические опоры окрашены порошковой краской, что обеспечивает долгую службу;
- Можно штабелировать, что позволяет экономить место при хранении;
- В рабочем положении (стул стоит на опорах) штабелируется по 5 штук;
- Максимальная статическая нагрузка - 200 кг.
- Гарантия 2 года.</t>
  </si>
  <si>
    <t>СТ-324</t>
  </si>
  <si>
    <t>бежевый/светлый орех</t>
  </si>
  <si>
    <t>Стул Sheffilton SHT-S75</t>
  </si>
  <si>
    <t>СТ-75</t>
  </si>
  <si>
    <t>голубой Pan 278/хром лак</t>
  </si>
  <si>
    <t>ТОВАР ДОСТУПЕН ПОД ЗАКАЗ ОТ 50 ШТУК!
-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</si>
  <si>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коричневый/ваниль</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</si>
  <si>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</si>
  <si>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</si>
  <si>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Стул Sheffilton SHT-S75-1</t>
  </si>
  <si>
    <t>зеленый/черный муар</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</si>
  <si>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</si>
  <si>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СТ-105</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</si>
  <si>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</si>
  <si>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желтый RAL1021/хром лак</t>
  </si>
  <si>
    <t>Стул Sheffilton SHT-S75-F</t>
  </si>
  <si>
    <t>желтый/коричневый муар</t>
  </si>
  <si>
    <t>Опоры стульев выполнены из формованной трубы и имеют конусообразную форму, что придает стулу элегантный
и стильный вид.
Идеально подходят для кафе, баров, фаст-фудов и отлично вписываются в домашнее пространство.
- Сидение выполнено из полипропилена с армирующими добавками, которые обеспечивают дополнительную
ПРОЧНОСТЬ И ДОЛГОВЕЧНОСТЬ.
- Поверхность стула имеет ДЕКОРАТИВНУЮ ОТДЕЛКУ "под кожу" с прострочкой, что придает ему оригинальный
и эстетичный внешний вид.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Можно ШТАБЕЛИРОВАТЬ, что позволяет экономить место при хранении, штабелируется по 5 штук.
- Каркас выполнен из МЕТАЛЛа, что обеспечивает ПРОЧНОСТЬ изделия (диаметр/толщина - 28/0,8мм).
- НАДЕЖНЫЕ ОПОРЫ окрашены порошковой краской, стойкой к механическим повреждениям.
УПАКОВКА И ГАРАНТИЯ
Максимальная статическая нагрузка - 200 кг.
Изделие разборное. Упаковка - полиэтилен и картон.
Гарантия 2 года.</t>
  </si>
  <si>
    <t>СТ-217</t>
  </si>
  <si>
    <t>Стул Sheffilton SHT-S76</t>
  </si>
  <si>
    <t>CT-76</t>
  </si>
  <si>
    <t>красный/черный муар (цинк)</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</si>
  <si>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
Рекомендуем стул для Точка Роста</t>
  </si>
  <si>
    <t>оранжевый/коричневый муар</t>
  </si>
  <si>
    <t>ТОВАР ДОСТУПЕН ПОД ЗАКАЗ ОТ 50 ШТУК!
-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</si>
  <si>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СТ-76</t>
  </si>
  <si>
    <t>желтый/хром лак</t>
  </si>
  <si>
    <t>ТОВАР ДОСТУПЕН ПОД ЗАКАЗ ОТ 50 ШТУК!
-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оцинкованы и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на стул 200 кг.
- Гарантия 2 года.</t>
  </si>
  <si>
    <t>- Отлично подходит для дома, дачи, кафе, баров, фаст-фудов.
- Поверхность стула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НАДЕЖНЫЕ МЕТАЛЛИЧЕСКИЕ ОПОРЫ окрашены порошковой краской, что обеспечивает долгую службу и защиту
от коррозийных процессов (диаметр/толщина - 28/0,8 мм)
- Можно ШТАБЕЛИРОВАТЬ по 5 шт., что позволяет экономить место при хранении.
- Максимальная статическая нагрузка - 200 кг.
- Гарантия 2 года.</t>
  </si>
  <si>
    <t>Стул Sheffilton SHT-S76-1</t>
  </si>
  <si>
    <t>СТ-142</t>
  </si>
  <si>
    <t>Стул Sheffilton SHT-S76-F</t>
  </si>
  <si>
    <t>коричневый/коричневый муар</t>
  </si>
  <si>
    <t>Опоры стульев выполнены из формованной трубы и имеют конусообразную форму, что придает стулу элегантный
и стильный вид.
Идеально подходят для кафе, баров, фаст-фудов и отлично вписываются в домашнее пространство.
- Сидение выполнено из полипропилена с армирующими добавками, которые обеспечивают дополнительную
ПРОЧНОСТЬ И ДОЛГОВЕЧНОСТЬ.
- Поверхность стула имеет ДЕКОРАТИВНУЮ ОТДЕЛКУ "под кожу" с прострочкой, что придает ему оригинальный
и эстетичный внешний вид.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Можно ШТАБЕЛИРОВАТЬ, что позволяет экономить место при хранении, штабелируется по 5 штук.
- Каркас выполнен из МЕТАЛЛа, что обеспечивает ПРОЧНОСТЬ изделия (диаметр/толщина - 28/0,8мм).
- НАДЕЖНЫЕ ОПОРЫ окрашены порошковой краской, стойкой к механическим повреждениям.
- Максимальная статическая нагрузка - 200 кг.
УПАКОВКА И ГАРАНТИЯ
Изделие разборное. Упаковка - полиэтилен и картон.
Гарантия 2 года.</t>
  </si>
  <si>
    <t>мятный/ваниль</t>
  </si>
  <si>
    <t>ТОВАР ДОСТУПЕН ПОД ЗАКАЗ ОТ 50 ШТУК!
Опоры стульев выполнены из формованной трубы и имеют конусообразную форму, что придает стулу элегантный
и стильный вид.
Идеально подходят для кафе, баров, фаст-фудов и отлично вписываются в домашнее пространство.
- Сидение выполнено из полипропилена с армирующими добавками, которые обеспечивают дополнительную
ПРОЧНОСТЬ И ДОЛГОВЕЧНОСТЬ.
- Поверхность стула имеет ДЕКОРАТИВНУЮ ОТДЕЛКУ "под кожу" с прострочкой, что придает ему оригинальный
и эстетичный внешний вид.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Можно ШТАБЕЛИРОВАТЬ, что позволяет экономить место при хранении, штабелируется по 5 штук.
- Каркас выполнен из МЕТАЛЛа, что обеспечивает ПРОЧНОСТЬ изделия (диаметр/толщина - 28/0,8мм).
- НАДЕЖНЫЕ ОПОРЫ окрашены порошковой краской, стойкой к механическим повреждениям.
- Максимальная статическая нагрузка - 200 кг.
УПАКОВКА И ГАРАНТИЯ
Изделие разборное. Упаковка - полиэтилен и картон.
Гарантия 2 года.</t>
  </si>
  <si>
    <t>Стул Sheffilton SHT-S85</t>
  </si>
  <si>
    <t>бежевый/пастельно-розовый</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</si>
  <si>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Стул выполнен из полипропилена с армирующими добавками и выдерживает продолжительные нагрузки.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</si>
  <si>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белый/пастельно-голубой/черный</t>
  </si>
  <si>
    <t>ДАННАЯ МОДЕЛЬ ДОСТУПНА ПОД ЗАКАЗ ОТ 50 ШТУК!
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Стул выполнен из полипропилена с армирующими добавками и выдерживает продолжительные нагрузки.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</si>
  <si>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зеленый ral6018/черный</t>
  </si>
  <si>
    <t>мятный/бежевый</t>
  </si>
  <si>
    <t>оранжевый/бежевый</t>
  </si>
  <si>
    <t>пастельно-голубой/черный</t>
  </si>
  <si>
    <t>синий морена 1604559-е/черный</t>
  </si>
  <si>
    <t>фиолетовый pan 2582/черный</t>
  </si>
  <si>
    <t>черный/оранжевый/черный</t>
  </si>
  <si>
    <t>СТ-85</t>
  </si>
  <si>
    <t>бежевый/белый/черный</t>
  </si>
  <si>
    <t>бежевый/желтый/черный</t>
  </si>
  <si>
    <t>белый/бежевый/бежевый</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</si>
  <si>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Стул выполнен из полипропилена с армирующими добавками и выдерживает продолжительные нагрузки.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</si>
  <si>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белый/черный/бежевый</t>
  </si>
  <si>
    <t>желтый/черный/бежевый</t>
  </si>
  <si>
    <t>черный/бежевый</t>
  </si>
  <si>
    <t>черный/желтый/бежевый</t>
  </si>
  <si>
    <t>черный/красный/черный</t>
  </si>
  <si>
    <t>черный/черный/красный</t>
  </si>
  <si>
    <t>Стул Sheffilton SHT-S85-1</t>
  </si>
  <si>
    <t>Уникальное исполнение деревянных частей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Cпинка и сидение Sheffilton выполнены из натурального массива бука. Материал покрыт защитным слоем
лака, экологичен и практичен в использовании. Форма спинки изогнута, что добавляет удобства при посадке.
Форма сидения имеет скошенные края, что придет ему эстетичность и элегантность.
Каркас стула выполнен из полипропилена с армирующими добавками и выдерживает продолжительные нагрузки.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</si>
  <si>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Стул Sheffilton SHT-S85-2</t>
  </si>
  <si>
    <t>СТ-231</t>
  </si>
  <si>
    <t>бежевый/бежевый</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</si>
  <si>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Стул выполнен из полипропилена с армирующими добавками и выдерживает продолжительные нагрузки.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СПИНКИ И СИДЕНИЯ обеспечивает прочность конструкции, придает эффектный внешний вид и не боится
длительного воздействия воды, позволяя использовать на улице.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</si>
  <si>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белый/коричневый/бежевый</t>
  </si>
  <si>
    <t>серый/голубой/черный муар</t>
  </si>
  <si>
    <t>Стул Sheffilton SHT-S85-C12</t>
  </si>
  <si>
    <t>СТ-234</t>
  </si>
  <si>
    <t>кремовый/бежевый</t>
  </si>
  <si>
    <t>микровелюр/пластик</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</si>
  <si>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Мягкое сидение и спинка Sheffilton сшиты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Максимальная статическая
нагрузка на готовый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</si>
  <si>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кож.зам./пластик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</si>
  <si>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Мягкие спинка и сидение выполнены из кож.зама. Каркас выполнен из полипропилена с армирующими добавками
и выдерживает продолжительные нагрузки.
Максимальная статическая нагрузка на стул 260 кг.
ПРЕКРАСНАЯ ЭРГОНОМИКА
Вращение спинки позволяет снизить утомляемость, повысить трудоспособность и обеспечить удобную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СТАНЬТЕ ДИЗАЙНЕРОМ СВОЕГО СТУЛА!
Стул состоит из сидения SHT-ST85-C12, спинки SHT-SB85-C12 и каркаса SHT-S85. Вы можете выбрать любую
модель и цвет стула в нашем конструкторе.
УПАКОВКА
Каркас полностью разборный и имеет плоскую упаковку.
ГАРАНТИЯ 2 ГОДА.</t>
  </si>
  <si>
    <t>Стул Sheffilton SHT-S85M-1</t>
  </si>
  <si>
    <t>прозрачный лак/хром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</si>
  <si>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Cпинка и сиденье выполнены из натурального массива бука. Материал покрыт защитным слоем лака, экологичен
и практичен в использовании. Форма спинки изогнута, что добавляет удобства при посадке. Форма сидения
имеет скошенные края, что придет ему эстетичность и элегантность. Металлический каркас покрыт порошковой
краской, устойчивой к механическому воздействию (толщина/диаметр каркаса 18/1,5 мм)
Максимальная статическая нагрузка на стул 200 кг.
ПРЕКРАСНАЯ ЭРГОНОМИКА
Вращение спинки позволяет снизить утомляемость, повысить трудоспособность и обеспечить удобную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СТАНЬТЕ ДИЗАЙНЕРОМ СВОЕГО СТУЛА!
Стул состоит из сидения SHT-ST85-1, спинки SHT-SB85-1 и каркаса SHT-S85М. Вы можете выбрать любую
модель и цвет стула в нашем конструкторе.
УПАКОВКА
Каркас полностью разборный и имеет плоскую упаковку.
ГАРАНТИЯ 2 ГОДА.</t>
  </si>
  <si>
    <t>Стул Sheffilton SHT-S85M-C12</t>
  </si>
  <si>
    <t>кож.зам./металл</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</si>
  <si>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Мягкие спинка и сидение выполнены из кож.зама. Металлический каркас покрыт порошковой краской, устойчивой
к механическому воздействию (толщина/диаметр каркаса 18/1,5 мм)
Максимальная статическая нагрузка на стул 200 кг.
ПРЕКРАСНАЯ ЭРГОНОМИКА
Вращение спинки позволяет снизить утомляемость, повысить трудоспособность и обеспечить удобную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СТАНЬТЕ ДИЗАЙНЕРОМ СВОЕГО СТУЛА!
Стул состоит из сидения SHT-ST85-C12, спинки SHT-SB85-C12 и каркаса SHT-S85М. Вы можете выбрать любую
модель и цвет стула в нашем конструкторе.
УПАКОВКА
Каркас полностью разборный и имеет плоскую упаковку.
ГАРАНТИЯ 2 ГОДА.</t>
  </si>
  <si>
    <t>Стул Sheffilton SHT-S85PB-1</t>
  </si>
  <si>
    <t>СТ-278</t>
  </si>
  <si>
    <t>черный/красный/черный муар</t>
  </si>
  <si>
    <t>АДАПТИВНОЕ УЧЕБНОЕ МЕСТО ШКОЛЬНИКА ОТ SHEFFILTON
Большую часть времени дети школьного возраста проводят в положении сидя: в школе, дополнительные курсы,
дома за уроками, за компьютером. Основная задача - это организовать рабочее место и подобрать удобный
стул. Именно он должен правильно поддерживать положение спины, регулироваться по высоте, быть надежным
и устойчивым, чтобы ребенок чувствовал себя комфортно.
1. РЕГУЛИРУЕМЫЙ ПО ВЫСОТЕ
Функция регулировки по высоте обеспечивает комфортное положение и поможет в выработке правильной осанки.
Изменение высоты стула в соответствии с ростовой группой осуществляется путем регулировки нижней части
опор каркаса с помощью винтов. Каркас подходит для 4-й (средний рост 150 см), 5-й (средний рост 165
см) и 6-й (средний рост 180 см) ростовой группы.
2. РЕГУЛИРУЕМЫЕ ОПОРЫ
Стул легко подстраивается под неровный пол и всегда имеет устойчивое положение. 
3. ПРЕКРАСНАЯ ЭРГОНОМИКА
Спинка стула с поворотным механизмом подстраивается под каждое движение тела. Спинка поддерживает
позвоночник, снижает утомляемость и обеспечивает удобную посадку.
4. НАДЕЖНОСТЬ
Каркас стула выполнен из металла. Надежный металлический каркас окрашен порошковой краской, устойчивой
к механическому воздействию.
Сидение и спинка выполнены из полипропилена с армирующими добавками, что обеспечивает долговечность
и износостойкость.
5. БЕЗОПАСНОСТЬ
Все стулья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на стул – 200кг.
6. ШТАБЕЛИРУЕТСЯ до 5 шт, что позволяет экономить пространство и удобно хранить во время уборки.
7.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8. ВНЕШНИЙ ВИД
Перфорация спинки и сидения, металлический каркас придают легкость всей конструкции стула. А современный
стиль позволит создать позитивную учебную атмосферу.
9. СТАНЬТЕ ДИЗАЙНЕРОМ СВОЕГО СТУЛА!
Вы можете выбрать любой цвет сидения, спинки или каркаса в нашем конструкторе.</t>
  </si>
  <si>
    <t>черный/черный/черный муар</t>
  </si>
  <si>
    <t>Стул Sheffilton SHT-S85М</t>
  </si>
  <si>
    <t>ДАННАЯ МОДЕЛЬ ДОСТУПНА ПОД ЗАКАЗ ОТ 50 ШТУК!
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</si>
  <si>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белый/пастельно-розовый/хром лак</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</si>
  <si>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ПЕРЕНОСИТ ВОЗДЕЙСВИЕ ЛЮБЫХ ПОГОДНЫХ УСЛОВИЙ
Сидение и спинка стула выполнены из атмосферостойкого пластика. Устойчивы к прямым солнечным лучам,
не деформируются и не изменяют цвет. Можно использовать на открытом воздухе при температуре от -15
С до +40С.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</si>
  <si>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желтый/белый/хром лак</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</si>
  <si>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</si>
  <si>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мятный/хром лак</t>
  </si>
  <si>
    <t>ДАННАЯ МОДЕЛЬ ДОСТУПНА ПОД ЗАКАЗ ОТ 50 ШТУК!
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И СИДЕНИЯ обеспечивает легкость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</si>
  <si>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оранжевый/черный муар</t>
  </si>
  <si>
    <t>пастельно-голубой/хром лак</t>
  </si>
  <si>
    <t>синий морена 1604559-е/хром лак</t>
  </si>
  <si>
    <t>черный/оранжевый/черный муар</t>
  </si>
  <si>
    <t>СТ-208</t>
  </si>
  <si>
    <t>белый/бежевый/хром лак</t>
  </si>
  <si>
    <t>желтый/черный</t>
  </si>
  <si>
    <t>красный/черный муар</t>
  </si>
  <si>
    <t>черный/бежевый/черный муар</t>
  </si>
  <si>
    <t>Стул Sheffilton SHT-S85М-2</t>
  </si>
  <si>
    <t>бежевый/бежевый/хром лак</t>
  </si>
  <si>
    <t>пластик/пластик/металл</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</si>
  <si>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СПИНКИ И СИДЕНИЯ обеспечивает прочность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</si>
  <si>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бежевый/черный/хром лак</t>
  </si>
  <si>
    <t>В КОМПЛЕКТЕ ОДИН СТУЛ.
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СПИНКИ И СИДЕНИЯ обеспечивает прочность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</si>
  <si>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красный/красный/хром лак</t>
  </si>
  <si>
    <t>мятный/белый/черный муар</t>
  </si>
  <si>
    <t>ТОВАР ДОСТУПЕН ПОД ЗАКАЗ ОТ 50 ШТУК!
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ШТАБЕЛИРУЕТСЯ, что позволяет значительно экономить пространство при хранении.
ПРЕКРАСНАЯ ЭРГОНОМИКА
Вращение спинки позволяет снизить утомляемость, повысить трудоспособность и обеспечить удобную посадку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СПИНКИ И СИДЕНИЯ обеспечивает прочность конструкции, придает эффектный внешний вид и не боится
длительного воздействия воды, позволяя использовать на улице.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</si>
  <si>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пастельно-розовый/хром лак</t>
  </si>
  <si>
    <t>СТ-307</t>
  </si>
  <si>
    <t>бежевый/черный/черный муар</t>
  </si>
  <si>
    <t>красный/черный/черный муар</t>
  </si>
  <si>
    <t>Стул Sheffilton SHT-S85М-C12</t>
  </si>
  <si>
    <t>кремовый/хром лак</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</si>
  <si>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Мягкое сидение и спинка Sheffilton сшиты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</si>
  <si>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СТ-205</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</si>
  <si>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Стул ШАБЕЛИРУЕТСЯ, что позволяет
значительно съекономить пространство при хранении.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КЛАССИЧЕСКИЙ ВИД стулу придает стеганое сиденье и спинка из кож.зама. Благодаря натуральному цвету
кож. зама – готовое кресло способен преобразить обстановку и добавить естественности! Обращаем внимание
на детали, мягкое сидение, отведенная назад спинка отвечают за вашу эргономичную посадку. Стул изысканно
смотрится при любом варианте освещения: и естественном, и искусственном, а также легко чистится.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</si>
  <si>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Стул Sheffilton SHT-S90</t>
  </si>
  <si>
    <t>СТ-43</t>
  </si>
  <si>
    <t>прозрачный лак/т.серый RAL7022</t>
  </si>
  <si>
    <t>ТОВАР ДОСТУПЕН ПОД ЗАКАЗ ОТ 50 ШТУК!
Материалы и высокий уровень исполнения говорят о прочности и долговечности стула. Сидение и спинка
выполнены из массива дуба. Естественный рисунок и текстура дерева подчеркнута покрытием из прозрачного
лака. Стул SHT-S90 отлично впишется в лофт пространство. Эффектно будет смотреться в интерьере паба,
бара, кафе.
Уникальность стула SHT-S90 составляют несколько отличительных черт:
- На сидение нанесено специальное углубление для большего тактильного комфорта
- Тыльная сторона оригинального сидения имеет фрезеровку, что значительно облегчает конструкцию
- Между деревянным сидением и каркасом проложен герметик, что позволяет избежать скрипов и повышает
надежность крепления
- Под сидением, каркас связан "косынками" для повышения жесткости
- В стуле не используется ни одной пластиковой заглушки
- Металлические детали сварены между собой цельносварными швами. Такой тип сварки делает конструкцию
еще более надежной
- Каркас стула выполнен из металлической трубы, длиной/шириной 20 мм. и окрашен порошковой краской,
устойчивой к механическому воздействию;
- Используйте стул в помещении или на закрытой веранде;
- Толщина сиденья: 15 мм.;
- Размеры спинки: высота 150 мм., ширина 400 мм.;
- Максимальная статическая нагрузка на стул 300 кг;
- Гарантия 2 года.</t>
  </si>
  <si>
    <t>Материалы и высокий уровень исполнения говорят о прочности и долговечности стула. Сидение и спинка
выполнены из массива дуба. Естественный рисунок и текстура дерева подчеркнута покрытием из прозрачного
лака. Спинка, окрашенная в приятный цвет лосось RAL3022, добавит изюминку в любое цветовое решение
интерьера. Стул SHT-S90 отлично впишется в лофт пространство. Эффектно будет смотреться в интерьере
паба, бара, кафе.
Уникальность стула SHT-S90 составляют несколько отличительных черт:
- На сидение нанесено специальное углубление для большего тактильного комфорта
- Тыльная сторона оригинального сидения имеет фрезеровку, что значительно облегчает конструкцию
- Между деревянным сидением и каркасом проложен герметик, что позволяет избежать скрипов и повышает
надежность крепления
- Под сидением, каркас связан "косынками" для повышения жесткости
- В стуле не используется ни одной пластиковой заглушки
- Металлические детали сварены между собой цельносварными швами. Такой тип сварки делает конструкцию
еще более надежной
- Каркас стула выполнен из металлической трубы, длиной/шириной 20 мм. и окрашен порошковой краской,
устойчивой к механическому воздействию;
- Используйте стул в помещении или на закрытой веранде;
- Толщина сиденья: 15 мм.;
- Размеры спинки: высота 150 мм., ширина 400 мм.;
- Максимальная статическая нагрузка на стул 300 кг;
- Гарантия 2 года.</t>
  </si>
  <si>
    <t>Стул Sheffilton SHT-ST10-1/S37</t>
  </si>
  <si>
    <t>ноче рубино/хром лак</t>
  </si>
  <si>
    <t>гнутая фанера/металл</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</si>
  <si>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SHT-ST10-1 и каркаса SHT-S37.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</si>
  <si>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Sheffilton SHT-ST10-1/S39</t>
  </si>
  <si>
    <t>СТ-302</t>
  </si>
  <si>
    <t>дуб выбеленный/светлый орех</t>
  </si>
  <si>
    <t>гнутая фанера/дерево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</si>
  <si>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SHT-ST10-1 и каркаса SHT-S39.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</si>
  <si>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Sheffilton SHT-ST10-1/S86 HD</t>
  </si>
  <si>
    <t>дуб выбеленный/хром лак</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</si>
  <si>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ПРЕКРАСНАЯ ЭРГОНОМИКА
Изогнутая спинка сидения обеспечивает удобную посадку и комфортное времяпровождение.
УСЛОВИЯ ИСПОЛЬЗОВАНИЯ
Использовать сидение только в помещении или на закрытой веранде.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Классическая форма УСИЛЕННОГО КАРКАСА SHT-S86 HD позволяет активно использовать готовый стул в любом
интерьере кафе с большой проходимостью.
НАДЕЖНЫЕ МЕТАЛЛИЧЕСКИЕ ОПОРЫ окрашены порошковой краской, устойчивой к механическому воздействию.
Эксплуатировать в сухом помещении или на крытых летних верандах. Не использовать на улице!</t>
  </si>
  <si>
    <t>Стул Sheffilton SHT-ST10-2/S62</t>
  </si>
  <si>
    <t>дуб кера/хром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</si>
  <si>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SHT-ST10-2 и каркаса SHT-S62.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</si>
  <si>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дуб кера/черный муар</t>
  </si>
  <si>
    <t>Стул Sheffilton SHT-ST15-1/S39</t>
  </si>
  <si>
    <t>дуб выбеленный/темный орех</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</si>
  <si>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SHT-ST15-1 и каркаса SHT-S39.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</si>
  <si>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Sheffilton SHT-ST15-1/S70</t>
  </si>
  <si>
    <t>СТ-427</t>
  </si>
  <si>
    <t>венге/темный орех/черный</t>
  </si>
  <si>
    <t>гнутая фанера/дерево/металл</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</si>
  <si>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SHT-ST15-1 и каркаса SHT-S70.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</si>
  <si>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Sheffilton SHT-ST15-1/S74</t>
  </si>
  <si>
    <t>венге/черный зол.патина</t>
  </si>
  <si>
    <t>ТОВАР ДОСТУПЕН ТОЛЬКО ПОД ЗАКАЗ ОТ 20 ШТУК!
Образец отличного каркаса в стиле лофт. Металлические цепи придают истинно мужской характер. Эффектно
будет смотреться в интерьере паба, бара, кафе.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цельносварной металлический, с декоративной отделкой - патинирование "под золото".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SHT-ST15-1 и каркаса SHT-S74.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</si>
  <si>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Sheffilton SHT-ST15-1/S86 HD</t>
  </si>
  <si>
    <t>дуб выбеленный/черный муар</t>
  </si>
  <si>
    <t>Стул Sheffilton SHT-ST15-2/S62</t>
  </si>
  <si>
    <t>СТ-223</t>
  </si>
  <si>
    <t>трансильвания/хром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</si>
  <si>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SHT-ST15-2 и каркаса SHT-S62.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</si>
  <si>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трансильвания/черный муар</t>
  </si>
  <si>
    <t>Стул Sheffilton SHT-ST16/S37</t>
  </si>
  <si>
    <t>СТ-336</t>
  </si>
  <si>
    <t>дуб брашированный/медный</t>
  </si>
  <si>
    <t>Сочетание металла и дерева действительно создают желаемый эффект. Металл - верный спутник хай-тека,
дерево несет в себе благородство тепла и цвета. В современных дизайнерских проектах ему точно найдется
достойное место.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Стул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Изящный в своей простоте, визуально лёгкий и прочный каркас;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НАДЕЖНЫЙ МЕТАЛЛИЧЕСКИЙ КАРКАС окрашен порошковой краской, устойчивой к механическому воздействию;
- Максимальная статическая нагрузка - 260 кг.</t>
  </si>
  <si>
    <t>дуб брашированный/черный</t>
  </si>
  <si>
    <t>Стул Sheffilton SHT-ST16/S38</t>
  </si>
  <si>
    <t>СТ-376</t>
  </si>
  <si>
    <t>дуб брашированный/черный муар</t>
  </si>
  <si>
    <t>Стул выполнен в элегантной форме, имеет чёткие, плавные линии, прочный и устойчивый.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Высота каркаса 430 мм;
- Расстояние между опорами 510 мм;
- Диаметр/толщина: 18/1,5 мм;
- НАДЕЖНЫЙ МЕТАЛЛИЧЕСКИЙ КАРКАС окрашен порошковой краской, устойчивой к механическому воздействию;
- Максимальная статическая нагрузка - 200 кг.
- Гарантия 2 года.</t>
  </si>
  <si>
    <t>Стул Sheffilton SHT-ST16/S70</t>
  </si>
  <si>
    <t>натуральный дуб/дерево/металл</t>
  </si>
  <si>
    <t>- Модный, стильный, симпатичный.
- Идеально подойдет для помещений, оформленных в лофт или эко-стиле.
- Сидение из массива дуба, прочной и твердой древесины..
- Диаметр/толщина сидения - 350/25 мм.
- Естественный рисунок и выразительная фактура дерева подчеркнуты прозрачным лаком.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t>
  </si>
  <si>
    <t>СТ-94</t>
  </si>
  <si>
    <t>дуб брашированный/темный орех</t>
  </si>
  <si>
    <t>дерево (дуб)/дерево</t>
  </si>
  <si>
    <t>Сочетание металла и дерева действительно создают желаемый эффект. Металл - верный спутник хай-тека,
дерево несет в себе благородство тепла и цвета. В современных дизайнерских проектах ему точно найдется
достойное место.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Стул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
- Гарантия 2 года.</t>
  </si>
  <si>
    <t>Стул Sheffilton SHT-ST16/S71</t>
  </si>
  <si>
    <t>дуб брашированный коричневый</t>
  </si>
  <si>
    <t>дерево (дуб)</t>
  </si>
  <si>
    <t>В современных дизайнерских проектах стулу SHT-ST16/S74 точно найдется достойное место! Каждое изделие
обработано технологией "браширование" - искусстенное старение и покрыто прозрачным лаком, что обеспечивает
защиту от внешних воздействий. Отлично впишется в интерьер стиля "лофт".
- Диаметр/толщина сидения - 350/25 мм.;
- Каркас выполнен из МАССИВА ДРЕВЕСИНЫ дуба, 30х30 мм. и перекладины 60х10 мм.;
- Ширина передних опор 410 мм; задних 400 мм.;
- Максимальная статическая нагрузка - 200 кг.
- Гарантия 2 года.</t>
  </si>
  <si>
    <t>Стул Sheffilton SHT-ST16/S74</t>
  </si>
  <si>
    <t>дуб брашированный/черный зол.патина</t>
  </si>
  <si>
    <t>ТОВАР ДОСТУПЕН ТОЛЬКО ПОД ЗАКАЗ ОТ 20 ШТУК!
Металлические цепи придают стулу истинно мужской характер.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Стул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Каркас цельносварной металлический, с декоративной отделкой - патинирование "под золото";
- Максимальная статическая нагрузка - 260 кг.
- Гарантия 2 года.</t>
  </si>
  <si>
    <t>Стул Sheffilton SHT-ST18-1/S106</t>
  </si>
  <si>
    <t>темный янтарь/черный муар</t>
  </si>
  <si>
    <t>дерево/эпоксидная смола/металл</t>
  </si>
  <si>
    <t>Идеально подойдет для помещений, оформленных в лофт или эко-стиле.
ПРОЧНОСТЬ И ДОЛГОВЕЧНОСТЬ
Сидение выполнено из спила ствола дерева (слэб). Уникальность рисунка сидения сохранена с помощью
заливки из эпоксидной смолы.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SHT-ST18-1 и каркаса SHT-S106. Вы можете выбрать любую модель и цвет стула
в нашем конструкторе.
ГАРАНТИЯ 2 ГОДА.</t>
  </si>
  <si>
    <t>Стул Sheffilton SHT-ST19/S100</t>
  </si>
  <si>
    <t>СТ-407</t>
  </si>
  <si>
    <t>-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Расстояние между опорами 460 мм;
- Диаметр/толщина каркаса: 18/1,5 мм;
- Расстояние между креплениями: задние опоры - 117 мм., передние - 183 мм., глубина - 167 мм.;
- Максимальная статическая нагрузка - 260 кг.</t>
  </si>
  <si>
    <t>белый/черный муар</t>
  </si>
  <si>
    <t>Стул Sheffilton SHT-ST19/S106</t>
  </si>
  <si>
    <t>СТ-496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</si>
  <si>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SHT-ST19 и каркаса SHT-S106. Вы можете выбрать любую модель и цвет стула в
нашем конструкторе.
ГАРАНТИЯ 2 ГОДА.</t>
  </si>
  <si>
    <t>Стул Sheffilton SHT-ST19/S107</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</si>
  <si>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SHT-ST19 и каркаса SHT-S107. Вы можете выбрать любую модель и цвет стула в
нашем конструкторе.
ГАРАНТИЯ 2 ГОДА.</t>
  </si>
  <si>
    <t>СТ-337</t>
  </si>
  <si>
    <t>Стул Sheffilton SHT-ST19/S37</t>
  </si>
  <si>
    <t>СТ-211</t>
  </si>
  <si>
    <t>-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Расстояние между опорами 460 мм;
- Диаметр/толщина каркаса: 18/1,5 мм;
- Расстояние между креплениями: задние опоры - 117 мм., передние - 183 мм., глубина - 167 мм.;
- Максимальная статическая нагрузка - 260 кг.</t>
  </si>
  <si>
    <t>черный/золото</t>
  </si>
  <si>
    <t> Элегантность пластикового сидения SHT-ST19 данного предмета мебели скрыта в аскетичности и лаконичности
дизайна. Стул с таким сидением и изящным в своей простоте, визуально лёгким и прочным каркасом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Расстояние между опорами 460 мм;
- Диаметр/толщина каркаса: 18/1,5 мм;
- Расстояние между креплениями: задние опоры - 117 мм., передние - 183 мм., глубина - 167 мм.;
- Максимальная статическая нагрузка - 260 кг.</t>
  </si>
  <si>
    <t>Стул Sheffilton SHT-ST19/S38</t>
  </si>
  <si>
    <t>СТ-338</t>
  </si>
  <si>
    <t>-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Высота каркаса 430 мм;
- Расстояние между опорами 510 мм;
- Диаметр/толщина: 18/1,5 мм;
- НАДЕЖНЫЙ МЕТАЛЛИЧЕСКИЙ КАРКАС окрашен порошковой краской, устойчивой к механическому воздействию;
- Максимальная статическая нагрузка - 200 кг;</t>
  </si>
  <si>
    <t>Стул Sheffilton SHT-ST19/S39</t>
  </si>
  <si>
    <t>СТ-124</t>
  </si>
  <si>
    <t>белый/белый/патина серебро</t>
  </si>
  <si>
    <t>пластик/дерево</t>
  </si>
  <si>
    <t>-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Каркас выполнен целиком из натурального дуба. Природный рисунок дерева делает каждый каркас уникальным.
Каждое изделие обработано технологией "браширование" - искусственное старение и покрыто серебряной
патиной, а завершающий белый верхний слой обеспечивает неповторимый внешний вид. Каркас отлично в
пишется в интерьер стиля "лофт".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Максимальная статическая нагрузка - 260 кг.</t>
  </si>
  <si>
    <t>желтый/темный орех</t>
  </si>
  <si>
    <t>Такой стул гармонично и со вкусом будет смотреться в доме, офисе, дизайн-студии, кафе, баре или ресторане;
создаст атмосферу уюта, теплоты и душевности.
- Сидение выполнено из полипропилена;
- Толщина сиденья: 7 мм;
- Расстояние от пола до сидения: 450 мм;
- Каркас выполнен из МАССИВА ДРЕВЕСИНЫ и окрашен лаком, что обеспечивает высокую устойчивость к механическим
повреждениям;
- Максимальная статическая нагрузка - 260 кг.;
- Гарантия 2 года.</t>
  </si>
  <si>
    <t>Стул Sheffilton SHT-ST19/S64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</si>
  <si>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SHT-ST19 и каркаса SHT-S64. Вы можете выбрать любую модель и цвет стула в
нашем конструкторе.
ГАРАНТИЯ 2 ГОДА.</t>
  </si>
  <si>
    <t>СТ-532</t>
  </si>
  <si>
    <t>Стул Sheffilton SHT-ST19/S70</t>
  </si>
  <si>
    <t>черный/черный/прозрачный лак</t>
  </si>
  <si>
    <t>пластик/металл/дерево</t>
  </si>
  <si>
    <t>-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t>
  </si>
  <si>
    <t>черный/черный/темный орех</t>
  </si>
  <si>
    <t>СТ-216</t>
  </si>
  <si>
    <t>желтый/черный/прозрачный лак</t>
  </si>
  <si>
    <t>Стул Sheffilton SHT-ST19/S87</t>
  </si>
  <si>
    <t>-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Высота каркаса 415 мм.;
- Выполнен из прутка толщиной 8 мм. и проволоки толщиной 5 мм.;
- Диаметр верхнего основания 215 мм.;
- Диаметр нижнего основания 470 мм.;
- Пластиковые подпятники позволяют избавить поверхность каркаса и пола от повреждений;
- Максимальная статическая нагрузка - 200 кг.</t>
  </si>
  <si>
    <t>Стул Sheffilton SHT-ST19/S95-1</t>
  </si>
  <si>
    <t>бежевый/белый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</si>
  <si>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Благодаря специальным АТМОСФЕРОСТОЙКИМ СВОЙСТВАМ, сидение переносит воздействие любых погодных условий.
ПРЕКРАСНАЯ ЭРГОНОМИКА сидения обеспечивает удобную посадку и комфортное времяпровождение;
Легкий и ПРОСТОЙ УХОД;</t>
  </si>
  <si>
    <t>белый/белый муар</t>
  </si>
  <si>
    <t>черный/белый муар</t>
  </si>
  <si>
    <t>СТ-460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</si>
  <si>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Сидение выполнено из полипропилена с армирующими добавками, которые обеспечивают дополнительную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Легкий и ПРОСТОЙ УХОД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t>
  </si>
  <si>
    <t>Стул Sheffilton SHT-ST19-SF1/S100</t>
  </si>
  <si>
    <t>СТ-371</t>
  </si>
  <si>
    <t>горький шоколад/чёрный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</si>
  <si>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</si>
  <si>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SHT-ST19-SF1/S107</t>
  </si>
  <si>
    <t>коричневый  сахар/черный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</si>
  <si>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рогожки.
НАДЕЖНЫЙ МЕТАЛЛИЧЕСКИЙ КАРКАС окрашен порошковой краской, устойчивой к механическому воздействию.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</si>
  <si>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SHT-ST19-SF1/S37</t>
  </si>
  <si>
    <t>горький шоколад/медный металлик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</si>
  <si>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микровелюра.
НАДЕЖНЫЙ МЕТАЛЛИЧЕСКИЙ КАРКАС окрашен порошковой краской, устойчивой к механическому воздействию.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</si>
  <si>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СТ-368</t>
  </si>
  <si>
    <t>дымный/хром лак</t>
  </si>
  <si>
    <t>Стул Sheffilton SHT-ST19-SF1/S38</t>
  </si>
  <si>
    <t>горький шоколад/черный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</si>
  <si>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</si>
  <si>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SHT-ST19-SF1/S39</t>
  </si>
  <si>
    <t>дымный/серый</t>
  </si>
  <si>
    <t>микровелюр/дерево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</si>
  <si>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микровелюра.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Специальные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</si>
  <si>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СТ-369</t>
  </si>
  <si>
    <t>горький шоколад/темный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</si>
  <si>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</si>
  <si>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SHT-ST19-SF1/S64</t>
  </si>
  <si>
    <t>коричневый сахар/черный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</si>
  <si>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гармоничных линиях спинки и сидения. Такой модный силуэт доставит эстетическое
удовольствие.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</si>
  <si>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SHT-ST19-SF1/S70</t>
  </si>
  <si>
    <t>СТ-370</t>
  </si>
  <si>
    <t>микровелюр/дерево/металл</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</si>
  <si>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</si>
  <si>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SHT-ST19-SF1/S71</t>
  </si>
  <si>
    <t>СТ-455</t>
  </si>
  <si>
    <t>горький шоколад/брашированный 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</si>
  <si>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Каждое
изделие обработано технологией "браширование" - искусстенное старение и покрыто прозрачным лаком,
что обеспечивает защиту от внешних воздействий. Специальные подпятники обеспечивают защиту каркаса
от царапин, тем самым увеличивая срок службы.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</si>
  <si>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SHT-ST19-SF2/S37</t>
  </si>
  <si>
    <t>ванильный крем/белый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</si>
  <si>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</si>
  <si>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ванильный крем/медный металлик</t>
  </si>
  <si>
    <t>Стул Sheffilton SHT-ST19-SF2/S39</t>
  </si>
  <si>
    <t>ванильный крем/прозрачный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</si>
  <si>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</si>
  <si>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ванильный крем/темный орех</t>
  </si>
  <si>
    <t>Стул Sheffilton SHT-ST19-SF2/S70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</si>
  <si>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</si>
  <si>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SHT-ST27-C1/S37</t>
  </si>
  <si>
    <t>кремовое облако/медный металлик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</si>
  <si>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SHT-ST27-С1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</si>
  <si>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SHT-ST27-C1/S38</t>
  </si>
  <si>
    <t>кремовое облако/хром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</si>
  <si>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SHT-ST27-С1 и каркаса SHT-S38.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</si>
  <si>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SHT-ST29-C12/S113</t>
  </si>
  <si>
    <t>ежевичное вино/черный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</si>
  <si>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оригинальной отстрочке спинки. Рисунок на спинке сидения придает изделию
эффектный вид.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SHT-S113.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</si>
  <si>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SHT-ST29-C12/S130 HD</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</si>
  <si>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Мягкое сидение
модного оттенка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ПРЕКРАСНАЯ ЭРГОНОМИКА
Изогнутая спинка сидения обеспечивает удобную посадку и комфортное времяпровождение.</t>
  </si>
  <si>
    <t>Стул Sheffilton SHT-ST29-C12/S30</t>
  </si>
  <si>
    <t>СТ-285</t>
  </si>
  <si>
    <t>голубая лагуна/хром лак</t>
  </si>
  <si>
    <t>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150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</si>
  <si>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SHT-ST29-C12/S38</t>
  </si>
  <si>
    <t>коричневый сахар/хром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</si>
  <si>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SHT-S38.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</si>
  <si>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SHT-ST29-C12/S39</t>
  </si>
  <si>
    <t>коричневый сахар/темный орех</t>
  </si>
  <si>
    <t>рогожка/дерево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</si>
  <si>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</si>
  <si>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СТ-287</t>
  </si>
  <si>
    <t>голубая лагуна/дуб выбеленный</t>
  </si>
  <si>
    <t>ТОВАР ДОСТУПЕН ТОЛЬКО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SHT-S39. Вы можете выбрать любую модель и цвет стула
в нашем конструкторе.
ГАРАНТИЯ 2 ГОДА.
*Оттенок ткани может меняться в зависимости от партии.</t>
  </si>
  <si>
    <t>голубая лагуна/темный орех</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</si>
  <si>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SHT-S39.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</si>
  <si>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вино/прозрачный лак</t>
  </si>
  <si>
    <t>Стул Sheffilton SHT-ST29-C12/S64</t>
  </si>
  <si>
    <t>голубая лагуна/черный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</si>
  <si>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</si>
  <si>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SHT-ST29-C12/S70</t>
  </si>
  <si>
    <t>голубая лагуна/темный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</si>
  <si>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SHT-S70.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</si>
  <si>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вино/прозрачный лак/черный</t>
  </si>
  <si>
    <t>ежевичное вино/темный орех/черный</t>
  </si>
  <si>
    <t>СТ-343</t>
  </si>
  <si>
    <t>коричневый сахар/темный орех/черный</t>
  </si>
  <si>
    <t>рогожка/дерево/металл</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</si>
  <si>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SHT-S70.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</si>
  <si>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SHT-ST29-C12/S71</t>
  </si>
  <si>
    <t>голубая лагуна/чер/дуб брашированный кор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</si>
  <si>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Обработан технологией "браширование"
- искусственное состаривание для большего эффекта природного рисунка древесины. (30х30 мм. и перекладина
60х10 мм). Покрыт прозрачным лаком, что обеспечивает защиту от внешних воздействий. 
СПЕЦИАЛЬНЫЕ ПОДПЯТНИКИ обеспечивают защиту каркаса от царапин, тем самым увеличивая срок службы;
Отлично впишется в интерьер стиля "лофт".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SHT-S71.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</si>
  <si>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вино/чер/дуб брашированный кор</t>
  </si>
  <si>
    <t>Стул Sheffilton SHT-ST29-C12/S86</t>
  </si>
  <si>
    <t>Лаконичный дизайн стула позволяет добавить его в любой дизайн обеденной группы офиса или домашнего
интерьера. Если Вы хотите использовать каркас в кафе с повышенной проходимостью, то возьмите аналогичную
усиленную модель SHT-S86 HD.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трубы 18х1,5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 и каркаса SHT-S86. Вы можете выбрать любую модель и цвет стула в
нашем конструкторе.
ГАРАНТИЯ 2 ГОДА.
*Оттенок ткани может меняться в зависимости от партии.</t>
  </si>
  <si>
    <t>СТ-239</t>
  </si>
  <si>
    <t>Лаконичный дизайн стула позволяет добавить его в любой дизайн обеденной группы офиса или домашнего
интерьера. Если Вы хотите использовать каркас в кафе с повышенной проходимостью, то возьмите аналогичную
усиленную модель SHT-S86 HD.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трубы 18х1,5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 и каркаса SHT-S86.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</si>
  <si>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SHT-ST29-C12/S98</t>
  </si>
  <si>
    <t>ежевичное вино/хром лак</t>
  </si>
  <si>
    <t>Cтул с визуально тонкими линиями обладает огромным потенциалом в бытовом применении. Отлично подходит
под домашние дизайны, а так же офисы, дизайн-студии, кафе, бары и рестораны.
Мягкое сидение Sheffilton SHT-ST29 сшито из микровелюра. Данный материал мягкий и прятный на ощупь,
обладает хорошей цветоустойчивостью, антистатичностью,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микровелюра, в качестве мягкого наполнителя используется поролон;
- Рекомендация по уходу: чистка пылесосом, для трудновыводимых пятен используйте специальные пятновыводители
для тканей, в соответствии с инструкцией;
- НАДЕЖНЫЙ МЕТАЛЛИЧЕСКИЙ КАРКАС окрашен порошковой краской, устойчивой к механическому воздействию; 
- Ножки каркаса дополнены САМОРЕГУЛИРУЮЩИМИСЯ пластиковыми вставками для максимальной устойчивости
стула на различных поверхностях;
- Уникальный дизайн ручек каркаса позволяет "ПОДВЕСИТЬ" ГОТОВЫЙ СТУЛ на столешницу, что обеспечивает
легкую и быструю уборку;
- ПОДЛОКТНИКИ ЗАЩИЩЕНЫ прорезиненной пластиковой накладкой для дополнительного тактильного комфорта;
- Максимальная статическая нагрузка - 200 кг.
*Оттенок ткани может меняться в зависимости от партии.</t>
  </si>
  <si>
    <t>Стул Sheffilton SHT-ST29-C1/S100</t>
  </si>
  <si>
    <t>оливковый/черный муар</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</si>
  <si>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</si>
  <si>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СТ-294</t>
  </si>
  <si>
    <t>морская глубина/черный муар</t>
  </si>
  <si>
    <t>Изящный в своей простоте, визуально лёгкий стул в стиле хай-тек.
ЗАПАТЕНТОВАНО! Сиденье Sheffilton SHT-ST29 защищено патентом, что гарантирует его уникальность, качество
и надежность.
ПРОЧНОСТЬ И ДОЛГОВЕЧНОСТЬ
Мягкое сидение модного оттенка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</si>
  <si>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SHT-ST29-C1/S130 HD</t>
  </si>
  <si>
    <t>Стул Sheffilton SHT-ST29-C1/S37</t>
  </si>
  <si>
    <t>СТ-267</t>
  </si>
  <si>
    <t>Изящный в своей простоте, визуально лёгкий стул в стиле хай-тек.
ЗАПАТЕНТОВАНО! Сиденье Sheffilton SHT-ST29 защищено патентом, что гарантирует его уникальность, качество
и надежность.
ПРОЧНОСТЬ И ДОЛГОВЕЧНОСТЬ
Мягкое сидение модного оттенка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SHT-S37. Вы можете выбрать любую модель и цвет стула
в нашем конструкторе.
ГАРАНТИЯ 2 ГОДА.
*Оттенок ткани может меняться в зависимости от партии.</t>
  </si>
  <si>
    <t>морская глубина/хром лак</t>
  </si>
  <si>
    <t>Стул Sheffilton SHT-ST29-C1/S64</t>
  </si>
  <si>
    <t>лунный камень/черный муар</t>
  </si>
  <si>
    <t>Стул Sheffilton SHT-ST29-C1/S70</t>
  </si>
  <si>
    <t>СТ-328</t>
  </si>
  <si>
    <t>морская глубина/темный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</si>
  <si>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SHT-S70.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</si>
  <si>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SHT-ST29-C1/S86</t>
  </si>
  <si>
    <t>В КОМПЛЕКТЕ ОДИН СТУЛ.
Лаконичный дизайн стула позволяет добавить его в любой дизайн обеденной группы офиса или домашнего
интерьера. Если Вы хотите использовать каркас в кафе с повышенной проходимостью, то возьмите аналогичную
усиленную модель SHT-S86 HD.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модного оттенка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SHT-S86.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</si>
  <si>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SHT-ST29-C20/S130 HD</t>
  </si>
  <si>
    <t>серый туман/черный муар</t>
  </si>
  <si>
    <t>Стул Sheffilton SHT-ST29-C20/S70</t>
  </si>
  <si>
    <t>серый туман/прозрачный лак/черный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</si>
  <si>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SHT-ST29-C20 и каркаса SHT-S70.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</si>
  <si>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SHT-ST29-C22/S100</t>
  </si>
  <si>
    <t>розовый зефир/черный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</si>
  <si>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t>
  </si>
  <si>
    <t>Стул Sheffilton SHT-ST29-C22/S106</t>
  </si>
  <si>
    <t>розовый зефир/хром лак</t>
  </si>
  <si>
    <t>Стул Sheffilton SHT-ST29-C22/S113</t>
  </si>
  <si>
    <t>Стул Sheffilton SHT-ST29-C22/S130 HD</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</si>
  <si>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Готовый стул ШТАБЕЛИРУЕТСЯ с мягкими или пластиковыми сидениями SHT-ST29.</t>
  </si>
  <si>
    <t>Стул Sheffilton SHT-ST29-C22/S37</t>
  </si>
  <si>
    <t>Стул Sheffilton SHT-ST29-C22/S38</t>
  </si>
  <si>
    <t>Стул Sheffilton SHT-ST29-C22/S39</t>
  </si>
  <si>
    <t>розовый зефир/дуб выбеленный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</si>
  <si>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t>
  </si>
  <si>
    <t>розовый зефир/темный орех</t>
  </si>
  <si>
    <t>Стул Sheffilton SHT-ST29-C22/S70</t>
  </si>
  <si>
    <t>розовый зефир/темный орех/черный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</si>
  <si>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t>
  </si>
  <si>
    <t>Стул Sheffilton SHT-ST29-C22/S95-1</t>
  </si>
  <si>
    <t>розовый зефир/белый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</si>
  <si>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</si>
  <si>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Стул Sheffilton SHT-ST29-C4/S100</t>
  </si>
  <si>
    <t>СТ-256</t>
  </si>
  <si>
    <t>графит/хром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</si>
  <si>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воздействию.Максимальная
статическая нагрузка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</si>
  <si>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Sheffilton SHT-ST29-C4/S106</t>
  </si>
  <si>
    <t>графит/черный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</si>
  <si>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Специальные подпятники обеспечивают защиту каркаса от царапин, тем самым увеличивая срок службы.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</si>
  <si>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Sheffilton SHT-ST29-C4/S112</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</si>
  <si>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 Стул с каркасом
SHT-S112 обеспечит удобную посадку и комфортное времяпровождение.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</si>
  <si>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Sheffilton SHT-ST29-C4/S113</t>
  </si>
  <si>
    <t>графит/чёрный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</si>
  <si>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</si>
  <si>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Sheffilton SHT-ST29-C4/S130 HD</t>
  </si>
  <si>
    <t>Стул Sheffilton SHT-ST29-C4/S38</t>
  </si>
  <si>
    <t>СТ-274</t>
  </si>
  <si>
    <t>Стул Sheffilton SHT-ST29-C4/S39</t>
  </si>
  <si>
    <t>графит/серый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</si>
  <si>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SHT-ST29-C4 и каркаса SHT-S39. Вы можете выбрать любую модель и цвет стула
в нашем конструкторе.
ГАРАНТИЯ 2 ГОДА.
*Оттенок ткани может меняться в зависимости от партии.</t>
  </si>
  <si>
    <t>графит/темный орех</t>
  </si>
  <si>
    <t>Стул Sheffilton SHT-ST29-C4/S64</t>
  </si>
  <si>
    <t>Стул Sheffilton SHT-ST29-C4/S70</t>
  </si>
  <si>
    <t>графит/прозрачный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</si>
  <si>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НАДЁЖНЫЙ КАРКАС.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Максимальная статическая
нагрузка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</si>
  <si>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Sheffilton SHT-ST29-C/S100</t>
  </si>
  <si>
    <t>СТ-237</t>
  </si>
  <si>
    <t>жемчужный/хром лак</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</si>
  <si>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</si>
  <si>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SHT-ST29-C/S130 HD</t>
  </si>
  <si>
    <t>жемчужный/черный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</si>
  <si>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Мягкое сидение
красивого жемчужно оттенка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ПРЕКРАСНАЯ ЭРГОНОМИКА
Изогнутая спинка сидения обеспечивает удобную посадку и комфортное времяпровождение.</t>
  </si>
  <si>
    <t>пепельный/черный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</si>
  <si>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ПРЕКРАСНАЯ ЭРГОНОМИКА
Изогнутая спинка сидения обеспечивает удобную посадку и комфортное времяпровождение.</t>
  </si>
  <si>
    <t>Стул Sheffilton SHT-ST29-C/S38</t>
  </si>
  <si>
    <t>СТ-243</t>
  </si>
  <si>
    <t>пепельный/хром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</si>
  <si>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SHT-S38.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</si>
  <si>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SHT-ST29-C/S70</t>
  </si>
  <si>
    <t>СТ-363</t>
  </si>
  <si>
    <t>пепельный/темный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</si>
  <si>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SHT-S70.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</si>
  <si>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SHT-ST29/S100</t>
  </si>
  <si>
    <t>СТ-221</t>
  </si>
  <si>
    <t>красный RAL3020/хром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</si>
  <si>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SHT-S100. Вы можете выбрать любую модель и цвет стула в
нашем конструкторе.
ГАРАНТИЯ 2 ГОДА.</t>
  </si>
  <si>
    <t>красный RAL3020/черный муар</t>
  </si>
  <si>
    <t>серый ral 7040/хром лак</t>
  </si>
  <si>
    <t>Стул Sheffilton SHT-ST29/S106</t>
  </si>
  <si>
    <t>голубой pan278/хром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</si>
  <si>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SHT-S106. Вы можете выбрать любую модель и цвет стула в
нашем конструкторе.
ГАРАНТИЯ 2 ГОДА.</t>
  </si>
  <si>
    <t>Стул Sheffilton SHT-ST29/S107</t>
  </si>
  <si>
    <t>СТ-245</t>
  </si>
  <si>
    <t>зеленый RAL6018/хром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</si>
  <si>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SHT-S107. Вы можете выбрать любую модель и цвет стула в
нашем конструкторе.
ГАРАНТИЯ 2 ГОДА.</t>
  </si>
  <si>
    <t>Стул Sheffilton SHT-ST29/S112</t>
  </si>
  <si>
    <t>СТ-426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</si>
  <si>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ПРОЧНОСТЬ И ДОЛГОВЕЧНОСТЬ
Сидение выполнено из полипропилена с армирующими добавками и выдерживает продолжительные нагрузки.
Металлический каркас покрыт порошковой краской, устойчивой к механическому воздействию.
Максимальная статическая нагрузка на стул 200 кг.
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SHT-S112. Вы можете выбрать любую модель и цвет стула в
нашем конструкторе.
ГАРАНТИЯ 2 ГОДА.</t>
  </si>
  <si>
    <t>Стул Sheffilton SHT-ST29/S130</t>
  </si>
  <si>
    <t>СТ-386</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</si>
  <si>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По всей площади сидения толщина пластика варьируется от 5 мм до 8 мм из-за конструктивных особенностей.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t>
  </si>
  <si>
    <t>мятный/черный муар</t>
  </si>
  <si>
    <t>Стул Sheffilton SHT-ST29/S130 HD</t>
  </si>
  <si>
    <t>голубой/черный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</si>
  <si>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По всей площади сидения толщина пластика варьируется от 5 мм до 8 мм из-за конструктивных особенностей.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t>
  </si>
  <si>
    <t>пастельно-розовый/черный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</si>
  <si>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тонкие изящные изогнутее ножки.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t>
  </si>
  <si>
    <t>СТ-406</t>
  </si>
  <si>
    <t>красный/чёрный муар</t>
  </si>
  <si>
    <t>Стул Sheffilton SHT-ST29/S30</t>
  </si>
  <si>
    <t>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150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СТАНЬТЕ ДИЗАЙНЕРОМ СВОЕГО СТУЛА!
Стул состоит из сидения SHT-ST29 и каркаса SHT-S30. Вы можете выбрать любую модель и цвет стула в
нашем конструкторе.
ГАРАНТИЯ 2 ГОДА.</t>
  </si>
  <si>
    <t>СТ-230</t>
  </si>
  <si>
    <t>В КОМПЛЕКТЕ ОДИН СТУЛ.
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150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СТАНЬТЕ ДИЗАЙНЕРОМ СВОЕГО СТУЛА!
Стул состоит из сидения SHT-ST29 и каркаса SHT-S30. Вы можете выбрать любую модель и цвет стула в
нашем конструкторе.
ГАРАНТИЯ 2 ГОДА.</t>
  </si>
  <si>
    <t>Стул Sheffilton SHT-ST29/S37</t>
  </si>
  <si>
    <t>СТ-215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</si>
  <si>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SHT-S37. Вы можете выбрать любую модель и цвет стула в
нашем конструкторе.
ГАРАНТИЯ 2 ГОДА.</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</si>
  <si>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SHT-S37. Вы можете выбрать любую модель и цвет стула в
нашем конструкторе.
ГАРАНТИЯ 2 ГОДА.</t>
  </si>
  <si>
    <t>зеленый RAL6018/черный муар</t>
  </si>
  <si>
    <t>коричневый/золото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</si>
  <si>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СТАНЬТЕ ДИЗАЙНЕРОМ СВОЕГО СТУЛА!
Стул состоит из сидения SHT-ST29 и каркаса SHT-S37. Вы можете выбрать любую модель и цвет стула в
нашем конструкторе.
ГАРАНТИЯ 2 ГОДА.</t>
  </si>
  <si>
    <t>Стул Sheffilton SHT-ST29/S37-1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</si>
  <si>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ПРЕКРАСНАЯ ЭРГОНОМИКА. Стул с каркасом SHT-S37-1 обеспечит удобную посадку и комфортное времяпровождение.
Изогнутая спинка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СТАНЬТЕ ДИЗАЙНЕРОМ СВОЕГО СТУЛА! Именно под этот каркас Вы можете выбрать любую модель сидения Sheffilton
в нашем конструкторе.</t>
  </si>
  <si>
    <t>СТ-437</t>
  </si>
  <si>
    <t>серый/черный муар</t>
  </si>
  <si>
    <t>Стул Sheffilton SHT-ST29/S38</t>
  </si>
  <si>
    <t>СТ-255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</si>
  <si>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SHT-S38. Вы можете выбрать любую модель и цвет стула в
нашем конструкторе.
ГАРАНТИЯ 2 ГОДА.</t>
  </si>
  <si>
    <t>Стул Sheffilton SHT-ST29/S39</t>
  </si>
  <si>
    <t>белый/дуб атланта брашированный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</si>
  <si>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Обработан технологией
"браширование" - искусственное состаривание для большего эффекта природного рисунка древесины.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SHT-S39. Вы можете выбрать любую модель и цвет стула в
нашем конструкторе.
ГАРАНТИЯ 2 ГОДА.</t>
  </si>
  <si>
    <t>голубой Pan278/прозрачный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</si>
  <si>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SHT-S39. Вы можете выбрать любую модель и цвет стула в
нашем конструкторе.
ГАРАНТИЯ 2 ГОДА.</t>
  </si>
  <si>
    <t>зеленый RAL6018/белый патина серебро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</si>
  <si>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Обработан технологией
"браширование" - искусственное состаривание для большего эффекта природного рисунка древесины и покрыто
серебряной патиной.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SHT-S39. Вы можете выбрать любую модель и цвет стула в
нашем конструкторе.
ГАРАНТИЯ 2 ГОДА.</t>
  </si>
  <si>
    <t>зеленый RAL6018/брашированный корич.</t>
  </si>
  <si>
    <t>ТОВАР ДОСТУПЕН ТОЛЬКО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Обработан технологией
"браширование" - искусственное состаривание для большего эффекта природного рисунка древесины.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SHT-S39. Вы можете выбрать любую модель и цвет стула в
нашем конструкторе.
ГАРАНТИЯ 2 ГОДА.</t>
  </si>
  <si>
    <t>Стул Sheffilton SHT-ST29/S64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</si>
  <si>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SHT-S64. Вы можете выбрать любую модель и цвет стула в
нашем конструкторе.
ГАРАНТИЯ 2 ГОДА.</t>
  </si>
  <si>
    <t>желтый ral1021/черный муар</t>
  </si>
  <si>
    <t>зеленый ral6018/черный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</si>
  <si>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SHT-S64. Вы можете выбрать любую модель и цвет стула в
нашем конструкторе.
ГАРАНТИЯ 2 ГОДА.</t>
  </si>
  <si>
    <t>оранжевый ral2003/черный муар</t>
  </si>
  <si>
    <t>СТ-262</t>
  </si>
  <si>
    <t>бежевый ral1013/черный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</si>
  <si>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SHT-S64. Вы можете выбрать любую модель и цвет стула в
нашем конструкторе.
ГАРАНТИЯ 2 ГОДА.</t>
  </si>
  <si>
    <t>серый ral040/черный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</si>
  <si>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НАДЕЖНЫЕ МЕТАЛЛИЧЕСКИЕ ОПОРЫ окрашены порошковой краской, устойчивой к механическому воздействию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t>
  </si>
  <si>
    <t>Стул Sheffilton SHT-ST29/S70</t>
  </si>
  <si>
    <t>белый/темный орех/черный муар</t>
  </si>
  <si>
    <t>пластик/дерево/металл</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</si>
  <si>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SHT-S70. Вы можете выбрать любую модель и цвет стула в
нашем конструкторе.
ГАРАНТИЯ 2 ГОДА.</t>
  </si>
  <si>
    <t>красный RAL3020/прозрачный лак/черный</t>
  </si>
  <si>
    <t>Стул Sheffilton SHT-ST29/S71</t>
  </si>
  <si>
    <t>красный RAL3020/дуб брашированный коричн</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</si>
  <si>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Обработан технологией "браширование" - искусственное состаривание
для большего эффекта природного рисунка древесины. (30х30 мм. и перекладина 60х10 мм). Покрыт прозрачным
лаком, что обеспечивает защиту от внешних воздействий. 
СПЕЦИАЛЬНЫЕ ПОДПЯТНИКИ обеспечивают защиту каркаса от царапин, тем самым увеличивая срок службы;
Отлично впишется в интерьер стиля "лофт".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SHT-S71. Вы можете выбрать любую модель и цвет стула в
нашем конструкторе.
ГАРАНТИЯ 2 ГОДА.</t>
  </si>
  <si>
    <t>Стул Sheffilton SHT-ST29/S74</t>
  </si>
  <si>
    <t>зеленый RAL6018/черный зол.патина</t>
  </si>
  <si>
    <t>ТОВАР ДОСТУПЕН ТОЛЬКО ПОД ЗАКАЗ ОТ 20 ШТУК!
Образец отличного каркаса в стиле лофт. Металлические цепи придают истинно мужской характер. Эффектно
будет смотреться в интерьере паба, бара, кафе.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цельносварной металлический, с декоративной отделкой - патинирование "под золото".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SHT-S74. Вы можете выбрать любую модель и цвет стула в
нашем конструкторе.
ГАРАНТИЯ 2 ГОДА.</t>
  </si>
  <si>
    <t>Стул Sheffilton SHT-ST29/S86</t>
  </si>
  <si>
    <t>СТ-240</t>
  </si>
  <si>
    <t>голубой Pan278/черный муар</t>
  </si>
  <si>
    <t>Лаконичный дизайн стула позволяет добавить его в любой дизайн домашнего интерьера. Если Вы хотите
использовать каркас в помещении с повышенной проходимостью, то возьмите аналогичную усиленную модель
SHT-S86 HD.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трубы 18х1,5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SHT-S86. Вы можете выбрать любую модель и цвет стула в
нашем конструкторе.
ГАРАНТИЯ 2 ГОДА.</t>
  </si>
  <si>
    <t>Стул Sheffilton SHT-ST29/S95-1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</si>
  <si>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ПРЕКРАСНАЯ ЭРГОНОМИКА. Стул с каркасом SHT-S95-1 обеспечивает удобную посадку и комфортное времяпровождение.
Изогнутая спинка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Сидение выполнено из полипропилена с армирующими добавками и выдерживает продолжительные
нагрузки.
ЗАПАТЕНТОВАНО! Сиденье Sheffilton SHT-ST29 защищено патентом, что гарантирует его уникальность, качество
и надежность.
ПЕРЕНОСИТ ВОЗДЕЙСТВИЕ ЛЮБЫХ ПОГОДНЫХ УСЛОВИЙ
Сидение выполнено из атмосферостойкого пластика и отлично устойчиво к прямым солнечным лучам, не деформируется
и не изменяет цвет. Можно использовать на открытом воздухе при температуре от -15С до +40С.</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</si>
  <si>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Стул с каркасом SHT-S95-1 обеспечивает удобную посадку и комфортное времяпровождение.
Изогнутая спинка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СТАНЬТЕ ДИЗАЙНЕРОМ СВОЕГО СТУЛА! Именно под этот каркас Вы можете выбрать любую модель сидения Sheffilton
в нашем конструкторе.</t>
  </si>
  <si>
    <t>СТ-413</t>
  </si>
  <si>
    <t>черный/черный муар/золото</t>
  </si>
  <si>
    <t>Стул Sheffilton SHT-ST29/S98</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</si>
  <si>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Стул удобно "ПОДВЕСИТЬ"
на столешницу, что обеспечивает легкую и быструю уборку.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20х1,5 мм.)
ПОДЛОКТНИКИ ЗАЩИЩЕНЫ прорезиненной пластиковой накладкой для дополнительного тактильного комфорта.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Ножки каркаса дополнены САМОРЕГУЛИРУЮЩИМИСЯ пластиковыми вставками для максимальной устойчивости стула
на различных поверхностях. К каркасу приложен комплект крепежа и схема сборки.
СТАНЬТЕ ДИЗАЙНЕРОМ СВОЕГО СТУЛА!
Стул состоит из сидения SHT-ST29 и каркаса SHT-S98. Вы можете выбрать любую модель и цвет стула в
нашем конструкторе.
ГАРАНТИЯ 2 ГОДА.</t>
  </si>
  <si>
    <t>Стул Sheffilton SHT-ST29-С12/S106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</si>
  <si>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SHT-S106.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</si>
  <si>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SHT-ST29-С12/S30</t>
  </si>
  <si>
    <t>В КОМПЛЕКТЕ ОДИН СТУЛ!
Опоры каркаса "одеты" в рогожку, что придает готовому стулу уютный и домашний вид! Отлично впишется
в стиль лофт и эко. 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Опоры каркаса "одеты" в рогожку, что придает готовому стулу уютный и домашний
вид.
Максимальная статическая нагрузка на стул 150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ШТАБЕЛИРУЕТСЯ, что позволяет значительно сэкономить пространство при хранении.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</si>
  <si>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SHT-ST29-С12/S37</t>
  </si>
  <si>
    <t>СТ-209</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</si>
  <si>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</si>
  <si>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</si>
  <si>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</si>
  <si>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SHT-ST29-С12/S95-1</t>
  </si>
  <si>
    <t>голубая лагуна/белый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</si>
  <si>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Мягкое сидение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ОБИВКА сидения выполнена из микровелюра, в качестве мягкого наполнителя используется поролон.</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</si>
  <si>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ДЕЗАЙН.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РЕКОМИНДАЦИЯ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</si>
  <si>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ежевичное вино/черный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</si>
  <si>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ДЕЗАЙН 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РЕКОМИНДАЦИЯ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</si>
  <si>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Стул Sheffilton SHT-ST29-С12/S98</t>
  </si>
  <si>
    <t>Стул Sheffilton SHT-ST29-С1/S106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</si>
  <si>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SHT-S106.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</si>
  <si>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SHT-ST29-С1/S37-1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</si>
  <si>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Стул с каркасом
SHT-S37-1 обеспечит удобную посадку и комфортное времяпровождение.
ОБИВКА сидения выполнена из микровелюра,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</si>
  <si>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SHT-ST29-С1/S39</t>
  </si>
  <si>
    <t>СТ-303</t>
  </si>
  <si>
    <t>оливковый/венге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</si>
  <si>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</si>
  <si>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SHT-ST29-С1/S95-1</t>
  </si>
  <si>
    <t>морская глубина/черный муар/золото</t>
  </si>
  <si>
    <t>оливковый/белый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</si>
  <si>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Мягкое сидение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ОБИВКА сидения выполнена из микровелюра, в качестве мягкого наполнителя используется поролон.</t>
  </si>
  <si>
    <t>Стул Sheffilton SHT-ST29-С20/S37</t>
  </si>
  <si>
    <t>серый туман/золото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</si>
  <si>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SHT-ST29-C20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</si>
  <si>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СТ-295</t>
  </si>
  <si>
    <t>серый туман/хром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</si>
  <si>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SHT-ST29-C20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</si>
  <si>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SHT-ST29-С20/S39</t>
  </si>
  <si>
    <t>серый туман/серый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</si>
  <si>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SHT-ST29-C20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</si>
  <si>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SHT-ST29-С20/S64</t>
  </si>
  <si>
    <t>СТ-521</t>
  </si>
  <si>
    <t>Стул Sheffilton SHT-ST29-С20/S95-1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</si>
  <si>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ДИЗАЙН заключен в геометрической ромбовидной простежке мягкого сидения. Абсолютная симметрия,
которой доставляет эстетическое удовольствие.
ОБИВКА выполнена из микровелюра, в качестве мягкого наполнителя используется поролон.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РЕКОМИНДАЦИЯ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</si>
  <si>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серый туман/черный муар/золото</t>
  </si>
  <si>
    <t>Стул Sheffilton SHT-ST29-С4/S37</t>
  </si>
  <si>
    <t>графит/золото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</si>
  <si>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SHT-ST29-C4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</si>
  <si>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СТ-325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</si>
  <si>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SHT-ST29-C4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</si>
  <si>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SHT-ST29-С4/S95-1</t>
  </si>
  <si>
    <t>графит/белый муар</t>
  </si>
  <si>
    <t>графит/черный муар/золото</t>
  </si>
  <si>
    <t>Стул Sheffilton SHT-ST29-С/S100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</si>
  <si>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</si>
  <si>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SHT-ST29-С/S37-1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</si>
  <si>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Стул с каркасом
SHT-S37-1 обеспечит удобную посадку и комфортное времяпровождение.
ОБИВКА сидения выполнена из рогожки,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</si>
  <si>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SHT-ST29-С/S39</t>
  </si>
  <si>
    <t>жемчужный/венге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</si>
  <si>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</si>
  <si>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СТ-475</t>
  </si>
  <si>
    <t>жемчужный/прозрачный лак</t>
  </si>
  <si>
    <t>Стул Sheffilton SHT-ST29-С/S95-1</t>
  </si>
  <si>
    <t>жемчужный/белый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</si>
  <si>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ДЕЗАЙН. Мягкое сидение красивого жемчужно оттенка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РЕКОМИНДАЦИЯ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</si>
  <si>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ДЕЗАЙН. 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РЕКОМИНДАЦИЯ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</si>
  <si>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СТ-450</t>
  </si>
  <si>
    <t>лунный камень/черный муар/золото</t>
  </si>
  <si>
    <t>Стул Sheffilton SHT-ST31-1/S37-1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</si>
  <si>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ПРЕКРАСНАЯ ЭРГОНОМИКА. Стул с каркасом SHT-S37-1 обеспечит удобную посадку и комфортное времяпровождение.
ОБИВКА сидения выполнена из рогожки,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</si>
  <si>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SHT-ST31-C1/S100</t>
  </si>
  <si>
    <t>СТ-259</t>
  </si>
  <si>
    <t>ледяная лаванда/черный муар</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</si>
  <si>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SHT-ST31-C1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</si>
  <si>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SHT-ST31-C1/S112</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</si>
  <si>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ПРОЧНОСТЬ И ДОЛГОВЕЧНОСТЬ
Обивка сидения выполнена из рогожки, в качестве мягкого наполнителя используется поролон.
Отгрузка отдельных частей стула (сидения) не осуществляется.
Металлический каркас покрыт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SHT-ST31-C1 и каркаса SHT-S112.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</si>
  <si>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SHT-ST31-C1/S39</t>
  </si>
  <si>
    <t>СТ-232</t>
  </si>
  <si>
    <t>пепельный/темный орех</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</si>
  <si>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SHT-ST31-C1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</si>
  <si>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SHT-ST31-C1/S64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</si>
  <si>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сидения обеспечивает удобную посадку и комфортное времяпровождение.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</si>
  <si>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SHT-ST31-C1/S74</t>
  </si>
  <si>
    <t>пепельный/черный зол.патина</t>
  </si>
  <si>
    <t>ТОВАР ДОСТУПЕН ТОЛЬКО ПОД ЗАКАЗ ОТ 20 ШТУК!
Образец отличного каркаса в стиле лофт. Металлические цепи придают истинно мужской характер. Эффектно
будет смотреться в интерьере паба, бара, кафе.
ПРОЧНОСТЬ И ДОЛГОВЕЧНОСТЬ
Обивка сидения выполнена из рогожки, в качестве мягкого наполнителя используется поролон.
Каркас цельносварной металлический, с декоративной отделкой - патинирование "под золото".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SHT-ST31-C1 и каркаса SHT-S74.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</si>
  <si>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SHT-ST31-C2/S100</t>
  </si>
  <si>
    <t>CТ-236</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</si>
  <si>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SHT-S100.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</si>
  <si>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SHT-ST31-C2/S113</t>
  </si>
  <si>
    <t>СТ-331</t>
  </si>
  <si>
    <t>аквамарин/черный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</si>
  <si>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оригинальной отстрочке спинки. Рисунок на спинке сидения придает изделию
эффектный вид.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SHT-S113.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</si>
  <si>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SHT-ST31-C2/S64</t>
  </si>
  <si>
    <t>Стул Sheffilton SHT-ST31/S100</t>
  </si>
  <si>
    <t>СТ-264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</si>
  <si>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SHT-S100. Вы можете выбрать любую модель и цвет стула в
нашем конструкторе.
ГАРАНТИЯ 2 ГОДА.</t>
  </si>
  <si>
    <t>Стул Sheffilton SHT-ST31/S106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</si>
  <si>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SHT-S106. Вы можете выбрать любую модель и цвет стула в
нашем конструкторе.
ГАРАНТИЯ 2 ГОДА.</t>
  </si>
  <si>
    <t>Стул Sheffilton SHT-ST31/S107</t>
  </si>
  <si>
    <t>бежевый/хром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</si>
  <si>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SHT-S107. Вы можете выбрать любую модель и цвет стула в
нашем конструкторе.
ГАРАНТИЯ 2 ГОДА.</t>
  </si>
  <si>
    <t>Стул Sheffilton SHT-ST31/S37</t>
  </si>
  <si>
    <t>СТ-249</t>
  </si>
  <si>
    <t>бежевый/золото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</si>
  <si>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СТАНЬТЕ ДИЗАЙНЕРОМ СВОЕГО СТУЛА!
Стул состоит из сидения SHT-ST31 и каркаса SHT-S37. Вы можете выбрать любую модель и цвет стула в
нашем конструкторе.
ГАРАНТИЯ 2 ГОДА.</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</si>
  <si>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SHT-S37. Вы можете выбрать любую модель и цвет стула в
нашем конструкторе.
ГАРАНТИЯ 2 ГОДА.</t>
  </si>
  <si>
    <t>Стул Sheffilton SHT-ST31/S39</t>
  </si>
  <si>
    <t>СТ-263</t>
  </si>
  <si>
    <t>белый/дуб выбеленный</t>
  </si>
  <si>
    <t>ТОВАР ДОСТУПЕН ТОЛЬКО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SHT-S39. Вы можете выбрать любую модель и цвет стула в
нашем конструкторе.
ГАРАНТИЯ 2 ГОДА.</t>
  </si>
  <si>
    <t>красный RAL3020/прозрачный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</si>
  <si>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SHT-S39. Вы можете выбрать любую модель и цвет стула в
нашем конструкторе.
ГАРАНТИЯ 2 ГОДА.</t>
  </si>
  <si>
    <t>Стул Sheffilton SHT-ST31/S64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</si>
  <si>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SHT-S64. Вы можете выбрать любую модель и цвет стула в
нашем конструкторе.
ГАРАНТИЯ 2 ГОДА.</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</si>
  <si>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SHT-S64. Вы можете выбрать любую модель и цвет стула в
нашем конструкторе.
ГАРАНТИЯ 2 ГОДА.</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</si>
  <si>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НАДЕЖНЫЕ МЕТАЛЛИЧЕСКИЕ ОПОРЫ окрашены порошковой краской, устойчивой к механическому воздействию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t>
  </si>
  <si>
    <t>СТ-492</t>
  </si>
  <si>
    <t>Стул Sheffilton SHT-ST31/S70</t>
  </si>
  <si>
    <t>белый/темный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</si>
  <si>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Размеры одной деревянной
опоры: 405х20х40 мм. Металлические пластины, толщиной 3 мм., обеспечивают прочность и жесткость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SHT-S70. Вы можете выбрать любую модель и цвет стула в
нашем конструкторе.
ГАРАНТИЯ 2 ГОДА.</t>
  </si>
  <si>
    <t>Стул Sheffilton SHT-ST31/S95-1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</si>
  <si>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Стул с каркасом SHT-S95-1 обеспечивает удобную посадку и комфортное времяпровождение.
Широкое сиденье и подлокотники обеспечивают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СТАНЬТЕ ДИЗАЙНЕРОМ СВОЕГО СТУЛА! Именно под этот каркас Вы можете выбрать любую модель сидения Sheffilton
в нашем конструкторе.</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</si>
  <si>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кг.Сидение выполнено из полипропилена с армирующими добавками и выдерживает продолжительные
нагрузки.
ПЕРЕНОСИТ ВОЗДЕЙСТВИЕ ЛЮБЫХ ПОГОДНЫХ УСЛОВИЙ
Сидение выполнено из атмосферостойкого пластика и отлично устойчиво к прямым солнечным лучам, не деформируется
и не изменяет цвет. Можно использовать на открытом воздухе при температуре от -15С до +40С.
ПРЕКРАСНАЯ ЭРГОНОМИКА
Широкое сиденье и подлокотники обеспечивают удобную посадку и комфортное времяпровождение.</t>
  </si>
  <si>
    <t>СТ-425</t>
  </si>
  <si>
    <t>Стул Sheffilton SHT-ST31-С1/S39</t>
  </si>
  <si>
    <t>ледяная лаванда/серый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</si>
  <si>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SHT-ST31-C1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</si>
  <si>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SHT-ST31-С1/S95-1</t>
  </si>
  <si>
    <t>ледяная лаванда/белый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</si>
  <si>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Мягкое сидение Sheffilton сшито
из велюра. Данный материал гиппоалергенный, экологичный, приятный на ощупь, при этом очень прочный,
эластичный, износоустойчивый и долговечен при использовании.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ОБИВКА сидения выполнена из микровелюра, в качестве мягкого наполнителя используется поролон.</t>
  </si>
  <si>
    <t>СТ-471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</si>
  <si>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ДЕЗАЙН. Мягкое сидение красивого оттенка с перламутровым отливом сшито из 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ПРЕКРАСНАЯ ЭРГОНОМИКА. Стул с каркасом SHT-S95-1 обеспечивает удобную посадку и комфортное времяпровождение.
Прекрасная эргономика сидения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</si>
  <si>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Стул Sheffilton SHT-ST31-С2/S106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</si>
  <si>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SHT-S106.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</si>
  <si>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SHT-ST31-С2/S107</t>
  </si>
  <si>
    <t>СТ-260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</si>
  <si>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SHT-S107.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</si>
  <si>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SHT-ST31-С2/S37</t>
  </si>
  <si>
    <t>СТ-261</t>
  </si>
  <si>
    <t>аквамарин/золото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</si>
  <si>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</si>
  <si>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аквамарин/хром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</si>
  <si>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</si>
  <si>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SHT-ST31-С2/S39</t>
  </si>
  <si>
    <t>аквамарин/брашированный корич.</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</si>
  <si>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Каркас выполнен из МАССИВА ДРЕВЕСИНЫ с последующим тонированием и покрытием лаком. Обработан технологией
"браширование" - искусственное состаривание для большего эффекта природного рисунка древесины.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SHT-S39. Вы можете выбрать любую модель и цвет стула в
нашем конструкторе.
ГАРАНТИЯ 2 ГОДА.</t>
  </si>
  <si>
    <t>СТ-233</t>
  </si>
  <si>
    <t>кремовый/темный орех</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</si>
  <si>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SHT-S39. Вы можете выбрать любую модель и цвет стула
в нашем конструкторе.
ГАРАНТИЯ 2 ГОДА.
*Оттенок ткани может меняться в зависимости от партии.</t>
  </si>
  <si>
    <t>лунный камень/венге</t>
  </si>
  <si>
    <t>Стул Sheffilton SHT-ST31-С2/S95-1</t>
  </si>
  <si>
    <t>аквамарин/белый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</si>
  <si>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Мягкое сидение Sheffilton
сшито из микровелюра. Данный материал гиппоалергенный, экологичный, приятный на ощупь, при этом очень
прочный, эластичный, износоустойчивый и долговечен при использовании.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ЗАПАТЕНТОВАНО! Сиденье Sheffilton SHT-ST29 защищено патентом, что гарантирует его уникальность, качество
и надежность.
ОБИВКА сидения выполнена из микровелюра, в качестве мягкого наполнителя используется поролон.</t>
  </si>
  <si>
    <t>кремовый/черный муар</t>
  </si>
  <si>
    <t>СТ-509</t>
  </si>
  <si>
    <t>аквамарин/черный муар/золото</t>
  </si>
  <si>
    <t>Стул Sheffilton SHT-ST31-С3/S95-1</t>
  </si>
  <si>
    <t>лунный камень/белый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</si>
  <si>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Мягкое сидение Sheffilton
сшито из микровелюра. Данный материал гиппоалергенный, экологичный, приятный на ощупь, при этом очень
прочный, эластичный, износоустойчивый и долговечен при использовании.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ОБИВКА сидения выполнена из микровелюра, в качестве мягкого наполнителя используется поролон.</t>
  </si>
  <si>
    <t>Стул Sheffilton SHT-ST33-1/S100</t>
  </si>
  <si>
    <t>альпийский бирюзовый/черный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</si>
  <si>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НАДЕЖНЫЙ МЕТАЛЛИЧЕСКИЙ КАРКАС окрашен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</si>
  <si>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SHT-ST33-1/S106</t>
  </si>
  <si>
    <t>СТ-472</t>
  </si>
  <si>
    <t>Стул Sheffilton SHT-ST33-1/S112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</si>
  <si>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</si>
  <si>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SHT-ST33-1/S122</t>
  </si>
  <si>
    <t>альпийский бирюзовый/темный орех/чер.муа</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</si>
  <si>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Оригинальную
нотку каркасу придают ножки с заметным волнообразным изгибом.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</si>
  <si>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SHT-ST33-1/S129</t>
  </si>
  <si>
    <t>альпийский бирюзовый/венге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</si>
  <si>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Оригинальную нотку каркасу придают конусообразные ножки.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В основе сидений лежит фанера со специальными отверстиями для крепления опор.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</si>
  <si>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Оригинальную нотку каркасу придают конусообразные ножки.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В основе сидений лежит фанера со специальными отверстиями для крепления опор.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</si>
  <si>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SHT-ST33-1/S37</t>
  </si>
  <si>
    <t>альпийский бирюзовый/золото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</si>
  <si>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НАДЕЖНЫЙ МЕТАЛЛИЧЕСКИЙ КАРКАС окрашен порошковой краской, устойчивой к механическому воздействию.
Максимальная статическая нагрузка - 260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</si>
  <si>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альпийский бирюзовый/медный металлик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</si>
  <si>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НАДЕЖНЫЙ МЕТАЛЛИЧЕСКИЙ КАРКАС окрашен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</si>
  <si>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SHT-ST33-1/S38</t>
  </si>
  <si>
    <t>Стул Sheffilton SHT-ST33-1/S39</t>
  </si>
  <si>
    <t>альпийский бирюзовый/венге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</si>
  <si>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</si>
  <si>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альпийский бирюзовый/светлый орех</t>
  </si>
  <si>
    <t>альпийский бирюзовый/темный орех</t>
  </si>
  <si>
    <t>Стул Sheffilton SHT-ST33-1/S64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</si>
  <si>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SHT-ST27 и каркаса SHT-S64. Вы можете выбрать любую модель и цвет стула в
нашем конструкторе.
ГАРАНТИЯ 2 ГОДА.</t>
  </si>
  <si>
    <t>Стул Sheffilton SHT-ST33-1/S70</t>
  </si>
  <si>
    <t>альпийский бирюзовый/темный орех/черный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</si>
  <si>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лаком.Металлическая часть
каркаса окрашена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</si>
  <si>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SHT-ST33-1/S95-1</t>
  </si>
  <si>
    <t>альпийский бирюзовый/черный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</si>
  <si>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искусственном.Оригинальную
нотку каркасу придают конусообразные ножки.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</si>
  <si>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SHT-ST33/S100</t>
  </si>
  <si>
    <t>сиреневая орхидея/черный муар</t>
  </si>
  <si>
    <t>Стул Sheffilton SHT-ST33/S106</t>
  </si>
  <si>
    <t>синий лед/черный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</si>
  <si>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НАДЕЖНЫЙ МЕТАЛЛИЧЕСКИЙ КАРКАС окрашен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</si>
  <si>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СТ-504</t>
  </si>
  <si>
    <t>Стул Sheffilton SHT-ST33/S107</t>
  </si>
  <si>
    <t>синий лед/хром лак</t>
  </si>
  <si>
    <t>Стул Sheffilton SHT-ST33/S112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</si>
  <si>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</si>
  <si>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SHT-ST33/S122</t>
  </si>
  <si>
    <t>синий лед/темный орех/черный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</si>
  <si>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искусственном.Оригинальную
нотку каркасу придают ножки с заметным волнообразным изгибом.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</si>
  <si>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сиреневая орхидея/темный орех/чер.муар</t>
  </si>
  <si>
    <t>Стул Sheffilton SHT-ST33/S129</t>
  </si>
  <si>
    <t>синий лед/венге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</si>
  <si>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Оригинальную нотку каркасу придают конусообразные ножки.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В основе сидений лежит фанера со специальными отверстиями для крепления опор.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</si>
  <si>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СТ-508</t>
  </si>
  <si>
    <t>сиреневая орхидея/белый муар/золото</t>
  </si>
  <si>
    <t>Стул Sheffilton SHT-ST33/S37</t>
  </si>
  <si>
    <t>синий лед/белый</t>
  </si>
  <si>
    <t>синий лед/золото</t>
  </si>
  <si>
    <t>сиреневая орхидея/белый</t>
  </si>
  <si>
    <t>сиреневая орхидея/хром лак</t>
  </si>
  <si>
    <t>СТ-489</t>
  </si>
  <si>
    <t>Стул Sheffilton SHT-ST33/S38</t>
  </si>
  <si>
    <t>Стул Sheffilton SHT-ST33/S39</t>
  </si>
  <si>
    <t>сиреневая орхидея/светлый орех</t>
  </si>
  <si>
    <t>сиреневая орхидея/темный орех</t>
  </si>
  <si>
    <t>СТ-486</t>
  </si>
  <si>
    <t>синий лед/прозрачный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</si>
  <si>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</si>
  <si>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синий лед/темный орех</t>
  </si>
  <si>
    <t>Стул Sheffilton SHT-ST33/S64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</si>
  <si>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микровелюра с нежным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НАДЕЖНЫЙ МЕТАЛЛИЧЕСКИЙ КАРКАС окрашен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</si>
  <si>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СТ-476</t>
  </si>
  <si>
    <t>Стул Sheffilton SHT-ST33/S70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</si>
  <si>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</si>
  <si>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сиреневая орхидея/темный орех/черный</t>
  </si>
  <si>
    <t>Стул Sheffilton SHT-ST33/S95-1</t>
  </si>
  <si>
    <t>синий лед/белый муар</t>
  </si>
  <si>
    <t>синий лед/черный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</si>
  <si>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</si>
  <si>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SHT-ST34-1/S100</t>
  </si>
  <si>
    <t>голубая пастель/хром лак</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</si>
  <si>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Максимальная статическая нагрузка - 260 кг.</t>
  </si>
  <si>
    <t>латте/черный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</si>
  <si>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</si>
  <si>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Стул Sheffilton SHT-ST34-1/S106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</si>
  <si>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</si>
  <si>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Стул Sheffilton SHT-ST34-1/S112</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</si>
  <si>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сидения обеспечивает удобную посадку и комфортное времяпровождение. . Стул с
каркасом SHT-S112 обеспечит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t>
  </si>
  <si>
    <t>СТ-462</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</si>
  <si>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*Оттенок ткани может меняться в зависимости от партии.</t>
  </si>
  <si>
    <t>Стул Sheffilton SHT-ST34-1/S113</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</si>
  <si>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Необычное дизайнерское решение каркаса сделает готовый
стул весьма привлекательным и необычным. Визуально, модель напоминает лепестки нежного лотоса, который
вносит спокойствие и умиротворение в течение жизни. Изящный, но прочный - эти две характеристики девиз
модели SHT-S113.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</si>
  <si>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</si>
  <si>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Стул Sheffilton SHT-ST34-1/S122</t>
  </si>
  <si>
    <t>латте/темный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</si>
  <si>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*Оттенок ткани может меняться в зависимости от партии.</t>
  </si>
  <si>
    <t>Стул Sheffilton SHT-ST34-1/S129</t>
  </si>
  <si>
    <t>латте/венге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</si>
  <si>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</si>
  <si>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</si>
  <si>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Стул Sheffilton SHT-ST34-1/S37</t>
  </si>
  <si>
    <t>латте/хром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</si>
  <si>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</si>
  <si>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SHT-ST34-1/S38</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</si>
  <si>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</si>
  <si>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Максимальная статическая нагрузка - 200 кг.
*Оттенок ткани может меняться в зависимости от партии.</t>
  </si>
  <si>
    <t>Стул Sheffilton SHT-ST34-1/S39</t>
  </si>
  <si>
    <t>латте/венге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</si>
  <si>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</si>
  <si>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латте/прозрачный лак</t>
  </si>
  <si>
    <t>Стул Sheffilton SHT-ST34-1/S64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</si>
  <si>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</si>
  <si>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SHT-ST34-1/S70</t>
  </si>
  <si>
    <t>голубая пастель/прозрачный лак/черный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</si>
  <si>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t>
  </si>
  <si>
    <t>латте/темный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</si>
  <si>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*Оттенок ткани может меняться в зависимости от партии.</t>
  </si>
  <si>
    <t>СТ-529</t>
  </si>
  <si>
    <t>голубая пастель/темный орех\черный</t>
  </si>
  <si>
    <t>Стул Sheffilton SHT-ST34-1/S71</t>
  </si>
  <si>
    <t>латте/дуб браш.коричневый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</si>
  <si>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</si>
  <si>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Стул Sheffilton SHT-ST34-1/S95-1</t>
  </si>
  <si>
    <t>голубая пастель/белый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</si>
  <si>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 Стул с
каркасом SHT-S95-1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</si>
  <si>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латте/белый муар</t>
  </si>
  <si>
    <t>СТ-383</t>
  </si>
  <si>
    <t>голубая пастель/чёрный муар/золото</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</si>
  <si>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Оригинальную нотку каркасу придают конусообразные ножки
с золотым напылением в нижней части каркаса.
ПРЕКРАСНАЯ ЭРГОНОМИКА сидения обеспечивает удобную посадку и комфортное времяпровождение. Стул с каркасом
SHT-S95-1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</si>
  <si>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Стул Sheffilton SHT-ST34/S106</t>
  </si>
  <si>
    <t>синий мираж/черный муар</t>
  </si>
  <si>
    <t>твид/металл</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</si>
  <si>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t>
  </si>
  <si>
    <t>Стул Sheffilton SHT-ST34/S107</t>
  </si>
  <si>
    <t>синий мираж/хром лак</t>
  </si>
  <si>
    <t>Стул Sheffilton SHT-ST34/S113</t>
  </si>
  <si>
    <t>Стул Sheffilton SHT-ST34/S122</t>
  </si>
  <si>
    <t>синий мираж/темный орех/черный муар</t>
  </si>
  <si>
    <t>твид/металл/дерево</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</si>
  <si>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Стул с каркасом
SHT-S122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t>
  </si>
  <si>
    <t>СТ-312</t>
  </si>
  <si>
    <t>платиново-серый/темный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</si>
  <si>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стулу придают ножки с заметным волнообразным изгибом.
ПРОЧНОСТЬ И ДОЛГОВЕЧНОСТЬ
Мягкое сидение имеет красиво очерченный вырез в спинке. Мягкое сиденье из микровелюра. В качестве
мягкого наполнителя используется поролон. Сидение не используется отдельно от чехла, чехол не съемный.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SHT-ST34 и каркаса SHT-S122.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</si>
  <si>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SHT-ST34/S129</t>
  </si>
  <si>
    <t>платиново-серый/белый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</si>
  <si>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Стул с опорами SHT-S129 обеспечит удобную посадку и комфортное времяпровождение.
ПРОЧНОСТЬ И ДОЛГОВЕЧНОСТЬ. Опоры выполнены из металлической трубы диаметром 25 мм. Окрашены порошковой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</si>
  <si>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платиново-серый/венге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</si>
  <si>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ПРЕКРАСНАЯ ЭРГОНОМИКА. Стул с опорами SHT-S129 обеспечит удобную посадку и комфортное времяпровождение.
ПРОЧНОСТЬ И ДОЛГОВЕЧНОСТЬ. Опоры выполнены из металлической трубы диаметром 25 мм. Окрашены порошковой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Именно под этот каркас Вы можете выбрать любую модель сидения Sheffilton
в нашем конструкторе.</t>
  </si>
  <si>
    <t>платиново-серый/черный муар</t>
  </si>
  <si>
    <t>Стул Sheffilton SHT-ST34/S37</t>
  </si>
  <si>
    <t>СТ-382</t>
  </si>
  <si>
    <t>платиново-серый/хром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</si>
  <si>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SHT-ST34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</si>
  <si>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SHT-ST34/S37-1</t>
  </si>
  <si>
    <t>СТ-493</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</si>
  <si>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каркасом
SHT-S37-1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</si>
  <si>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SHT-ST34/S38</t>
  </si>
  <si>
    <t>Стул Sheffilton SHT-ST34/S39</t>
  </si>
  <si>
    <t>синий мираж/темный орех</t>
  </si>
  <si>
    <t>твид/дерево</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</si>
  <si>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t>
  </si>
  <si>
    <t>Стул Sheffilton SHT-ST34/S64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</si>
  <si>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</si>
  <si>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</si>
  <si>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SHT-ST34/S70</t>
  </si>
  <si>
    <t>синий мираж/темный орех/черный</t>
  </si>
  <si>
    <t>твид/дерево/металл</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</si>
  <si>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лаком.Металлическая часть
каркаса окрашена порошковой краской, устойчивой к механическому воздействию;</t>
  </si>
  <si>
    <t>Стул Sheffilton SHT-ST34/S95-1</t>
  </si>
  <si>
    <t>платиново-серый/белый муар</t>
  </si>
  <si>
    <t>СТ-432</t>
  </si>
  <si>
    <t>платиново-серый/черный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</si>
  <si>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Стул с каркасом SHT-S95-1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</si>
  <si>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Оригинальную нотку каркасу придают конусообразные ножки.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</si>
  <si>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Стул Sheffilton SHT-ST35-1/S100</t>
  </si>
  <si>
    <t>имперский желтый/хром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</si>
  <si>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Пластиковые
подпятники позволяют избавить поверхность каркаса и пола от повреждений. Максимальная статическая
нагрузка - 260 кг.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</si>
  <si>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имперский желтый/черный муар</t>
  </si>
  <si>
    <t>угольно-серый/хром лак</t>
  </si>
  <si>
    <t>Стул Sheffilton SHT-ST35-1/S106</t>
  </si>
  <si>
    <t>СТ-364</t>
  </si>
  <si>
    <t>имперский жёлтый/чёрный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</si>
  <si>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Пластиковые
подпятники позволяют избавить поверхность каркаса и пола от повреждений. Максимальная статическая
нагрузка - 260 кг.
МЕТАЛЛИЧЕСКИЙ КАРКАС покрыт порошковой краской, устойчивой к механическому воздействию. Максимальная
статическая нагрузка на стул 260 кг.
ОБИВКА выполнена из микровелюра, в качестве мягкого наполнителя используется поролон.
СПЕЦИАЛЬНЫЕ ПОДПЯТНИКИ каркаса обеспечивают защиту покрытия от царапин и повышают устойчивость стула.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</si>
  <si>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SHT-ST35-1/S107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</si>
  <si>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Пластиковые
подпятники позволяют избавить поверхность каркаса и пола от повреждений. Максимальная статическая
нагрузка - 260 кг.
МЕТАЛЛИЧЕСКИЙ КАРКАС покрыт порошковой краской, устойчивой к механическому воздействию. Для повышения
эксплуатационных свойств изделия в каркасе используются метал.стяжки из прутка, диаметром 5 мм. Максимальная
статическая нагрузка на стул 260 кг.
ОБИВКА выполнена из микровелюра, в качестве мягкого наполнителя используется поролон.
СПЕЦИАЛЬНЫЕ ПОДПЯТНИКИ каркаса обеспечивают защиту покрытия от царапин и повышают устойчивость стула.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</si>
  <si>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</si>
  <si>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</si>
  <si>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SHT-ST35-1/S113</t>
  </si>
  <si>
    <t>ТОВАР ДОСТУПЕН ПОД ЗАКАЗ ОТ 20 ШТУК!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ПРОЧНОСТЬ И ДОЛГОВЕЧНОСТЬ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</si>
  <si>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SHT-ST35-1/S122</t>
  </si>
  <si>
    <t>имперский желтый/темный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</si>
  <si>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</si>
  <si>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угольно-серый/темный орех/черный муар</t>
  </si>
  <si>
    <t>Стул Sheffilton SHT-ST35-1/S129</t>
  </si>
  <si>
    <t>угольно-серый/белый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</si>
  <si>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</si>
  <si>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угольно-серый/венге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</si>
  <si>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</si>
  <si>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Стул Sheffilton SHT-ST35-1/S37</t>
  </si>
  <si>
    <t>имперский желтый/медный металлик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</si>
  <si>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визуально
лёгкий и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</si>
  <si>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угольно-серый/золото</t>
  </si>
  <si>
    <t>угольно-серый/медный металлик</t>
  </si>
  <si>
    <t>СТ-366</t>
  </si>
  <si>
    <t>имперский желтый/белый</t>
  </si>
  <si>
    <t>Стул Sheffilton SHT-ST35-1/S38</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</si>
  <si>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</si>
  <si>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SHT-ST35-1/S39</t>
  </si>
  <si>
    <t>имперский желтый/венге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</si>
  <si>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</si>
  <si>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имперский желтый/прозрачный лак</t>
  </si>
  <si>
    <t>имперский желтый/светлый орех</t>
  </si>
  <si>
    <t>угольно-серый/венге</t>
  </si>
  <si>
    <t>угольно-серый/прозрачный лак</t>
  </si>
  <si>
    <t>угольно-серый/темный орех</t>
  </si>
  <si>
    <t>СТ-494</t>
  </si>
  <si>
    <t>имперский желтый/серый</t>
  </si>
  <si>
    <t>Стул Sheffilton SHT-ST35-1/S64</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</si>
  <si>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НАДЕЖНЫЕ МЕТАЛЛИЧЕСКИЕ ОПОРЫ окрашены порошковой краской, устойчивой к механическому воздействию.
Сиденье крепится к каркасу при помощи приваренных фланцев, при этом целостность трубы не нарушается
и возрастает прочность конструкции. Для повышения эксплуатационных свойств изделия в каркасе используются
метал.стяжки из прутка, диаметром 5 мм.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</si>
  <si>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SHT-ST35-1/S70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</si>
  <si>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Прочность и жесткость
каркасу добавляют металлические пластины, толщиной 3 мм,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</si>
  <si>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угольно-серый/темный орех/черный</t>
  </si>
  <si>
    <t>Стул Sheffilton SHT-ST35-1/S71</t>
  </si>
  <si>
    <t>имперский желтый/дуб браш.коричневый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</si>
  <si>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Выполнен из МАССИВА ДРЕВЕСИНЫ, браширован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</si>
  <si>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SHT-ST35-1/S95-1</t>
  </si>
  <si>
    <t>угольно-серый/черный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</si>
  <si>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t>
  </si>
  <si>
    <t>СТ-417</t>
  </si>
  <si>
    <t>имперский желтый/черный муар/золото</t>
  </si>
  <si>
    <t>Стул Sheffilton SHT-ST35-2/S112</t>
  </si>
  <si>
    <t>СТ-387</t>
  </si>
  <si>
    <t>лиственно-зеленый/черный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</si>
  <si>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ПРОЧНОСТЬ И ДОЛГОВЕЧНОСТЬ
Сидение из микровелюра изысканно смотрится при любом варианте освещения: и естественном, и искусственном,
а также легко чистится. В качестве мягкого наполнителя используется поролон. Сидение не используется
отдельно от чехла, чехол не съемный. Металлический каркас покрыт порошковой краской, устойчивой к
механическому воздействию.
Максимальная статическая нагрузка на стул 200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SHT-S112.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</si>
  <si>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SHT-ST35-2/S113</t>
  </si>
  <si>
    <t>СТ-481</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</si>
  <si>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SHT-S113.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</si>
  <si>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SHT-ST35-2/S122</t>
  </si>
  <si>
    <t>СТ-404</t>
  </si>
  <si>
    <t>лиственно-зеленый/темный орех/черный муа</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</si>
  <si>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стулу придают ножки с заметным волнообразным изгибом.
ПРОЧНОСТЬ И ДОЛГОВЕЧНОСТЬ
Мягкое сиденье из микровелюра. В качестве мягкого наполнителя используется поролон.
Сидение не используется отдельно от чехла, чехол не съемный.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стул 260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SHT-S122.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</si>
  <si>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SHT-ST35-2/S129</t>
  </si>
  <si>
    <t>лиственно-зеленый/венге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</si>
  <si>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</si>
  <si>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Стул Sheffilton SHT-ST35-2/S37</t>
  </si>
  <si>
    <t>СТ-329</t>
  </si>
  <si>
    <t>лиственно-зеленый/золото</t>
  </si>
  <si>
    <t>Изящный в своей простоте, визуально лёгкий стул в стиле хай-тек.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ПРОЧНОСТЬ И ДОЛГОВЕЧНОСТЬ
Классический вид сидению придает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</si>
  <si>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лиственно-зеленый/медный металлик</t>
  </si>
  <si>
    <t>Изящный в своей простоте, визуально лёгкий стул в стиле хай-тек.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ПРОЧНОСТЬ И ДОЛГОВЕЧНОСТЬ
Классический вид сидению придает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</si>
  <si>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SHT-ST35-2/S37-1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</si>
  <si>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Стул с каркасом
SHT-S37-1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</si>
  <si>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SHT-ST35-2/S64</t>
  </si>
  <si>
    <t>лиственно-зеленый/хром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</si>
  <si>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НАДЕЖНЫЕ МЕТАЛЛИЧЕСКИЕ ОПОРЫ окрашены порошковой краской, устойчивой к механическому воздействию.
Сиденье крепится к каркасу при помощи приваренных фланцев, при этом целостность трубы не нарушается
и возрастает прочность конструкции. Для повышения эксплуатационных свойств изделия в каркасе используются
метал.стяжки из прутка, диаметром 5 мм.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</si>
  <si>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SHT-ST35-2/S95-1</t>
  </si>
  <si>
    <t>СТ-375</t>
  </si>
  <si>
    <t>лиственно-зеленый/черный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</si>
  <si>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t>
  </si>
  <si>
    <t>Стул Sheffilton SHT-ST35/S106</t>
  </si>
  <si>
    <t>горчичный/черный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</si>
  <si>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НАДЕЖНЫЕ МЕТАЛЛИЧЕСКИЕ ОПОРЫ окрашены порошковой краской, устойчивой к механическому воздействию.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</si>
  <si>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розовый десерт/черный муар</t>
  </si>
  <si>
    <t>Изящный в своей простоте, визуально лёгкий стул в стиле хай-тек.
ПРОЧНОСТЬ И ДОЛГОВЕЧНОСТЬ
Классический вид сидению придает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SHT-S106. Вы можете выбрать любую модель и цвет стула в
нашем конструкторе.
ГАРАНТИЯ 2 ГОДА.
*Оттенок ткани может меняться в зависимости от партии.</t>
  </si>
  <si>
    <t>тихий океан/черный муар</t>
  </si>
  <si>
    <t>Стул Sheffilton SHT-ST35/S107</t>
  </si>
  <si>
    <t>Стул Sheffilton SHT-ST35/S112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</si>
  <si>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сидения обеспечивает удобную посадку и комфортное времяпровождение.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</si>
  <si>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СТ-300</t>
  </si>
  <si>
    <t>розовый десерт/хром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</si>
  <si>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ПРОЧНОСТЬ И ДОЛГОВЕЧНОСТЬ
Сидение из микровелюра изысканно смотрится при любом варианте освещения: и естественном, и искусственном,
а также легко чистится. В качестве мягкого наполнителя используется поролон. Сидение не используется
отдельно от чехла, чехол не съемный. Металлический каркас покрыт порошковой краской, устойчивой к
механическому воздействию.
Максимальная статическая нагрузка на стул 200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SHT-S112.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</si>
  <si>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SHT-ST35/S113</t>
  </si>
  <si>
    <t>Стул Sheffilton SHT-ST35/S122</t>
  </si>
  <si>
    <t>горчичный/темный орех/черный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</si>
  <si>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</si>
  <si>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розовый десерт/темный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</si>
  <si>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стулу придают ножки с заметным волнообразным изгибом.
ПРОЧНОСТЬ И ДОЛГОВЕЧНОСТЬ
Мягкое сиденье из микровелюра. В качестве мягкого наполнителя используется поролон.
Сидение не используется отдельно от чехла, чехол не съемный.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стул 260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SHT-S122. Вы можете выбрать любую модель и цвет стула в
нашем конструкторе.
ГАРАНТИЯ 2 ГОДА.
*Оттенок ткани может меняться в зависимости от партии.</t>
  </si>
  <si>
    <t>тихий океан/темный орех/черный муар</t>
  </si>
  <si>
    <t>Стул Sheffilton SHT-ST35/S129</t>
  </si>
  <si>
    <t>горчичный/белый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</si>
  <si>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скругленных линиях спинки и
сидения. Такой модный силуэт доставит эстетическое удовольствие.Оригинальная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</si>
  <si>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горчичный/венге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</si>
  <si>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скругленных линиях спинки и
сидения. Такой модный силуэт доставит эстетическое удовольствие.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</si>
  <si>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кофейный ликер/белый муар/золото</t>
  </si>
  <si>
    <t>кофейный ликер/венге крупный</t>
  </si>
  <si>
    <t>розовый десерт/белый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</si>
  <si>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геометрической ромбовидной простежке мягкого сидения. Абсолютная симметрия,
которой доставляет эстетическое удовольствие. Стильный дизайн заключен скругленных линиях спинки и
сидения. Такой модный силуэт доставит эстетическое удовольствие.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</si>
  <si>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ягодное варенье /черный муар</t>
  </si>
  <si>
    <t>СТ-525</t>
  </si>
  <si>
    <t>кофейный ликер /черный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</si>
  <si>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ОБИВКА выполнена из микровелюра, в качестве мягкого наполнителя используется поролон.
СТИЛЬНЫЙ ДИЗАЙН заключен в скругленных линиях спинки и сидения. Такой модный силуэт доставит эстетическое
удовольствие.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</si>
  <si>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Стул Sheffilton SHT-ST35/S37</t>
  </si>
  <si>
    <t>горчичный/медный металлик</t>
  </si>
  <si>
    <t>кофейный ликер/золото</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</si>
  <si>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НАДЕЖНЫЕ МЕТАЛЛИЧЕСКИЕ ОПОРЫ окрашены порошковой краской, устойчивой к механическому воздействию;
- Каркас сварной из металла, диаметр/толщина трубы 18х1,5 мм.
- Расстояние между опорами: 440 мм.
- Максимальная статическая нагрузка - 260 кг.
*Оттенок ткани может меняться в зависимости от партии.</t>
  </si>
  <si>
    <t>тихий океан/золото</t>
  </si>
  <si>
    <t>тихий океан/медный металлик</t>
  </si>
  <si>
    <t>СТ-282</t>
  </si>
  <si>
    <t>кофейный ликер/медный металлик</t>
  </si>
  <si>
    <t>Изящный в своей простоте, визуально лёгкий стул в стиле хай-тек.
ПРОЧНОСТЬ И ДОЛГОВЕЧНОСТЬ
Классический вид сидению придает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</si>
  <si>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SHT-ST35/S37-1</t>
  </si>
  <si>
    <t>СТ-480</t>
  </si>
  <si>
    <t>кофейный ликер/черный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</si>
  <si>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Стул с каркасом
SHT-S37-1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Именно под этот каркас Вы можете выбрать любую модель сидения Sheffilton
в нашем конструкторе.</t>
  </si>
  <si>
    <t>Стул Sheffilton SHT-ST35/S38</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</si>
  <si>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НАДЕЖНЫЕ МЕТАЛЛИЧЕСКИЕ ОПОРЫ окрашены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</si>
  <si>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микровелюра изысканно смотрится при любом варианте освещения: и естественном, и искусственном,
а также легко чистится. В качестве мягкого наполнителя используется поролон. Сидение не используется
отдельно от чехла, чехол не съемный. Металлический каркас покрыт порошковой краской, устойчивой к
механическому воздействию.
Максимальная статическая нагрузка на стул 200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SHT-S38.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</si>
  <si>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SHT-ST35/S39</t>
  </si>
  <si>
    <t>горчичный/светлый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</si>
  <si>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</si>
  <si>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горчичный/темный орех</t>
  </si>
  <si>
    <t>кофейный ликер/дуб атланта браш.</t>
  </si>
  <si>
    <t>микровелюр/дерево (дуб)</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</si>
  <si>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Максимальная статическая нагрузка - 260 кг.
*Оттенок ткани может меняться в зависимости от партии.</t>
  </si>
  <si>
    <t>тихий океан/темный орех</t>
  </si>
  <si>
    <t>СТ-286</t>
  </si>
  <si>
    <t>кофейный ликер/прозрачный лак</t>
  </si>
  <si>
    <t>кофейный ликер/темный орех</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</si>
  <si>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сиденье из микровелюра. В качестве мягкого наполнителя используется поролон.
Сидение не используется отдельно от чехла, чехол не съемный.
Каркас выполнен из массива древесины твердых пород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Обратите внимание на детали, мягкое сидение, отведенная назад дугообразная спинка, отвечают за вашу
эргономичную посадку.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</si>
  <si>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розовый десерт/темный орех</t>
  </si>
  <si>
    <t>тихий океан/прозрачный лак</t>
  </si>
  <si>
    <t>ягодное варенье/прозрачный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</si>
  <si>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Готовые стулья послужат для приема гостей, удобного проведения переговоров, могут
размещаться в кафе, в офисах или гостиных комнатах.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</si>
  <si>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ягодное варенье/светлый орех</t>
  </si>
  <si>
    <t>Стул Sheffilton SHT-ST35/S64</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</si>
  <si>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НАДЕЖНЫЕ МЕТАЛЛИЧЕСКИЕ ОПОРЫ окрашены порошковой краской, устойчивой к механическому воздействию.
Сиденье крепится к каркасу при помощи приваренных фланцев, при этом целостность трубы не нарушается
и возрастает прочность конструкции. Для повышения эксплуатационных свойств изделия в каркасе используются
метал.стяжки из прутка, диаметром 5 мм.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</si>
  <si>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ягодное варенье/хром лак</t>
  </si>
  <si>
    <t>СТ-304</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</si>
  <si>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Конструкция данного каркаса отличается особой жесткостью и прочностью.
- Для повышения эксплуатационных свойств изделия в каркасе используются метал.стяжки из прутка, диаметром
5 мм.
-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 НАДЕЖНЫЕ МЕТАЛЛИЧЕСКИЕ ОПОРЫ окрашены порошковой краской, устойчивой к механическому воздействию;
- Каркас сварной из металла, диаметр/толщина трубы 18х1,5 мм.
- Расстояние между опорами: 440 мм.
- Максимальная статическая нагрузка - 260 кг.
*Оттенок ткани может меняться в зависимости от партии.</t>
  </si>
  <si>
    <t>Стул Sheffilton SHT-ST35/S70</t>
  </si>
  <si>
    <t>горчичный/темный орех/черный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</si>
  <si>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таллическая часть
каркаса окрашена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</si>
  <si>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тихий океан/темный орех/черный</t>
  </si>
  <si>
    <t>СТ-365</t>
  </si>
  <si>
    <t>кофейный ликер/темный орех/черный</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</si>
  <si>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
*Оттенок ткани может меняться в зависимости от партии.</t>
  </si>
  <si>
    <t>Стул Sheffilton SHT-ST35/S71</t>
  </si>
  <si>
    <t>кофейный ликер/дуб браш. коричневый</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</si>
  <si>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Специальные подпятники обеспечивают защиту каркаса от царапин, тем самым увеличивая срок службы;
- Каркас из плотной древесины дуба, 30х30 мм. и перекладины 60х10 мм.;
- Выполнен из МАССИВА ДРЕВЕСИНЫ, браширован с последующим тонированием и покрытием лаком;
- Ширина передних опор 410 мм; задних 400 мм.;
- Максимальная статическая нагрузка - 200 кг.
*Оттенок ткани может меняться в зависимости от партии.</t>
  </si>
  <si>
    <t>Стул Sheffilton SHT-ST35/S95</t>
  </si>
  <si>
    <t>СТ-379</t>
  </si>
  <si>
    <t>ПРОЧНОСТЬ И ДОЛГОВЕЧНОСТЬ
Классический вид сидению придает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чистится.В
качестве мягкого наполнителя используется поролон.
Металлический каркас покрыт порошковой краской, устойчивой к механическому воздействию (диаметр каркаса
38 мм)
Максимальная статическая нагрузка на стул 150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SHT-S95. Вы можете выбрать любую модель и цвет стула в
нашем конструкторе.
ГАРАНТИЯ 2 ГОДА.
*Оттенок ткани может меняться в зависимости от партии.</t>
  </si>
  <si>
    <t>ягодное варенье/черный муар</t>
  </si>
  <si>
    <t>Стул Sheffilton SHT-ST35/S95-1</t>
  </si>
  <si>
    <t>горчичный/белый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</si>
  <si>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Оригинальную нотку каркасу придают конусообразные ножки с золотым напылением в нижней
части каркаса.
ПРЕКРАСНАЯ ЭРГОНОМИКА сидения обеспечивает удобную посадку и комфортное времяпровождение.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</si>
  <si>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горчичный/черный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</si>
  <si>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Оригинальную нотку каркасу придают конусообразные ножки с золотым напылением в нижней
части каркаса.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сидения обеспечивает удобную посадку и комфортное времяпровождение.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</si>
  <si>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розовый десерт/белый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</si>
  <si>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скругленных линиях спинки и сидения. Такой модный силуэт доставит эстетическое
удовольствие. Оригинальную нотку каркасу придают конусообразные ножки.
ПРЕКРАСНАЯ ЭРГОНОМИКА сидения обеспечивает удобную посадку и комфортное времяпровождение.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ПРЕКРАСНАЯ ЭРГОНОМИКА.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</si>
  <si>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СТ-352</t>
  </si>
  <si>
    <t>тихий океан/черный муар/золото</t>
  </si>
  <si>
    <t>Стул Sheffilton SHT-ST36-1/S100</t>
  </si>
  <si>
    <t>песчаная буря/хром лак</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</si>
  <si>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ПРЕКРАСНАЯ ЭРГОНОМИКА. Стул с каркасом SHT-S95-1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</si>
  <si>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СТ-390</t>
  </si>
  <si>
    <t>песчаная буря/черный муар</t>
  </si>
  <si>
    <t>тихий океан/чёрный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</si>
  <si>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А изящный в своей простоте,
визуально лёгкий и прочный каркас создаст желаемый эффект.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окрашен порошковой краской, устойчивой к механическому воздействию. Максимальная статическая
нагрузка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</si>
  <si>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SHT-ST36-1/S106</t>
  </si>
  <si>
    <t>тихий океан/хром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</si>
  <si>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Одна изящная линия образует
устойчивый каркас для стула на трех опорах.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окрашен порошковой краской, устойчивой к механическому воздействию.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</si>
  <si>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SHT-ST36-1/S107</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</si>
  <si>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Конструкция данного каркаса отличается особой жесткостью и прочностью. Для повышения эксплуатационных
свойств изделия в каркасе используются метал.стяжки из прутка, диаметром 5 мм.Сиденье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*Оттенок ткани может меняться в зависимости от партии.</t>
  </si>
  <si>
    <t>Стул Sheffilton SHT-ST36-1/S112</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</si>
  <si>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Необычное дизайнерское решение
каркаса сделает готовый стул весьма привлекательным и необычным.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Оригинальный цветочный мотив каркаса вплетается в общую концепцию стула.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SHT-S112 обеспечит удобную посадку и комфортное времяпровождение.
НАДЕЖНЫЙ МЕТАЛЛИЧЕСКИЙ КАРКАС окрашен порошковой краской, устойчивой к механическому воздействию.
Максимальная статическая нагрузка на каркас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</si>
  <si>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SHT-ST36-1/S113</t>
  </si>
  <si>
    <t>Стул Sheffilton SHT-ST36-1/S122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</si>
  <si>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Эргономичный каркас с квадратными
ножками смотрится изящно и аккуратно. Плавные линии красиво подчеркнуты спокойной цветовой гаммой.
Купить стул с сидением SHT-ST36 - значит придать интерьеру спокойствие и комфорт, поскольку данный
стул предназначен именно для этого.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Оригинальную нотку каркасу придают ножки с заметным волнообразным изгибом.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</si>
  <si>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SHT-ST36-1/S129</t>
  </si>
  <si>
    <t>песчаная буря/венге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</si>
  <si>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</si>
  <si>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тихий океан/венге крупный</t>
  </si>
  <si>
    <t>СТ-506</t>
  </si>
  <si>
    <t>тихий океан/белый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</si>
  <si>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</si>
  <si>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Стул Sheffilton SHT-ST36-1/S37</t>
  </si>
  <si>
    <t>песчаная буря/белый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</si>
  <si>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</si>
  <si>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песчаная буря/черный муар/зол.платина</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</si>
  <si>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великолепный, богатый оттенок
порошковой краски каркаса подчеркнет убранство.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Изящный в своей простоте, визуально лёгкий и прочный каркас.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Диаметр/толщина каркаса: 18/1,5 мм.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</si>
  <si>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СТ-466</t>
  </si>
  <si>
    <t>ЭКСКЛЮЗИВНО ДЛЯ ВАС
Золотой каркас SHT-S37 для самых востребованных покупателей! Великолепный, богатый оттенок порошковой
краски подчеркнет убранство Вашего дома, офиса, дизайн-студии, кафе, баре, ресторане!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Изящный в своей простоте, визуально лёгкий и прочный каркас.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Диаметр/толщина каркаса: 18/1,5 мм.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</si>
  <si>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SHT-ST36-1/S38</t>
  </si>
  <si>
    <t>ТОВАР ДОСТУПЕН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Каркас выполненый в элегантной
форме, имеет чёткие, плавные линии, прочный и устойчивый, идеальное решения для любого интерьера .
Дело за Вашей фантазией и вдохновением!
СТИЛЬНЫЙ ДИЗАЙН заключен в королевской форме сидения и оригинальной отстрочке спинки.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</si>
  <si>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SHT-ST36-1/S39</t>
  </si>
  <si>
    <t>песчаная буря/белый/платина/серебро</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</si>
  <si>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</si>
  <si>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песчаная буря/дуб выбеленный</t>
  </si>
  <si>
    <t>песчаная буря/прозрачный лак</t>
  </si>
  <si>
    <t>тихий океан/венге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</si>
  <si>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SHT-ST36-1 и каркаса SHT-S39. Вы можете выбрать любую модель и цвет стула
в нашем конструкторе.
ГАРАНТИЯ 2 ГОДА.
*Оттенок ткани может меняться в зависимости от партии.</t>
  </si>
  <si>
    <t>СТ-362</t>
  </si>
  <si>
    <t>тихий океан/дуб атланта брашированный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</si>
  <si>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великолепный каркас выполненный
из массива древесины подчеркнет убранство.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Изящный в своей простоте, визуально лёгкий и прочный каркас. Каркас выполнен целиком
из натурального дуба. Природный рисунок дерева делает каждый каркас уникальным. Каждое изделие обработано
технологией "браширование" - искусственное старение и покрыто прозрачным лаком, что обеспечивает защиту
от внешних воздействий.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ДЕРЕВЯННЫЙ КАРКАС!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</si>
  <si>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тихий океан/светлый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</si>
  <si>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великолепный каркас выполненный
из массива древесины подчеркнет убранство.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Изящный в своей простоте, визуально лёгкий и прочный каркас.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ДЕРЕВЯННЫЙ КАРКАС!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</si>
  <si>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SHT-ST36-1/S64</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</si>
  <si>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Конструкция данного каркаса отличается особой жесткостью и прочностью. Для повышения эксплуатационных
свойств изделия в каркасе используются метал.стяжки из прутка, диаметром 5 мм.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*Оттенок ткани может меняться в зависимости от партии.</t>
  </si>
  <si>
    <t>Стул Sheffilton SHT-ST36-1/S70</t>
  </si>
  <si>
    <t>песчаная буря/прозрачный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</si>
  <si>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*Оттенок ткани может меняться в зависимости от партии.</t>
  </si>
  <si>
    <t>песчаная буря/темный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</si>
  <si>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А сочетание металла и дерева
создадут желаемый эффект.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Каркас выполнен из массива древесины с последующим тонированием и покрытием лаком.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Металлическая часть каркаса окрашена порошковой краской, устойчивой к механическому
воздействию. Прочность и жесткость каркасу добавляют металлические пластины, толщиной 3 мм.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</si>
  <si>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SHT-ST36-1/S95-1</t>
  </si>
  <si>
    <t>CT-374</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</si>
  <si>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ОБИВКА выполнена из микровелюра, в качестве мягкого наполнителя используется поролон.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</si>
  <si>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СТ-374</t>
  </si>
  <si>
    <t>песчаная буря/черный муар/золото</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</si>
  <si>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*Оттенок ткани может меняться в зависимости от партии.</t>
  </si>
  <si>
    <t>тихий океан/белый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</si>
  <si>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Оригинальную нотку каркасу придают конусообразные ножки.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</si>
  <si>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Стул Sheffilton SHT-ST36-3/S100</t>
  </si>
  <si>
    <t>СТ-516</t>
  </si>
  <si>
    <t>нежная мята/черный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</si>
  <si>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НАДЕЖНЫЙ МЕТАЛЛИЧЕСКИЙ КАРКАС окрашен порошковой краской, устойчивой к механическому воздействию.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</si>
  <si>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SHT-ST36-3/S106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</si>
  <si>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НАДЕЖНЫЙ МЕТАЛЛИЧЕСКИЙ КАРКАС окрашен порошковой краской, устойчивой к механическому воздействию.Специальные
подпятники обеспечивают защиту каркаса от царапин, тем самым увеличивая срок службы.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</si>
  <si>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нейтральный серый/черный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</si>
  <si>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Одна изящная линия образует
устойчивый каркас для стула на трех опорах.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окрашен порошковой краской, устойчивой к механическому воздействию.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</si>
  <si>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SHT-ST36-3/S107</t>
  </si>
  <si>
    <t>СТ-347</t>
  </si>
  <si>
    <t>нейтральный серый/чёрный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</si>
  <si>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Каркас выполненый в элегантной
форме, имеет чёткие, плавные линии, прочный и устойчивый, идеальное решения для любого интерьера .
Дело за Вашей фантазией и вдохновением!
СТИЛЬНЫЙ ДИЗАЙН заключен в королевской форме сидения и оригинальной отстрочке спинки.Насыщенная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УСИЛЕННАЯ КОНСТРУКЦИЯ КАРКАСА! Конструкция данного каркаса отличается особой жесткостью и прочностью.
Для повышения эксплуатационных свойств изделия в каркасе используются метал.стяжки из прутка, диаметром
5 мм.
НАДЕЖНЫЙ МЕТАЛЛИЧЕСКИЙ КАРКАС окрашен порошковой краской, устойчивой к механическому воздействию.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</si>
  <si>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</si>
  <si>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</si>
  <si>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SHT-ST36-3/S113</t>
  </si>
  <si>
    <t>нейтральный серый/хром лак</t>
  </si>
  <si>
    <t>ТОВАР ДОСТУПЕН ПОД ЗАКАЗ ОТ 30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SHT-ST36-3 и каркаса SHT-S113. Вы можете выбрать любую модель и цвет стула
в нашем конструкторе.
ГАРАНТИЯ 2 ГОДА.
*Оттенок ткани может меняться в зависимости от партии.</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</si>
  <si>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SHT-ST36-3 и каркаса SHT-S113. Вы можете выбрать любую модель и цвет стула
в нашем конструкторе.
ГАРАНТИЯ 2 ГОДА.
*Оттенок ткани может меняться в зависимости от партии.</t>
  </si>
  <si>
    <t>СТ-446</t>
  </si>
  <si>
    <t>Стул Sheffilton SHT-ST36-3/S122</t>
  </si>
  <si>
    <t>СТ-403</t>
  </si>
  <si>
    <t>нежная мята/темный орех/черный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</si>
  <si>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комфорт.Стул с каркасом SHT-S122 обеспечивает удобную посадку и комфортное времяпровождение.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</si>
  <si>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нейтральный серый/темный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</si>
  <si>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Эргономичный каркас с квадратными
ножками смотрится изящно и аккуратно. Плавные линии красиво подчеркнуты спокойной цветовой гаммой.
Купить стул с сидением SHT-ST36 - значит придать интерьеру спокойствие и комфорт, поскольку данный
стул предназначен именно для этого. Дело за Вашей фантазией и вдохновением!
СТИЛЬНЫЙ ДИЗАЙН заключен в королевской форме сидения и оригинальной отстрочке спинки. Насыщенная расцветка
микровелюра внесет колорит в интерьер. Оригинальную нотку каркасу придают ножки с заметным волнообразным
изгибом.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</si>
  <si>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SHT-ST36-3/S129</t>
  </si>
  <si>
    <t>нежная мята/венге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</si>
  <si>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</si>
  <si>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нейтральный серый/белый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</si>
  <si>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</si>
  <si>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Стул Sheffilton SHT-ST36-3/S37</t>
  </si>
  <si>
    <t>нежная мята/белый</t>
  </si>
  <si>
    <t>нежная мята/медный металлик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</si>
  <si>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SHT-ST36-3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</si>
  <si>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СТ-400</t>
  </si>
  <si>
    <t>Стул Sheffilton SHT-ST36-3/S38</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</si>
  <si>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Каркас выполненый в элегантной
форме, имеет чёткие, плавные линии, прочный и устойчивый, идеальное решения для любого интерьера .
Дело за Вашей фантазией и вдохновением!
СТИЛЬНЫЙ ДИЗАЙН заключен в королевской форме сидения и оригинальной отстрочке спинки.Насыщенная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</si>
  <si>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SHT-ST36-3/S39</t>
  </si>
  <si>
    <t>нежная мята/прозрачный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</si>
  <si>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</si>
  <si>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нежная мята/темный орех</t>
  </si>
  <si>
    <t>нейтральный серый/венге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</si>
  <si>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великолепный каркас выполненный
из массива древесины подчеркнет убранство. Дело за Вашей фантазией и вдохновением!
СТИЛЬНЫЙ ДИЗАЙН заключен в королевской форме сидения и оригинальной отстрочке спинки. Насыщенная расцветка
микровелюра внесет колорит в интерьер. Изящный в своей простоте, визуально лёгкий и прочный каркас.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ДЕРЕВЯННЫЙ КАРКАС!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</si>
  <si>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нейтральный серый/дуб атлант браш.</t>
  </si>
  <si>
    <t>Стул Sheffilton SHT-ST36-3/S64</t>
  </si>
  <si>
    <t>Стул Sheffilton SHT-ST36-3/S70</t>
  </si>
  <si>
    <t>нежная мята/темный орех/черный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</si>
  <si>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лаком.Металлическая часть
каркаса окрашена порошковой краской, устойчивой к механическому воздействию.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</si>
  <si>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нейтральный серый/темный орех/черный му</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</si>
  <si>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А сочетание металла и дерева
создадут желаемый эффект. Дело за Вашей фантазией и вдохновением!
СТИЛЬНЫЙ ДИЗАЙН заключен в королевской форме сидения и оригинальной отстрочке спинки. Насыщенная расцветка
микровелюра внесет колорит в интерьер. Каркас выполнен из массива древесины с последующим тонированием
и покрытием лаком.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Металлическая часть каркаса окрашена порошковой краской, устойчивой к механическому
воздействию. Прочность и жесткость каркасу добавляют металлические пластины, толщиной 3 мм.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</si>
  <si>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SHT-ST36-3/S87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</si>
  <si>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 Нежная расцветка микровелюра внесет уют и воздушность в интерьер. 
Изящный в своей простоте, визуально лёгкий и прочный каркас в стиле хай-тек. Внешнее сходство тонких
линий с Эйфелевой башней придает готовому изделию нотку французского шарма.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Пластиковые подпятники позволяют избавить поверхность каркаса и пола от повреждений. Высота каркаса
415 мм. Выполнен из прутка толщиной 8 мм. и проволоки толщиной 5 мм. Диаметр верхнего основания 215
мм. Диаметр нижнего основания 470 мм.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</si>
  <si>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SHT-ST36-3/S95-1</t>
  </si>
  <si>
    <t>нежная мята/белый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</si>
  <si>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</si>
  <si>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нежная мята/черный муар/золото</t>
  </si>
  <si>
    <t>нейтральный серый/белый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</si>
  <si>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Насыщенная
расцветка микровелюра внесет колорит в интерьер. Оригинальную нотку каркасу придают конусообразные
ножки.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</si>
  <si>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нейтральный серый/черный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</si>
  <si>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ОБИВКА выполнена из микровелюра, в качестве мягкого наполнителя используется поролон.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</si>
  <si>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СТ-448</t>
  </si>
  <si>
    <t>Стул Sheffilton SHT-ST36-4/S106</t>
  </si>
  <si>
    <t>сумеречная орхидея/черный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</si>
  <si>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</si>
  <si>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SHT-ST36-4/S107</t>
  </si>
  <si>
    <t>сумеречная орхидея/хром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</si>
  <si>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</si>
  <si>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SHT-ST36-4/S112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</si>
  <si>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</si>
  <si>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SHT-ST36-4/S113</t>
  </si>
  <si>
    <t>Стул Sheffilton SHT-ST36-4/S122</t>
  </si>
  <si>
    <t>сумеречная орхидея/темный орех/черн.муар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</si>
  <si>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Оригинальную нотку каркасу придают ножки с заметным волнообразным изгибом.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</si>
  <si>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SHT-ST36-4/S37</t>
  </si>
  <si>
    <t>сумеречная орхидея/золото</t>
  </si>
  <si>
    <t>СТ-454</t>
  </si>
  <si>
    <t>Стул Sheffilton SHT-ST36-4/S38</t>
  </si>
  <si>
    <t>Стул Sheffilton SHT-ST36-4/S39</t>
  </si>
  <si>
    <t>сумеречная орхидея/венге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</si>
  <si>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</si>
  <si>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сумеречная орхидея/прозрачный лак</t>
  </si>
  <si>
    <t>сумеречная орхидея/темный орех</t>
  </si>
  <si>
    <t>Стул Sheffilton SHT-ST36-4/S64</t>
  </si>
  <si>
    <t>Стул Sheffilton SHT-ST36-4/S70</t>
  </si>
  <si>
    <t>сумеречная орхидея/прозрачный лак/черный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</si>
  <si>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</si>
  <si>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SHT-ST36-4/S95-1</t>
  </si>
  <si>
    <t>сумеречная орхидея/черный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</si>
  <si>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Оригинальную нотку каркасу придают конусообразные ножки с золотым напылением в нижней части каркаса.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</si>
  <si>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SHT-ST36/S100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</si>
  <si>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НАДЕЖНЫЙ МЕТАЛЛИЧЕСКИЙ КАРКАС окрашен порошковой краской, устойчивой к механическому воздействию.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</si>
  <si>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SHT-ST36/S106</t>
  </si>
  <si>
    <t>ночное затмение/черный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</si>
  <si>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</si>
  <si>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Sheffilton SHT-ST36/S107</t>
  </si>
  <si>
    <t>СТ-531</t>
  </si>
  <si>
    <t>Стул Sheffilton SHT-ST36/S113</t>
  </si>
  <si>
    <t>Стул Sheffilton SHT-ST36/S122</t>
  </si>
  <si>
    <t>ванильный крем/темный орех/черный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</si>
  <si>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комфорт.Стул с каркасом SHT-S122 обеспечивает удобную посадку и комфортное времяпровождение.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</si>
  <si>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ночное затмение/темный орех/черный муар</t>
  </si>
  <si>
    <t>Стул Sheffilton SHT-ST36/S129</t>
  </si>
  <si>
    <t>ванильный крем/белый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</si>
  <si>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Нежная расцветка микровелюра внесет уюта в интерьер. 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</si>
  <si>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ночное затмение/белый муар/золото</t>
  </si>
  <si>
    <t>ночное затмение/венге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</si>
  <si>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королевской форме сидения. Нежная расцветка микровелюра внесет уюта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</si>
  <si>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Стул Sheffilton SHT-ST36/S37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</si>
  <si>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</si>
  <si>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ванильный крем/хром лак</t>
  </si>
  <si>
    <t>ночное затмение/золото</t>
  </si>
  <si>
    <t>ночное затмение/медный металлик</t>
  </si>
  <si>
    <t>Стул Sheffilton SHT-ST36/S38</t>
  </si>
  <si>
    <t>Стул Sheffilton SHT-ST36/S39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</si>
  <si>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</si>
  <si>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ванильный крем/светлый орех</t>
  </si>
  <si>
    <t>ночное затмение/светлый орех</t>
  </si>
  <si>
    <t>ночное затмение/темный орех</t>
  </si>
  <si>
    <t>Стул Sheffilton SHT-ST36/S64</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</si>
  <si>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Конструкция данного каркаса отличается особой жесткостью и прочностью. Для повышения эксплуатационных
свойств изделия в каркасе используются метал.стяжки из прутка, диаметром 5 мм.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*Оттенок ткани может меняться в зависимости от партии.</t>
  </si>
  <si>
    <t>Стул Sheffilton SHT-ST36/S70</t>
  </si>
  <si>
    <t>ванильный крем/прозрачный лак/черный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</si>
  <si>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</si>
  <si>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ночное затмение/темный орех/черный</t>
  </si>
  <si>
    <t>Стул Sheffilton SHT-ST36/S95-1</t>
  </si>
  <si>
    <t>ванильный крем/белый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</si>
  <si>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</si>
  <si>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СТ-484</t>
  </si>
  <si>
    <t>ночное затмение/черный муар/золото</t>
  </si>
  <si>
    <t>Стул Sheffilton SHT-ST37/S100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</si>
  <si>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НАДЕЖНЫЙ МЕТАЛЛИЧЕСКИЙ КАРКАС окрашен порошковой краской, устойчивой к механическому воздействию.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</si>
  <si>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Sheffilton SHT-ST37/S106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</si>
  <si>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SHT-S106. Вы можете выбрать любую модель и цвет стула в
нашем конструкторе.
ГАРАНТИЯ 2 ГОДА.
*Оттенок ткани может меняться в зависимости от партии.</t>
  </si>
  <si>
    <t>серое облако/хром лак</t>
  </si>
  <si>
    <t>Стул Sheffilton SHT-ST37/S112</t>
  </si>
  <si>
    <t>СТ-348</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</si>
  <si>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SHT-S112.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</si>
  <si>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SHT-ST37/S113</t>
  </si>
  <si>
    <t>Стул Sheffilton SHT-ST37/S122</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</si>
  <si>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</si>
  <si>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SHT-ST37/S129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</si>
  <si>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</si>
  <si>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рубиновое вино/венге крупный</t>
  </si>
  <si>
    <t>серое облако/венге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</si>
  <si>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t>
  </si>
  <si>
    <t>Стул Sheffilton SHT-ST37/S37</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</si>
  <si>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</si>
  <si>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СТ-292</t>
  </si>
  <si>
    <t>рубиновое вино/золото</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</si>
  <si>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SHT-S37. Вы можете выбрать любую модель и цвет стула в
нашем конструкторе.
ГАРАНТИЯ 2 ГОДА.
*Оттенок ткани может меняться в зависимости от партии.</t>
  </si>
  <si>
    <t>рубиновое вино/медный металлик</t>
  </si>
  <si>
    <t>серое облако/черный муар</t>
  </si>
  <si>
    <t>Стул Sheffilton SHT-ST37/S38</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</si>
  <si>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SHT-S38. Вы можете выбрать любую модель и цвет стула в
нашем конструкторе.
ГАРАНТИЯ 2 ГОДА.
*Оттенок ткани может меняться в зависимости от партии.</t>
  </si>
  <si>
    <t>рубиновое вино/черный муар</t>
  </si>
  <si>
    <t>Стул Sheffilton SHT-ST37/S39</t>
  </si>
  <si>
    <t>горчичный/венге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</si>
  <si>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SHT-S39. Вы можете выбрать любую модель и цвет стула в
нашем конструкторе.
ГАРАНТИЯ 2 ГОДА.
*Оттенок ткани может меняться в зависимости от партии.</t>
  </si>
  <si>
    <t>горчичный/прозрачный лак</t>
  </si>
  <si>
    <t>СТ-305</t>
  </si>
  <si>
    <t>рубиновое вино/темный орех</t>
  </si>
  <si>
    <t>серое облако/прозрачный лак</t>
  </si>
  <si>
    <t>Стул Sheffilton SHT-ST37/S64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</si>
  <si>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</si>
  <si>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СТ-498</t>
  </si>
  <si>
    <t>Стул Sheffilton SHT-ST37/S70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</si>
  <si>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Прочность
и жесткость каркасу добавляют металлические пластины, толщиной 3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SHT-S70. Вы можете выбрать любую модель и цвет стула в
нашем конструкторе.
ГАРАНТИЯ 2 ГОДА.
*Оттенок ткани может меняться в зависимости от партии.</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</si>
  <si>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Прочность
и жесткость каркасу добавляют металлические пластины, толщиной 3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SHT-S70. Вы можете выбрать любую модель и цвет стула в
нашем конструкторе.
ГАРАНТИЯ 2 ГОДА.
*Оттенок ткани может меняться в зависимости от партии.</t>
  </si>
  <si>
    <t>Стул Sheffilton SHT-ST37/S95-1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</si>
  <si>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ОБИВКА выполнена из микровелюра, в качестве мягкого наполнителя используется поролон.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</si>
  <si>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рубиновое вино/черный муар/золото</t>
  </si>
  <si>
    <t>серое облако/белый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</si>
  <si>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Оригинальную нотку каркасу придают конусообразные
ножки.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</si>
  <si>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СТ-380</t>
  </si>
  <si>
    <t>Стул Sheffilton SHT-ST38-1/S100</t>
  </si>
  <si>
    <t>лунный мрамор/черный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</si>
  <si>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</si>
  <si>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SHT-ST38-1/S106</t>
  </si>
  <si>
    <t>лунный мрамор/хром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</si>
  <si>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Специальные подпятники позволяют избавить поверхность каркаса и пола от повреждений.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</si>
  <si>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SHT-ST38-1/S112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</si>
  <si>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</si>
  <si>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SHT-ST38-1/S113</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</si>
  <si>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</si>
  <si>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SHT-ST38-1/S122</t>
  </si>
  <si>
    <t>СТ-477</t>
  </si>
  <si>
    <t>лунный мрамор/темный орех/черный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</si>
  <si>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</si>
  <si>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SHT-ST38-1/S129</t>
  </si>
  <si>
    <t>лунный мрамор/венге крупный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</si>
  <si>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</si>
  <si>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СТ-483</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</si>
  <si>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</si>
  <si>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SHT-ST38-1/S37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</si>
  <si>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</si>
  <si>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SHT-ST38-1/S38</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</si>
  <si>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</si>
  <si>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SHT-ST38-1/S39</t>
  </si>
  <si>
    <t>лунный мрамор/венге</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</si>
  <si>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</si>
  <si>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лунный мрамор/дуб выбеленный</t>
  </si>
  <si>
    <t>Стул Sheffilton SHT-ST38-1/S64</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</si>
  <si>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</si>
  <si>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СТ-468</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</si>
  <si>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НАДЕЖНЫЕ МЕТАЛЛИЧЕСКИЕ ОПОРЫ окрашены порошковой краской, устойчивой к механическому воздействию.
Для повышения эксплуатационных свойств изделия в каркасе используются метал.стяжки из прутка, диаметром
5 мм.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</si>
  <si>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SHT-ST38-1/S70</t>
  </si>
  <si>
    <t>лунный мрамор/темный орех/черный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</si>
  <si>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</si>
  <si>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SHT-ST38-1/S71</t>
  </si>
  <si>
    <t>лунный мрамор/дуб браш. 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</si>
  <si>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Выполнен из МАССИВА ДРЕВЕСИНЫ, браширован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</si>
  <si>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SHT-ST38/S100</t>
  </si>
  <si>
    <t>зефирный/черный муар</t>
  </si>
  <si>
    <t>синий пепел/черный муар</t>
  </si>
  <si>
    <t>СТ-479</t>
  </si>
  <si>
    <t>Стул Sheffilton SHT-ST38/S106</t>
  </si>
  <si>
    <t>зефирный/хром лак</t>
  </si>
  <si>
    <t>Стул Sheffilton SHT-ST38/S112</t>
  </si>
  <si>
    <t>СТ-422</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</si>
  <si>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Oригинальный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Обращаем внимание на детали, мягкое сидение, отведенная назад спинка с подлокотниками,
отвечают за вашу эргономичную посадку. . Стул с каркасом SHT-S112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*Оттенок ткани может меняться в зависимости от партии.</t>
  </si>
  <si>
    <t>Стул Sheffilton SHT-ST38/S113</t>
  </si>
  <si>
    <t>угольно-серый/чёрный муар</t>
  </si>
  <si>
    <t>Стул Sheffilton SHT-ST38/S122</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</si>
  <si>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*Оттенок ткани может меняться в зависимости от партии.</t>
  </si>
  <si>
    <t>зефирный/темный орех/черный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</si>
  <si>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Оригинальную нотку каркасу
придают ножки с заметным волнообразным изгибом.
ПРЕКРАСНАЯ ЭРГОНОМИКА. Обращаем внимание на детали, мягкое сидение, отведенная назад спинка с подлокотниками,
отвечают за вашу эргономичную посадку. Стул с каркасом SHT-S122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древесины твердых пород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*Оттенок ткани может меняться в зависимости от партии.</t>
  </si>
  <si>
    <t>синий пепел/темный орех/черный</t>
  </si>
  <si>
    <t>Стул Sheffilton SHT-ST38/S129</t>
  </si>
  <si>
    <t>зефирный/белый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</si>
  <si>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Оригинальная конусообразная форма опор, смотрится гармонично с мягкими сидениями
Sheffilton и основанием для стола в аналогичном стиле SHT-TU14 черный муар. Сиденье обеспечивает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ПРОЧНОСТЬ И ДОЛГОВЕЧНОСТЬ. В основе сидений лежит фанера со специальными отверстиями для крепления
опор.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</si>
  <si>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синий пепел/венге крупный</t>
  </si>
  <si>
    <t>Стул Sheffilton SHT-ST38/S37</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</si>
  <si>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
*Оттенок ткани может меняться в зависимости от партии.</t>
  </si>
  <si>
    <t>синий пепел/медный металлик</t>
  </si>
  <si>
    <t>СТ-429</t>
  </si>
  <si>
    <t>зефирный/белый</t>
  </si>
  <si>
    <t>Стул Sheffilton SHT-ST38/S38</t>
  </si>
  <si>
    <t>Стул Sheffilton SHT-ST38/S39</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</si>
  <si>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*Оттенок ткани может меняться в зависимости от партии.</t>
  </si>
  <si>
    <t>зефирный/венге</t>
  </si>
  <si>
    <t>зефирный/прозрачный лак</t>
  </si>
  <si>
    <t>синий пепел/венге</t>
  </si>
  <si>
    <t>синий пепел/светлый орех</t>
  </si>
  <si>
    <t>СТ-501</t>
  </si>
  <si>
    <t>угольно-серый/светлый орех</t>
  </si>
  <si>
    <t>угольно-серый/серый</t>
  </si>
  <si>
    <t>Стул Sheffilton SHT-ST38/S64</t>
  </si>
  <si>
    <t>СТ-342</t>
  </si>
  <si>
    <t>Стул Sheffilton SHT-ST38/S70</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</si>
  <si>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Металлическая часть
каркаса окрашена порошковой краской, устойчивой к механическому воздействию.
*Оттенок ткани может меняться в зависимости от партии.</t>
  </si>
  <si>
    <t>зефирный/прозрачный лак/черный муар</t>
  </si>
  <si>
    <t>СТ-458</t>
  </si>
  <si>
    <t>Стул Sheffilton SHT-ST38/S71</t>
  </si>
  <si>
    <t>СТ-453</t>
  </si>
  <si>
    <t>угольно-серый/дуб браш. коричневый</t>
  </si>
  <si>
    <t>Стул Sheffilton SHT-ST38/S95-1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</si>
  <si>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Оригинальную нотку каркасу
придают конусообразные ножки с золотым напылением в нижней части каркаса.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Обращаем внимание на детали, мягкое сидение, отведенная назад спинка с подлокотниками,
отвечают за вашу эргономичную посадку.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*Оттенок ткани может меняться в зависимости от партии.</t>
  </si>
  <si>
    <t>зефирный/белый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</si>
  <si>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каркасу придают конусообразные ножки.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Стул с каркасом SHT-S95-1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t>
  </si>
  <si>
    <t>угольно-серый/белый муар</t>
  </si>
  <si>
    <t>СТ-388</t>
  </si>
  <si>
    <t>зефирный/черный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</si>
  <si>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Стул с каркасом SHT-S95-1 обеспечивает удобную посадку и комфортное времяпровождение.Сиденье
обеспечивает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</si>
  <si>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Sheffilton SHT-ST3-C12/S37 PC</t>
  </si>
  <si>
    <t>СТ-359</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</si>
  <si>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1 ГОД.</t>
  </si>
  <si>
    <t>Стул Sheffilton SHT-ST9/S100</t>
  </si>
  <si>
    <t>Идеально подойдет для помещений, оформленных в лофт или эко-стиле.
ПРОЧНОСТЬ И ДОЛГОВЕЧНОСТЬ
Сидение из массива дуба, прочной и твердой древесины, толщиной 24 мм.
Естественный рисунок и выразительная фактура дерева подчеркнуты брашированием (эффект "искусственного
старения") и обработкой матовым лаком.
Металлический каркас покрыт порошковой краской, устойчивой к механическому воздействию (диаметр/толщина
каркаса: 18/1,5 мм)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SHT-ST9 и каркаса SHT-S100. Вы можете выбрать любую модель и цвет стула в
нашем конструкторе.
ГАРАНТИЯ 2 ГОДА.</t>
  </si>
  <si>
    <t>Стул Sheffilton SHT-ST9/S37</t>
  </si>
  <si>
    <t>СТ-93</t>
  </si>
  <si>
    <t>Перед Вами изящный в своей простоте, визуально лёгкий и прочный стул. Сидение выполнено из массива
дуба с декоративной отделой браширование (эффект "искусственного старения"), которая подчеркивает
натуральную красоту и текстуру дерева. Стул идеально подойдет для помещений, оформленных в лофт или
эко-стиле Гармонично и со вкусом будет смотреться в доме, офисах, дизайн-студиях, кафе, барах, ресторанах.
- Толщина сидения 24 мм.;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НАДЕЖНЫЙ МЕТАЛЛИЧЕСКИЙ КАРКАС окрашен порошковой краской, устойчивой к механическому воздействию;
- Максимальная статическая нагрузка - 260 кг.
- Гарантия 2 года.</t>
  </si>
  <si>
    <t>Стул Sheffilton SHT-ST9/S70</t>
  </si>
  <si>
    <t>СТ-92</t>
  </si>
  <si>
    <t>Сочетание металла и дерева действительно создают желаемый эффект. Металл - верный спутник хай-тека,
дерево несет в себе благородство тепла и цвета. В современных дизайнерских проектах нашему стулу точно
найдется достойное место!
- Сидение выполнено из массива дуба с декоративной отделой браширование (эффект "искусственного старения");
- Толщина сидения 24 мм.;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
- Гарантия 2 года.</t>
  </si>
  <si>
    <t>- Модный, стильный, симпатичный.
- Идеально подойдет для помещений, оформленных в лофт или эко-стиле.
- Сидение из массива дуба, прочной и твердой древесины, толщиной 24 мм.
- Естественный рисунок и выразительная фактура дерева подчеркнуты прозрачным лаком.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t>
  </si>
  <si>
    <t>Стул Sheffilton SHT-ST9/S71</t>
  </si>
  <si>
    <t>Стильный представитель лофт-интерьеров.
Созданный из премиальных материалов: сидение и ножки стула из массива дуба, прочной и твердой древесины
брашированны, что придает ему винтажный оттенок старины и подчеркивает натуральную красоту и текстуру
дерева.
Толщина сидения - 24 мм, каркаса - 30х30 и перекладины 60х10 мм.
Ширина передних опор 410 мм, задних 400 мм.
Максимальная статическая нагрузка - 200 кг.
Гарантия 2 года.</t>
  </si>
  <si>
    <t>Стул Sheffilton SHT-ST9/S74</t>
  </si>
  <si>
    <t>дуб браш./черный зол.патина</t>
  </si>
  <si>
    <t>ТОВАР ДОСТУПЕН ТОЛЬКО ПОД ЗАКАЗ ОТ 20 ШТУК!
Образец отличного стула в стиле лофт. Металлические цепи придают истинно мужской характер.
Эффектно будет смотреться в интерьере паба, бара, кафе. Прекрасно сочетается с основанием для стола
SHT-TU11.
- Сидение выполнено из массива дуба с декоративной отделой браширование (эффект "искусственного старения");
- Толщина сидения 24 мм.;
- Каркас цельносварной металлический, с декоративной отделкой - патинирование "под золото";
- Максимальная статическая нагрузка - 260 кг.
- Гарантия 2 года.</t>
  </si>
  <si>
    <t>Стул Sheffilton подъемно-поворотный SHT-ST29/S120</t>
  </si>
  <si>
    <t>СТ-279</t>
  </si>
  <si>
    <t>Классический вращающийся стул на колесиках с газлифтом подходит для любого современного, стильного
офиса или учебного учреждения.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SHT-ST29 и каркаса SHT-S120. Вы можете выбрать любую модель и цвет стула в
нашем конструкторе.
ГАРАНТИЯ 2 ГОДА.
Рекомендуем стул для Точка Роста</t>
  </si>
  <si>
    <t>Стул Sheffilton подъемно-поворотный  SHT-ST38/S120</t>
  </si>
  <si>
    <t>зефирный/черный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</si>
  <si>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*Оттенок ткани может меняться в зависимости от партии.</t>
  </si>
  <si>
    <t>Стул барный Sheffilton SHT-S102</t>
  </si>
  <si>
    <t>СТ-102</t>
  </si>
  <si>
    <t>ДОСТУПЕН ПОД ЗАКАЗ ОТ 20 ШТУК!
Материалы и высокий уровень исполнения говорят о прочности и долговечности стула. Барный стул SHT-S102
отлично впишется в арт пространство. Эффектно будет смотреться в интерьере паба, бара, кафе.
Уникальность барного стула SHT-S102 составляют несколько отличительных черт:
- Спинка стула выполнена из алюминиевого сплава толщиной 10 мм. и установлена на скрытый крепеж. Окрашена
порошковой краской белого цвета;
- Мягкое сидение с наполнителем из поролона обшито высококачественным кож. замом цвета "espresso".
- Каркас стула выполнен из металлической трубы, длиной/шириной 20 мм. и окрашен порошковой краской,
устойчивой к механическому воздействию;
- Металлические детали сварены между собой цельносварными швами. Такой тип сварки делает конструкцию
еще более надежной
- Используйте стул в помещении или на закрытой веранде;
- Максимальная статическая нагрузка на стул 300 кг;
- Гарантия 2 года.
*Оттенок ткани может меняться в зависимости от партии.</t>
  </si>
  <si>
    <t>Стул барный Sheffilton SHT-S119</t>
  </si>
  <si>
    <t>виридиан микс/золото</t>
  </si>
  <si>
    <t>ДОСТУПЕН ПОД ЗАКАЗ ОТ 30 ШТУК!
Стильный мягкий современный барный стул SHT-S119 отлично впишется в любой интерьер жилого или общественного
помещения благодаря своему неповторимому классическому американскому дизайну. Крепче и практичнее
варианта, чем барный стул на металлокаркасе найти сложно, особенно, если Вам нужно, чтобы мебель прослужила
долго и не теряла свой внешний вид. Современный интерьер идеально дополнит стильный барный мягкий
стул. Такой мебельный элемент смотрится богато, а высококачественный микровелюр добавит обстановке
изыска.
ПРОЧНОСТЬ И ДОЛГОВЕЧНОСТЬ
Мягкое сидение сшито из микровелюра. Металлический каркас покрыт порошковой краской, устойчивой к
механическому воздействию.
МЯГКОЕ СИДЕНИЕ
Обивка выполнена из микровелюра, в качестве мягкого наполнителя используется поролон. Мягкая заниженная
спинка и сидение обеспечят удобную посадку, необходимую для полного расслабления.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</si>
  <si>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барный Sheffilton SHT-S48</t>
  </si>
  <si>
    <t>CT-48</t>
  </si>
  <si>
    <t>- Компактный, модный, яркий. Занимает мало места. Легко собирается.
- Отличный вариант для баров, кафе, ресторанов, а также для жилых пространств (кухня, дача, беседка,
лоджия, детская комната, веранда).
- Сидение выполнено из полипропилена, толщиной 2,5 мм.
- Размеры сидения: 350х45 мм. (D - 300 мм.).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Металлический каркас покрыт порошковой краской, устойчивой к механическому воздействию.
- Максимальная статическая нагрузка - 260 кг.
- Гарантия 2 года.</t>
  </si>
  <si>
    <t>- Компактный, модный, яркий. Занимает мало места. Легко собирается.
- Отличный вариант для баров, кафе, ресторанов, а также для жилых пространств (кухня, дача, беседка,
лоджия, детская комната, веранда).
- Сидение выполнено из полипропилена, толщиной 2,5 мм.
- Размеры сидения: 350х45 мм. (D - 300 мм.).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Металлический каркас покрыт порошковой краской, устойчивой к механическому воздействию.
- Максимальная статическая нагрузка - 260 кг.
- Гарантия 2 года.</t>
  </si>
  <si>
    <t>синий/хром лак</t>
  </si>
  <si>
    <t>ТОВАР ДОСТУПЕН ПОД ЗАКАЗ ОТ 20 ШТУК!
- Компактный, модный, яркий. Занимает мало места. Легко собирается.
- Отличный вариант для баров, кафе, ресторанов, а также для жилых пространств (кухня, дача, беседка,
лоджия, детская комната, веранда).
- Текстура натурального дерева делает стул универсальным для любой комнаты.
- Сидение выполнено из полипропилена, толщиной 2,5 мм.
- Размеры сидения: 350х45 мм. (D - 300 мм.).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Металлический каркас покрыт порошковой краской, устойчивой к механическому воздействию.
- Максимальная статическая нагрузка - 260 кг.
- Гарантия 2 года.</t>
  </si>
  <si>
    <t>- Компактный, модный, яркий;
- Занимает мало места;
- Легко собирается;
- Отличный вариант для баров, кафе, ресторанов, а также для жилых пространств (кухня, дача, беседка,
лоджия, детская комната, веранда);
- Отличное сочетание российского качества, европейского дизайна и очень доступной цены;
- Сидение выполнено из полипропилена, толщина - 2,5 мм;
- Размер сидения: 350х45 мм (D - 300мм);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Металлический каркас покрыт порошковой краской, устойчивой к механическому воздействию;
- Максимальная статическая нагрузка - 260 кг.
- Гарантия 2 года.</t>
  </si>
  <si>
    <t>шоколадный/хром лак</t>
  </si>
  <si>
    <t>Стул барный Sheffilton SHT-ST10-1/S80</t>
  </si>
  <si>
    <t>СТ-225</t>
  </si>
  <si>
    <t>дуб выбеленный/прозрачный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</si>
  <si>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SHT-ST10-1 и каркаса SHT-S80.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</si>
  <si>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ноче рубино/темный орех/черный муар</t>
  </si>
  <si>
    <t>Стул барный Sheffilton SHT-ST15-1/S65</t>
  </si>
  <si>
    <t>дуб выбеленный/дуб брашир. коричневый</t>
  </si>
  <si>
    <t>ТОВАР ДОСТУПЕН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Каркас выполнен из массива древесины с последующим тонированием и покрытием лаком.
Декоративная отделка каркаса - браширование (эффект "искусственного старения"), подчеркивающая натуральную
красоту и текстуру дерева.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УСЛОВИЯ ИСПОЛЬЗОВАНИЯ
Использовать сидение только в помещении или на закрытой веранде.
СТАНЬТЕ ДИЗАЙНЕРОМ СВОЕГО СТУЛА!
Стул состоит из сидения SHT-ST15-1 и каркаса SHT-S65. Вы можете выбрать любую модель и цвет стула
в нашем конструкторе.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</si>
  <si>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Стул барный Sheffilton SHT-ST16/S66</t>
  </si>
  <si>
    <t>Изящный в своей простоте, визуально лёгкий и прочный стул.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Стул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Устойчивые опоры выполнены из металлического прутка толщиной 8 и 5 мм.;
- НАДЕЖНЫЕ МЕТАЛЛИЧЕСКИЕ ОПОРЫ окрашены порошковой краской, устойчивой к механическому воздействию;
- Высота каркаса 730 мм;
- Диаметр каркаса: 8 и 5 мм;
- Максимальная статическая нагрузка - 200 кг.
- Гарантия 2 года.</t>
  </si>
  <si>
    <t>- Изящный в своей простоте, визуально лёгкий и прочный!
- Идеально подойдет для помещений, оформленных в лофт или эко-стиле.
- Сидение из массива дуба, прочной и твердой древесины.
- Диаметр/толщина сидения - 350/25 мм.
- Естественный рисунок и выразительная фактура дерева подчеркнуты прозрачным лаком.
- НАДЕЖНЫЕ МЕТАЛЛИЧЕСКИЕ ОПОРЫ окрашены порошковой краской, устойчивой к механическому воздействию.
- Диаметр каркаса: 8 и 5 мм.
- Максимальная статическая нагрузка на стул 200 кг.</t>
  </si>
  <si>
    <t>СТ-283</t>
  </si>
  <si>
    <t>Стул барный Sheffilton SHT-ST16/S80</t>
  </si>
  <si>
    <t>прозрачный лак/темный орех/черный</t>
  </si>
  <si>
    <t>дерево (дуб)/дерево/металл</t>
  </si>
  <si>
    <t>- Изящный в своей простоте, визуально лёгкий и прочный!
- Идеально подойдет для помещений, оформленных в лофт или эко-стиле.
- Сидение из массива дуба, прочной и твердой древесины.
- Диаметр/толщина сидения - 350/25 мм.
- Естественный рисунок и выразительная фактура дерева подчеркнуты прозрачным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на стул 200 кг.</t>
  </si>
  <si>
    <t>СТ-91</t>
  </si>
  <si>
    <t>Сочетание металла и дерева отлично впишутся в современный интерьер стиля "лофт" или хай-тек. Барному
стулу с каркасом S80 точно найдется место за барной стойкой в современных дизайнерских проектах. Сидение
изготовлено из массива дуба, прочной и твердой древесины. Естественный рисунок и выразительная фактура
дерева подчеркнуты брашированием (эффект "искусственного старения") и обработкой матовым лаком. Стул
идеально подойдет для помещений, оформленных в лофт или эко-стиле. Хорошо будет смотреться и дома,
и в офисе, столовой, в кафе, баре или ресторане.
- Диаметр/толщина сидения - 350/25 мм.;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
- Гарантия 2 года.</t>
  </si>
  <si>
    <t>Стул барный Sheffilton SHT-ST16/S81</t>
  </si>
  <si>
    <t>- Идеально подойдет для помещений, оформленных в лофт или эко-стиле.
- Сидение из массива дуба, прочной и твердой древесины.
- Диаметр/толщина сидения - 350/25 мм.
- Естественный рисунок и выразительная фактура дерева подчеркнуты брашированием (эффект "искусственного
старения") и обработкой матовым лаком.
-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- 200 кг.</t>
  </si>
  <si>
    <t>Стул барный Sheffilton SHT-ST18-1/S80</t>
  </si>
  <si>
    <t>темный янтарь/темный орех/черный</t>
  </si>
  <si>
    <t>эпоксидная смола/дерево/металл</t>
  </si>
  <si>
    <t>Сидение отлично подойдет для интерьера в "эко-стиле" и "лофт". Уместно будет смотреться в барах, кафе,
ресторанах, как за барной стойкой, так и за обычным столом. Все слебы имеют уникальную форму, поэтому
могут отличаться друг от друга. В данной модели сохранена текстура коры и тактильные качества. При
грамотном дизайне естественный рисунок и оригинальность спила будут притягивать взгляды посетителей.
Поверьте, идеально ровная прозрачная поверхность заставит подойти поближе, рассмотреть и сесть на
сидение. А если уж сел, то просто необходимо заказать, что-то вкусненькое со льдом.
- Сидение выполнено из спила ствола дерева (слэб);
- Уникальность рисунка сидения сохранена с помощью заливки из эпоксидной смолы. Данный вид смолы отличается
высокой прочностью, можно не бояться садиться в одежде с металлическими вставками или ставить предметы
быта на поверхность;
- Хорошие водозащитные свойства, Вы можете спокойно мыть или протирать сидение;
- Длительное пребывание изделия на солнце не рекомендовано;
- Толщина сидения - 60-80 мм.;
- Из-за неоднорости размера натурального массива слеба возможно отклонение в размере "+ -" 20 мм.
по максимальному диаметру;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t>
  </si>
  <si>
    <t>Стул барный Sheffilton SHT-ST18-1/S81</t>
  </si>
  <si>
    <t>темный янтарь/брашированный коричневый</t>
  </si>
  <si>
    <t>эпоксидная смола/дуб</t>
  </si>
  <si>
    <t>Сидение отлично подойдет для интерьера в "эко-стиле" и "лофт". Уместно будет смотреться в барах, кафе,
ресторанах, как за барной стойкой, так и за обычным столом. Все слебы имеют уникальную форму, поэтому
могут отличаться друг от друга. В данной модели сохранена текстура коры и тактильные качества. При
грамотном дизайне естественный рисунок и оригинальность спила будут притягивать взгляды посетителей.
Поверьте, идеально ровная прозрачная поверхность заставит подойти поближе, рассмотреть и сесть на
сидение. А если уж сел, то просто необходимо заказать, что-то вкусненькое со льдом.
- Сидение выполнено из спила ствола дерева (слэб);
- Уникальность рисунка сидения сохранена с помощью заливки из эпоксидной смолы. Данный вид смолы отличается
высокой прочностью, можно не бояться садиться в одежде с металлическими вставками или ставить предметы
быта на поверхность;
- Хорошие водозащитные свойства, Вы можете спокойно мыть или протирать сидение;
- Длительное пребывание изделия на солнце не рекомендовано;
- Толщина сидения - 60-80 мм.;
- Из-за неоднорости размера натурального массива слеба возможно отклонение в размере "+ -" 20 мм.
по максимальному диаметру;
-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Максимальная статическая нагрузка - 200 кг.</t>
  </si>
  <si>
    <t>Стул барный Sheffilton SHT-ST19/S29</t>
  </si>
  <si>
    <t>СТ-127</t>
  </si>
  <si>
    <t>- В этом стуле гармонично сочетается красота и комфорт;
- Эта модель без сомнения украсит бар, ресторан, кафе, дизайн-студию, или стильную кухню;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Высота каркаса 730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
- Гарантия 2 года.</t>
  </si>
  <si>
    <t>желтый / черный муар</t>
  </si>
  <si>
    <t>черный / медный металлик</t>
  </si>
  <si>
    <t>черный / черный муар</t>
  </si>
  <si>
    <t>черный / черный муар зол. патина</t>
  </si>
  <si>
    <t>ТОВАР ДОСТУПЕН ПОД ЗАКАЗ ОТ 5 ШТУК!
- В этом стуле гармонично сочетается красота и комфорт;
- Эта модель без сомнения украсит бар, ресторан, кафе, дизайн-студию, или стильную кухню;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НАДЕЖНЫЙ МЕТАЛЛИЧЕСКИЙ КАРКАС окрашен порошковой краской, устойчивой к механическому воздействию;
- Высота каркаса 730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
- Гарантия 2 года.</t>
  </si>
  <si>
    <t>Стул барный Sheffilton SHT-ST19/S65</t>
  </si>
  <si>
    <t>желтый / венге</t>
  </si>
  <si>
    <t>- В этом стуле гармонично сочетается красота и комфорт;
- Эта модель без сомнения украсит бар, ресторан, кафе, дизайн-студию, или стильную кухню;
- Каркас стула из массива древесины;
- Расстояние от пола до боковой перекладины 330 мм; до передней перекладины 300 мм;
- Сидение из полипропилена;
- Максимальная статическая нагрузка - 200 кг.
- Гарантия 2 года.</t>
  </si>
  <si>
    <t>черный / дуб брашированный коричневый</t>
  </si>
  <si>
    <t>ТОВАР ДОСТУПЕН ПОД ЗАКАЗ ОТ 20 ШТУК!
- В этом стуле гармонично сочетается красота и комфорт;
- Эта модель без сомнения украсит бар, ресторан, кафе, дизайн-студию, или стильную кухню;
- Каркас стула изготовлен из массива древесины и обработан технологией - браширование;
- Расстояние от пола до боковой перекладины 330 мм; до передней перекладины 300 мм;
- Сидение из полипропилена;
- Максимальная статическая нагрузка - 200 кг.
- Гарантия 2 года.</t>
  </si>
  <si>
    <t>СТ-81</t>
  </si>
  <si>
    <t>белый/прозрачный лак</t>
  </si>
  <si>
    <t>- В этом стуле гармонично сочетается красота и комфорт;
- Эта модель без сомнения украсит бар, ресторан, кафе, дизайн-студию, или стильную кухню;
- Каркас стула из массива бука, прочной древесины, толщиной 26 мм;
- Расстояние от пола до боковой перекладины 330 мм; до передней перекладины 300 мм;
- Сидение из полипропилена;
- Максимальная статическая нагрузка - 200 кг.</t>
  </si>
  <si>
    <t>- В этом стуле гармонично сочетается красота и комфорт;
- Эта модель без сомнения украсит бар, ресторан, кафе, дизайн-студию, или стильную кухню;
- Каркас стула из массива бука, прочной древесины, толщиной 26 мм;
- Расстояние от пола до боковой перекладины 330 мм; до передней перекладины 300 мм;
- Сидение из полипропилена;
- Максимальная статическая нагрузка - 200 кг.
- Гарантия 2 года.</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</si>
  <si>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SHT-ST19 и каркаса SHT-S65. Вы можете выбрать любую модель и цвет стула в
нашем конструкторе.
ГАРАНТИЯ 2 ГОДА.</t>
  </si>
  <si>
    <t>Стул барный Sheffilton SHT-ST19/S66</t>
  </si>
  <si>
    <t>желтый / хром лак</t>
  </si>
  <si>
    <t>- Образец грации и красоты.
- Он добавит винтажных ноток дизайну и легкости всему интерьеру;
- Эта модель очень эффектно будет смотреться в баре, ресторане, кафе, дизайн-студии или стильной кухне
в квартире или загородном доме;
- Стройный каркас стула выполнен из металла, диаметром 8 и 5 мм;
- Размеры каркаса: 500х560х730 мм;
- Сидение из прочного полипропилена;
- Максимальная статическая нагрузка - 200 кг.
- Гарантия 2 года.</t>
  </si>
  <si>
    <t>СТ-82</t>
  </si>
  <si>
    <t>желтый/черный муар зол. патина</t>
  </si>
  <si>
    <t>Стул барный Sheffilton SHT-ST19/S80</t>
  </si>
  <si>
    <t>оранжевый/темный орех/черный</t>
  </si>
  <si>
    <t>ТОВАР ДОСТУПЕН ПОД ЗАКАЗ ОТ 50 ШТУК!
- Сочетание металла и дерева отлично впишутся в современный интерьер стиля "лофт" или хай-тек. Барному
стулу с каркасом S80 точно найдется место за барной стойкой в современных дизайнерских проектах.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t>
  </si>
  <si>
    <t>СТ-201</t>
  </si>
  <si>
    <t>Сочетание металла и дерева действительно создают желаемый эффект. Металл - верный спутник хай-тека,
дерево несет в себе благородство тепла и цвета.
В современных дизайнерских проектах ему точно найдется место за барной стойкой.
Прочность и жесткость каркасу добавляют металлические пластины, толщиной 3 мм.
Размеры одной деревянной опоры: 405х20х40 мм.
Сидение из прочного полипропилена, толщиной 7 мм.
Максимальная статическая нагрузка - 200 кг.
Гарантия 2 года.</t>
  </si>
  <si>
    <t>Стул барный Sheffilton SHT-ST19/S81</t>
  </si>
  <si>
    <t>белый/дуб брашированный коричневый</t>
  </si>
  <si>
    <t>Элегантность пластикового стула с каркасам из натурального массива дерева скрыта в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- 200 кг.</t>
  </si>
  <si>
    <t>желтый/дуб брашированный коричневый</t>
  </si>
  <si>
    <t>Стул барный Sheffilton SHT-ST19/S93</t>
  </si>
  <si>
    <t>СТ-238</t>
  </si>
  <si>
    <t>белый/браш.коричневый/черный муар</t>
  </si>
  <si>
    <t>Натуральный и стильный полубарный/барный стул - это естественная текстура дерева в комплекте с металлическими
деталями. Дерево обработано эффектом "браширования" для большего эффекта природного рисунка древесины.
Винтовой механизм, укрепленный под круглым сиденьем, позволяет регулировать высоту стула из обычного
в барный.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Высота каркаса регулируется от полубарного 640 мм. до барного 745 мм.;
- Специальные подпятники обеспечивают защиту каркаса от царапин, тем самым увеличивая срок службы;
- Диаметр/толщина сидения - 350/25 мм.;
- Максимальная статическая нагрузка - 260 кг.</t>
  </si>
  <si>
    <t>черный/браш.коричневый/черный муар</t>
  </si>
  <si>
    <t>Стул барный Sheffilton SHT-ST19/S94</t>
  </si>
  <si>
    <t>- В этом стуле гармонично сочетается красота и комфорт;
- Эта модель без сомнения украсит бар, ресторан, кафе, дизайн-студию, или стильную кухню;
- Каркас стула выполнен из массива древесины;
- Сидение из полипропилена.
- Максимальная статическая нагрузка на каркас - 150 кг.</t>
  </si>
  <si>
    <t>СТ-83</t>
  </si>
  <si>
    <t>черный/прозрачный лак</t>
  </si>
  <si>
    <t>Стул барный Sheffilton SHT-ST19-SF1/S29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</si>
  <si>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Каркас выполнен в элегантной форме, имеет чёткие, плавные линии, прочный и устойчивый.
МЯГКОЕ СИДЕНИЕ. Обивка выполнена из микровелюра, в качестве мягкого наполнителя используется поролон.
ПРЕКРАСНАЯ ЭРГОНОМИКА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</si>
  <si>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SHT-ST19-SF1/S66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</si>
  <si>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микровелюра
НАДЕЖНЫЙ МЕТАЛЛИЧЕСКИЙ КАРКАС окрашен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</si>
  <si>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SHT-ST19-SF1/S80</t>
  </si>
  <si>
    <t>дымный/прозрачный лак/черный</t>
  </si>
  <si>
    <t>микровёлюр/дерево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</si>
  <si>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ПРОЧНОСТЬ И ЖЁСТКОСТЬ каркасу добавляют металлические пластины, толщиной 3 мм. Каркас выполнен из
массива древисины твердых пород с последующим тонированием и покрытием лаком. Металлические детали
каркаса окрашены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</si>
  <si>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SHT-ST19-SF2/S128</t>
  </si>
  <si>
    <t>ванильный крем/хром/белый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</si>
  <si>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</si>
  <si>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SHT-ST19-SF2/S29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</si>
  <si>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</si>
  <si>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СТ-499</t>
  </si>
  <si>
    <t>Стул барный Sheffilton SHT-ST19-SF2/S80</t>
  </si>
  <si>
    <t>ванильный крем/темный орех/черный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</si>
  <si>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ПРОЧНОСТЬ И ДОЛГОВЕЧНОСТЬ Каркас выполнен из массива древисины твердых пород с последующим тонированием
и покрытием лаком.Прочность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</si>
  <si>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SHT-ST29-C12/S29</t>
  </si>
  <si>
    <t>СТ-254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</si>
  <si>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SHT-S29.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</si>
  <si>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SHT-ST29-C12/S65</t>
  </si>
  <si>
    <t>СТ-214</t>
  </si>
  <si>
    <t>голубая лагуна/венге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</si>
  <si>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SHT-S65.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</si>
  <si>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вино/венге</t>
  </si>
  <si>
    <t>Стул барный Sheffilton SHT-ST29-C12/S80</t>
  </si>
  <si>
    <t>голубая лагуна/темный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</si>
  <si>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SHT-S80.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</si>
  <si>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вино/темный орех/черный муар</t>
  </si>
  <si>
    <t>коричневый сахар/темный орех/черный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</si>
  <si>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SHT-ST29-C12 и каркаса SHT-S80.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</si>
  <si>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барный Sheffilton SHT-ST29-C12/S81</t>
  </si>
  <si>
    <t>голубая лагуна/дуб брашированный коричне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</si>
  <si>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(деревянная опора: 30х30 мм., перекладина 60х10 мм.) Декоративная отделка каркаса - браширование
(эффект "искусственного старения"), подчеркивающая натуральную красоту и текстуру дерева.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SHT-S81. Вы можете выбрать любую модель и цвет стула
в нашем конструкторе.
ГАРАНТИЯ 2 ГОДА.
*Оттенок ткани может меняться в зависимости от партии.</t>
  </si>
  <si>
    <t>ежевичное вино/дуб брашированный коричне</t>
  </si>
  <si>
    <t>Стул барный Sheffilton SHT-ST29-C12/S93</t>
  </si>
  <si>
    <t>СТ-372</t>
  </si>
  <si>
    <t>коричневый сахар/браш.коричневый/черный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</si>
  <si>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Вы можете выбрать к этому каркасу любые сидения Sheffilton в разделе "Собери свой стул";
- Максимальная статическая нагрузка - 260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SHT-ST29-C12 и каркаса SHT-S93.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</si>
  <si>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барный Sheffilton SHT-ST29-C1/S29</t>
  </si>
  <si>
    <t>оливковый/хром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</si>
  <si>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SHT-S29.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</si>
  <si>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SHT-ST29-C1/S65</t>
  </si>
  <si>
    <t>оливковый/прозрачный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</si>
  <si>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SHT-S65.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</si>
  <si>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SHT-ST29-C1/S66</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</si>
  <si>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Мягкое сидение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НАДЕЖНЫЕ МЕТАЛЛИЧЕСКИЕ ОПОРЫ окрашены порошковой краской, устойчивой к механическому воздействию.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t>
  </si>
  <si>
    <t>Стул барный Sheffilton SHT-ST29-C1/S80</t>
  </si>
  <si>
    <t>морская глубина/прозр.лак/черный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</si>
  <si>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 и каркаса SHT-S80.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</si>
  <si>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SHT-ST29-C1/S94</t>
  </si>
  <si>
    <t>оливковый/прозрачный лак/черный</t>
  </si>
  <si>
    <t>Стильное сочетание натурального дерева и металлической подножки в черном цвете занимает высокое место
в мире европейского дизана. Особое изящество стулу добавляют закругленные изгибы, переходы в местах
соединения ножек.
ЗАПАТЕНТОВАНО! Сиденье Sheffilton SHT-ST29 защищено патентом, что гарантирует его уникальность, качество
и надежность.
ПРОЧНОСТЬ И ДОЛГОВЕЧНОСТЬ
Мягкое сидение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Максимальная статическая нагрузка на стул 200 кг.
ПРЕКРАСНАЯ ЭРГОНОМИКА
Мягкая спинка и сиденье обеспечивают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SHT-ST29-С1 и каркаса SHT-S94. Вы можете выбрать любую модель и цвет стула
в нашем конструкторе.
РЕКОМЕНДАЦИИ ПО УХОДУ
Чистка пылесосом, для трудновыводимых пятен используйте специальные пятновыводители для тканей, в
соответствии с инструкцией.
Максимальная статическая нагрузка на каркас - 150 кг.
ГАРАНТИЯ 2 ГОДА.
*Оттенок ткани может меняться в зависимости от партии.</t>
  </si>
  <si>
    <t>Стул барный Sheffilton SHT-ST29-C22/S128</t>
  </si>
  <si>
    <t>розовый зефир/хром/белый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</si>
  <si>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сидения обеспечивает удобную посадку и комфортное времяпровождениe.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t>
  </si>
  <si>
    <t>Стул барный Sheffilton SHT-ST29-C22/S29</t>
  </si>
  <si>
    <t>Стул барный Sheffilton SHT-ST29-C22/S66</t>
  </si>
  <si>
    <t>Стул барный Sheffilton SHT-ST29-C22/S80</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</si>
  <si>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t>
  </si>
  <si>
    <t>Стул барный Sheffilton SHT-ST29-C22/S94</t>
  </si>
  <si>
    <t>розовый зефир/прозрачный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</si>
  <si>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t>
  </si>
  <si>
    <t>Стул барный Sheffilton SHT-ST29-C/S29</t>
  </si>
  <si>
    <t>СТ-276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</si>
  <si>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SHT-S29.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</si>
  <si>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SHT-ST29-C/S65</t>
  </si>
  <si>
    <t>СТ-268</t>
  </si>
  <si>
    <t>пепельный/прозрачный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</si>
  <si>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SHT-ST29-С и каркаса SHT-S65.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</si>
  <si>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SHT-ST29-C/S66</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</si>
  <si>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 каркаса 3 и 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 и каркаса SHT-S66.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</si>
  <si>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SHT-ST29-C/S94</t>
  </si>
  <si>
    <t>СТ-500</t>
  </si>
  <si>
    <t>жемчужный/прозрачный лак/черный</t>
  </si>
  <si>
    <t>Стильное сочетание натурального дерева и металлической подножки в черном цвете занимает высокое место
в мире европейского дизана. Особое изящество стулу добавляют закругленные изгибы, переходы в местах
соединения ножек.
ЗАПАТЕНТОВАНО! Сиденье Sheffilton SHT-ST29 защищено патентом, что гарантирует его уникальность, качество
и надежность.
ПРОЧНОСТЬ И ДОЛГОВЕЧНОСТЬ
Мягкое сидение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Максимальная статическая нагрузка на стул 200 кг.
ПРЕКРАСНАЯ ЭРГОНОМИКА
Мягкая спинка и сиденье обеспечивают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SHT-ST29-С и каркаса SHT-S94. Вы можете выбрать любую модель и цвет стула
в нашем конструкторе.
РЕКОМЕНДАЦИИ ПО УХОДУ
Чистка пылесосом, для трудновыводимых пятен используйте специальные пятновыводители для тканей, в
соответствии с инструкцией.
Максимальная статическая нагрузка на каркас - 150 кг.
ГАРАНТИЯ 2 ГОДА.</t>
  </si>
  <si>
    <t>Стул барный Sheffilton SHT-ST29/S29</t>
  </si>
  <si>
    <t>голубой Pan278/хром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</si>
  <si>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SHT-S29. Вы можете выбрать любую модель и цвет стула в
нашем конструкторе.
ГАРАНТИЯ 2 ГОДА.</t>
  </si>
  <si>
    <t>СТ-340</t>
  </si>
  <si>
    <t>оранжевый RAL2003/медный металлик</t>
  </si>
  <si>
    <t>Стул барный Sheffilton SHT-ST29/S65</t>
  </si>
  <si>
    <t>зеленый RAL6018/венге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</si>
  <si>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SHT-S65. Вы можете выбрать любую модель и цвет стула в
нашем конструкторе.
ГАРАНТИЯ 2 ГОДА.</t>
  </si>
  <si>
    <t>черный/дуб брашированный коричневый</t>
  </si>
  <si>
    <t>ТОВАР ДОСТУПЕН ПОД ЗАКАЗ ОТ 20 ШТУК!
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(толщина каркаса
26 мм.). Обработан технологией "браширование" - искусственное состаривание для большего эффекта природного
рисунка древесины. Отлично впишется в интерьер стиля "лофт".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SHT-S65. Вы можете выбрать любую модель и цвет стула в
нашем конструкторе.
ГАРАНТИЯ 2 ГОДА.</t>
  </si>
  <si>
    <t>Стул барный Sheffilton SHT-ST29/S80</t>
  </si>
  <si>
    <t>белый/прозрачный лак/черный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</si>
  <si>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SHT-S80. Вы можете выбрать любую модель и цвет стула в
нашем конструкторе.
ГАРАНТИЯ 2 ГОДА.</t>
  </si>
  <si>
    <t>красный RAL3020/темный орех/черный муар</t>
  </si>
  <si>
    <t>Стул барный Sheffilton SHT-ST29/S93</t>
  </si>
  <si>
    <t>серый ral 7040/дуб брашированный корич/ч</t>
  </si>
  <si>
    <t>ВЫСОТУ каркаса можно регулировать от полубарного 640 мм до барного 745 мм, благодаря винтовому механизму!
ИДЕАЛЬНО подойдет для помещений, оформленных в лофт или эко-стиле.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и металла. Декоративная
отделка каркаса - браширование (эффект "искусственного старения"), подчеркивающая натуральную красоту
и текстуру дерева. Максимальная статическая нагрузка на стул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ПРЕКРАСНАЯ ЭРГОНОМИКА
Изогнутая спинка сидения обеспечивает удобную посадку и комфортное времяпровождение.
СТАНЬТЕ ДИЗАЙНЕРОМ СВОЕГО СТУЛА!
Стул состоит из сидения SHT-ST29 и каркаса SHT-S93. Вы можете выбрать любую модель и цвет стула в
нашем конструкторе.
ГАРАНТИЯ 2 ГОДА.</t>
  </si>
  <si>
    <t>Стул барный Sheffilton SHT-ST29/S94</t>
  </si>
  <si>
    <t>оранжевый RAL2003/прозрачный лак/черный</t>
  </si>
  <si>
    <t>Стильное сочетание натурального дерева и металлической подножки в черном цвете занимает высокое место
в мире европейского дизана. Особое изящество стулу добавляют закругленные изгибы, переходы в местах
соединения ножек.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SHT-ST29 и каркаса SHT-S94. Вы можете выбрать любую модель и цвет стула в
нашем конструкторе.
Максимальная статическая нагрузка на каркас - 150 кг.
ГАРАНТИЯ 2 ГОДА.</t>
  </si>
  <si>
    <t>серый ral 7040/прозрачный лак/черный</t>
  </si>
  <si>
    <t>Стул барный Sheffilton SHT-ST29-С20/S29</t>
  </si>
  <si>
    <t>СТ-284</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</si>
  <si>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SHT-ST29-C20 и каркаса SHT-S29.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</si>
  <si>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SHT-ST31-C2/S80</t>
  </si>
  <si>
    <t>СТ-341</t>
  </si>
  <si>
    <t>аквамарин/прозр.лак/черный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</si>
  <si>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SHT-S80.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</si>
  <si>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SHT-ST31-C2/S94</t>
  </si>
  <si>
    <t>аквамарин/прозрачный лак/черный</t>
  </si>
  <si>
    <t>Стильное сочетание натурального дерева и металлической подножки в черном цвете занимает высокое место
в мире европейского дизана. Особое изящество стулу добавляют закругленные изгибы, переходы в местах
соединения ножек.
ПРОЧНОСТЬ И ДОЛГОВЕЧНОСТЬ
Мягкое сидение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Каркас выполнен из массива древесины с последующим тонированием и покрытием лаком.
Максимальная статическая нагрузка на стул 200 кг.
ПРЕКРАСНАЯ ЭРГОНОМИКА
Мягкая спинка и сиденье обеспечивают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SHT-ST31-С2 и каркаса SHT-S94. Вы можете выбрать любую модель и цвет стула
в нашем конструкторе.
РЕКОМЕНДАЦИИ ПО УХОДУ
Чистка пылесосом, для трудновыводимых пятен используйте специальные пятновыводители для тканей, в
соответствии с инструкцией.
Максимальная статическая нагрузка на каркас - 150 кг.
ГАРАНТИЯ 2 ГОДА.
*Оттенок ткани может меняться в зависимости от партии.</t>
  </si>
  <si>
    <t>Стул барный Sheffilton SHT-ST31/S29</t>
  </si>
  <si>
    <t>красный RAL3020/медный металлик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</si>
  <si>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SHT-S29. Вы можете выбрать любую модель и цвет стула в
нашем конструкторе.
ГАРАНТИЯ 2 ГОДА.</t>
  </si>
  <si>
    <t>Стул барный Sheffilton SHT-ST31/S65</t>
  </si>
  <si>
    <t>бежевый/прозрачный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</si>
  <si>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SHT-S65. Вы можете выбрать любую модель и цвет стула в
нашем конструкторе.
ГАРАНТИЯ 2 ГОДА.</t>
  </si>
  <si>
    <t>Стул барный Sheffilton SHT-ST31/S80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</si>
  <si>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SHT-S80. Вы можете выбрать любую модель и цвет стула в
нашем конструкторе.
ГАРАНТИЯ 2 ГОДА.</t>
  </si>
  <si>
    <t>Стул барный Sheffilton SHT-ST31-С2/S66</t>
  </si>
  <si>
    <t>СТ-320</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</si>
  <si>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Металлический каркас покрыт порошковой краской, устойчивой
к механическому воздействию (диаметр каркаса 3 и 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SHT-ST31-C2 и каркаса SHT-S66.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</si>
  <si>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SHT-ST33-1/S128</t>
  </si>
  <si>
    <t>альпийский бирюзовый/хром/белый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</si>
  <si>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</si>
  <si>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SHT-ST33-1/S131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</si>
  <si>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</si>
  <si>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</si>
  <si>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SHT-ST33-1/S29</t>
  </si>
  <si>
    <t>Стул барный Sheffilton SHT-ST33-1/S65</t>
  </si>
  <si>
    <t>альпийский бирюзовый/прозрачный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</si>
  <si>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</si>
  <si>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SHT-ST33-1/S66</t>
  </si>
  <si>
    <t>альпийский бирюзовый/хром лак</t>
  </si>
  <si>
    <t>Стул барный Sheffilton SHT-ST33-1/S80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</si>
  <si>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Металлические детали
каркаса окрашены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</si>
  <si>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SHT-ST33-1/S92</t>
  </si>
  <si>
    <t>альпийский бирюзовый/браш.коричневый/чер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</si>
  <si>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микровелюра с нежным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ПРОЧНОСТЬ И ДОЛГОВЕЧНОСТЬ. Устойчивые ножки с металлической подставкой для ног отлично гармонируют
с любым решением интерьера. Специальные подпятники обеспечивают защиту каркаса от царапин, тем самым
увеличивая срок службы. Винтовой механизм позволяет использовать каркас как полубарный и барный стул.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</si>
  <si>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SHT-ST33-1/S94</t>
  </si>
  <si>
    <t>альпийский бирюзовый/прозр.лак/черн.муар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</si>
  <si>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</si>
  <si>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SHT-ST33/S128</t>
  </si>
  <si>
    <t>синий лед/хро/белый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</si>
  <si>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</si>
  <si>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сиреневая орхидея/хром/белый муар</t>
  </si>
  <si>
    <t>Стул барный Sheffilton SHT-ST33/S131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</si>
  <si>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рогожки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</si>
  <si>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рогожки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</si>
  <si>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сиреневая орхидея/черный муар/золото</t>
  </si>
  <si>
    <t>СТ-520</t>
  </si>
  <si>
    <t>Стул барный Sheffilton SHT-ST33/S29</t>
  </si>
  <si>
    <t>Стул барный Sheffilton SHT-ST33/S65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</si>
  <si>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</si>
  <si>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синий лед/светлый орех</t>
  </si>
  <si>
    <t>сиреневая орхидея/прозрачный лак</t>
  </si>
  <si>
    <t>Стул барный Sheffilton SHT-ST33/S66</t>
  </si>
  <si>
    <t>СТ-491</t>
  </si>
  <si>
    <t>Стул барный Sheffilton SHT-ST33/S80</t>
  </si>
  <si>
    <t>синий лед/прозрачный лак/черный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</si>
  <si>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ПРОЧНОСТЬ И НАДЕЖНОСТЬ.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</si>
  <si>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SHT-ST33/S93</t>
  </si>
  <si>
    <t>синий лед/браш.коричневый/черный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</si>
  <si>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ПРОЧНОСТЬ И ДОЛГОВЕЧНОСТЬ. Устойчивые ножки с металлической подставкой для ног отлично гармонируют
с любым решением интерьера. Специальные подпятники обеспечивают защиту каркаса от царапин, тем самым
увеличивая срок службы. Винтовой механизм позволяет использовать каркас как полубарный и барный стул.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</si>
  <si>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SHT-ST34-1/S131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</si>
  <si>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</si>
  <si>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латте/черный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</si>
  <si>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микровелюра с текстурой.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</si>
  <si>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СТ-519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</si>
  <si>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микровелюра с текстурой.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</si>
  <si>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SHT-ST34/S131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</si>
  <si>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</si>
  <si>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</si>
  <si>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</si>
  <si>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SHT-ST34/S29</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</si>
  <si>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НАДЕЖНЫЕ МЕТАЛЛИЧЕСКИЕ ОПОРЫ окрашены порошковой краской, устойчивой к механическому воздействию.</t>
  </si>
  <si>
    <t>Стул барный Sheffilton SHT-ST34/S29</t>
  </si>
  <si>
    <t>СТ-291</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</si>
  <si>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SHT-ST34 и каркаса SHT-S29.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</si>
  <si>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SHT-ST34/S65</t>
  </si>
  <si>
    <t>синий мираж/венге</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</si>
  <si>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t>
  </si>
  <si>
    <t>синий мираж/светлый орех</t>
  </si>
  <si>
    <t>Стул барный  Sheffilton SHT-ST34/S66</t>
  </si>
  <si>
    <t>Стул барный  Sheffilton SHT-ST34/S80</t>
  </si>
  <si>
    <t>синий мираж/прозрачный лак/черный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</si>
  <si>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Металлические детали
каркаса окрашены порошковой краской, устойчивой к механическому воздействию.</t>
  </si>
  <si>
    <t>Стул барный  Sheffilton SHT-ST34/S93</t>
  </si>
  <si>
    <t>синий мираж/браш.коричневый/черный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</si>
  <si>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</si>
  <si>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SHT-ST35-1/S128</t>
  </si>
  <si>
    <t>угольно-серый/хром/белый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</si>
  <si>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</si>
  <si>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SHT-ST35-1/S131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</si>
  <si>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</si>
  <si>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</si>
  <si>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SHT-ST35-1/S29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</si>
  <si>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НАДЕЖНЫЙ МЕТАЛЛИЧЕСКИЙ КАРКАС окрашен порошковой краской, устойчивой к механическому воздействию.
Максимальная статическая нагрузка на стул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</si>
  <si>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SHT-ST35-1/S65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</si>
  <si>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</si>
  <si>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SHT-ST35-1/S80</t>
  </si>
  <si>
    <t>угольно-серый/прозрачный лак/черный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</si>
  <si>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полубарный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МЕТАЛЛИЧЕСКИЕ ДЕТАЛИ каркаса окрашены порошковой краской, устойчивой к механическому воздействию.
Каркас выполнен из массива древисины твердых пород с последующим тонированием и покрытием лаком.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</si>
  <si>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SHT-ST35-1/S92</t>
  </si>
  <si>
    <t>угольно-серый/брш.коричневый/черный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</si>
  <si>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Устойчивые ножки с металлической подставкой для ног отлично гармонируют
с любым решением интерьера. Высота каркаса от полубарного 640 мм. до барного 745 мм. Специальные подпятники
обеспечивают защиту каркаса от царапин, тем самым увеличивая срок службы.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</si>
  <si>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SHT-ST35-1/S93</t>
  </si>
  <si>
    <t>Стул барный Sheffilton SHT-ST35-1/S94</t>
  </si>
  <si>
    <t>имперский желтый/прозр.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</si>
  <si>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ПОД ЗАКАЗ
Доступны любые цветовые сочетания от 50 штук.</t>
  </si>
  <si>
    <t>Стул барный Sheffilton SHT-ST35-2/S131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</si>
  <si>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Красивые продольные складки из мягкого микровелюра дридают изделию особый шарм.Скругленные
линии спинки и сидения подчеркивают модный силуэт.Оригинальную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</si>
  <si>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СТ-517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</si>
  <si>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</si>
  <si>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SHT-ST35-2/S93</t>
  </si>
  <si>
    <t>СТ-306</t>
  </si>
  <si>
    <t>лиственно-зеленый/браш.коричневый/черный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</si>
  <si>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чистится.В
качестве мягкого наполнителя используется поролон.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Вы можете выбрать к этому каркасу любые сидения Sheffilton в разделе "Собери свой стул";
- Максимальная статическая нагрузка - 260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SHT-ST35-2 и каркаса SHT-S93.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</si>
  <si>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барный Sheffilton SHT-ST35/S128</t>
  </si>
  <si>
    <t>горчичный/хром/белый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</si>
  <si>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сидения обеспечивает удобную посадку и комфортное времяпровождение.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ОБИВКА выполнена из микровелюра, в качестве мягкого наполнителя используется поролон.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</si>
  <si>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тихий океан/хром/белый муар</t>
  </si>
  <si>
    <t>Стул барный Sheffilton SHT-ST35/S131</t>
  </si>
  <si>
    <t>кофейный ликер/черный муар/золото</t>
  </si>
  <si>
    <t>розовый десерт/черный муар/золото</t>
  </si>
  <si>
    <t>Стул барный Sheffilton SHT-ST35/S29</t>
  </si>
  <si>
    <t>СТ-297</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</si>
  <si>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Устойчивые опоры выполнены из металлической трубы;
- Металлический каркас покрыт порошковой краской, устойчивой к механическому воздействию;
- Диаметр трубы 20 мм., толщина трубы 1,5 мм.;
- Максимальная статическая нагрузка на стул 260 кг.
*Оттенок ткани может меняться в зависимости от партии.</t>
  </si>
  <si>
    <t>Стул барный Sheffilton SHT-ST35/S65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</si>
  <si>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</si>
  <si>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кофейный ликер/брашированный коричневый</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</si>
  <si>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из плотной древесины дуба, 26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Максимальная статическая нагрузка - 260 кг.
*Оттенок ткани может меняться в зависимости от партии.</t>
  </si>
  <si>
    <t>розовый десерт/прозрачный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</si>
  <si>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Каркас выполнен из массива древесины твердых пород с последующим тонированием и покрытием лаком.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SHT-S65. Вы можете выбрать любую модель и цвет стула в
нашем конструкторе.
ГАРАНТИЯ 2 ГОДА.
*Оттенок ткани может меняться в зависимости от партии.</t>
  </si>
  <si>
    <t>СТ-384</t>
  </si>
  <si>
    <t>ягодное варенье/венге</t>
  </si>
  <si>
    <t>Стул барный Sheffilton SHT-ST35/S66</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</si>
  <si>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Металлический каркас покрыт порошковой краской, устойчивой к механическому воздействию (диаметр каркаса
3 и 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SHT-S66. Вы можете выбрать любую модель и цвет стула в
нашем конструкторе.
ГАРАНТИЯ 2 ГОДА.
*Оттенок ткани может меняться в зависимости от партии.</t>
  </si>
  <si>
    <t>СТ-301</t>
  </si>
  <si>
    <t>Стул барный Sheffilton SHT-ST35/S80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</si>
  <si>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</si>
  <si>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ягодное варенье/прозрачный лак/черный</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</si>
  <si>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
*Оттенок ткани может меняться в зависимости от партии.</t>
  </si>
  <si>
    <t>СТ-299</t>
  </si>
  <si>
    <t>Стул барный Sheffilton SHT-ST35/S81</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</si>
  <si>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Максимальная статическая нагрузка - 200 кг.
*Оттенок ткани может меняться в зависимости от партии.</t>
  </si>
  <si>
    <t>Стул барный Sheffilton SHT-ST35/S92</t>
  </si>
  <si>
    <t>горчичный/браш.коричневый/черный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</si>
  <si>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Высота каркаса от полубарного 640 мм. до барного 745 мм. Специальные подпятники
обеспечивают защиту каркаса от царапин, тем самым увеличивая срок службы.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</si>
  <si>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SHT-ST35/S93</t>
  </si>
  <si>
    <t>тихий океан/браш.коричневый/черный муар</t>
  </si>
  <si>
    <t>СТ-418</t>
  </si>
  <si>
    <t>кофейный ликер/браш.коричневый/черный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</si>
  <si>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Готовый стул выглядит уютным и
удобным, а его дизайн способен преобразить обстановку!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чистится.В
качестве мягкого наполнителя используется поролон.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Вы можете выбрать к этому каркасу любые сидения Sheffilton в разделе "Собери свой стул";
- Максимальная статическая нагрузка - 260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SHT-ST35 и каркаса SHT-S93.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</si>
  <si>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барный Sheffilton SHT-ST35/S94</t>
  </si>
  <si>
    <t>тихий океан/прозрачный лак/черный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</si>
  <si>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*Оттенок ткани может меняться в зависимости от партии.</t>
  </si>
  <si>
    <t>розовый десерт/прозрачный лак/черн.муар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</si>
  <si>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Каркас выполнен из массива древесины твердых пород с последующим тонированием и покрытием лаком. Подножка
выполнена из трубы диаметром 20 мм. Высота от пола до подножки каркаса составляет - 320 мм.
Максимальная статическая нагрузка на стул 150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 и каркаса SHT-S94.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</si>
  <si>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SHT-ST36-1/S131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</si>
  <si>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</si>
  <si>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Прострочка вдоль спинки придает изделию классический
и стильный вид. Насыщенная расцветка микровелюра внесет колорит в интерьер. 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</si>
  <si>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SHT-ST36-1/S29</t>
  </si>
  <si>
    <t>СТ-405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</si>
  <si>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Каркас выполненый в элегантной
форме, имеет чёткие, плавные линии, прочный и устойчивый, идеальное решения для любого интерьера .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Максимальная статическая нагрузка на стул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</si>
  <si>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SHT-ST36-1/S65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</si>
  <si>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Стул с деревянными ножками без
сомнения идеальное решения для любого интерьера.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НАДЁЖНЫЙ КАРКАС!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</si>
  <si>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SHT-ST36-1/S66</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</si>
  <si>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Изящный в своей простоте, визуально
лёгкий и прочный каркас идеально впишется в любой интерьер.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НАДЕЖНЫЕ МЕТАЛЛИЧЕСКИЕ ОПОРЫ окрашены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</si>
  <si>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SHT-ST36-1/S93</t>
  </si>
  <si>
    <t>тихий океан/дуб коричн. браш./черн.муар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</si>
  <si>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Естественная текстура дерева
в комплекте с металлическими деталями придает готовому изделию стильный и дорогой вид.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Винтовой механизм позволяет использовать каркас как полубарный и барный стул.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Специальные подпятники обеспечивают защиту каркаса от царапин, тем самым увеличивая
срок службы. Высота каркаса от полубарного 640 мм. до барного 745 мм.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</si>
  <si>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SHT-ST36-1/S94</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</si>
  <si>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*Оттенок ткани может меняться в зависимости от партии.</t>
  </si>
  <si>
    <t>Стул барный Sheffilton SHT-ST36-3/S128</t>
  </si>
  <si>
    <t>нежная мята/хром/белый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</si>
  <si>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</si>
  <si>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SHT-ST36-3/S131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</si>
  <si>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Нежная расцветка микровелюра внесет уюта в интерьер. 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</si>
  <si>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SHT-ST36-3/S29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</si>
  <si>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</si>
  <si>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СТ-399</t>
  </si>
  <si>
    <t>нейтральный серый/хром/лак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</si>
  <si>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Каркас выполненый в элегантной
форме, имеет чёткие, плавные линии, прочный и устойчивый, идеальное решения для любого интерьера .
Дело за Вашей фантазией и вдохновением!
СТИЛЬНЫЙ ДИЗАЙН заключен в королевской форме сидения и оригинальной отстрочке спинки.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МЕТАЛЛИЧЕСКИЙ КАРКАС окрашен порошковой краской, устойчивой к механическому воздействию.
Максимальная статическая нагрузка на стул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</si>
  <si>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SHT-ST36-3/S65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</si>
  <si>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</si>
  <si>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нейтральный серый/прозрачный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</si>
  <si>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Стул с деревянными ножками без
сомнения идеальное решения для любого интерьера.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НАДЁЖНЫЙ КАРКАС!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</si>
  <si>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нейтральный серый/светлый орех</t>
  </si>
  <si>
    <t>Стул барный Sheffilton SHT-ST36-3/S66</t>
  </si>
  <si>
    <t>Стул барный Sheffilton SHT-ST36-3/S80</t>
  </si>
  <si>
    <t>нежная мята/прозрачный лак/черный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</si>
  <si>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</si>
  <si>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нейтральный серый/темный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</si>
  <si>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 Максимальная статическая нагрузка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</si>
  <si>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SHT-ST36-3/S93</t>
  </si>
  <si>
    <t>нежная мята/браш.коричневый/черный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</si>
  <si>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</si>
  <si>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SHT-ST36-4/S128</t>
  </si>
  <si>
    <t>сумеречная орхидея/хром/белый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</si>
  <si>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</si>
  <si>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SHT-ST36-4/S131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</si>
  <si>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Рисунок на спинке сидения придает изделию эффектный
вид. Яркая расцветка микровелюра внесет красок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</si>
  <si>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SHT-ST36-4/S29</t>
  </si>
  <si>
    <t>сумеречная орхидея/медный металлик</t>
  </si>
  <si>
    <t>Стул барный Sheffilton SHT-ST36-4/S65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</si>
  <si>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</si>
  <si>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SHT-ST36-4/S66</t>
  </si>
  <si>
    <t>Стул барный Sheffilton SHT-ST36-4/S80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</si>
  <si>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Металлические детали
каркаса окрашены порошковой краской, устойчивой к механическому воздействию.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</si>
  <si>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SHT-ST36-4/S92</t>
  </si>
  <si>
    <t>сумеречная орхидея/браш.корич./черн.муар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</si>
  <si>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Винтовой механизм позволяет использовать каркас как полубарный и барный стул.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</si>
  <si>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SHT-ST36-4/S93</t>
  </si>
  <si>
    <t>Стул барный Sheffilton SHT-ST36-4/S94</t>
  </si>
  <si>
    <t>сумеречная орхидея/прозр.лак/черн.муар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</si>
  <si>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</si>
  <si>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Sheffilton SHT-ST36/S128</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</si>
  <si>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</si>
  <si>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ночное затмение/хром/белый муар</t>
  </si>
  <si>
    <t>Стул барный Sheffilton SHT-ST36/S131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</si>
  <si>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Нежная расцветка микровелюра внесет уюта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</si>
  <si>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ванильный крем/черный муар/золото</t>
  </si>
  <si>
    <t>Стул барный Sheffilton SHT-ST36/S29</t>
  </si>
  <si>
    <t>Стул барный Sheffilton SHT-ST36/S65</t>
  </si>
  <si>
    <t>ванильный лак/прозрачный лак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</si>
  <si>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</si>
  <si>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ночное затмение/венге</t>
  </si>
  <si>
    <t>Стул барный Sheffilton SHT-ST36/S66</t>
  </si>
  <si>
    <t>Стул барный Sheffilton SHT-ST36/S80</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</si>
  <si>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 Максимальная статическая нагрузка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Вы можете выбрать любую модель и цвет стула в нашем конструкторе.
ГАРАНТИЯ 2 ГОДА.
*Оттенок ткани может меняться в зависимости от партии.</t>
  </si>
  <si>
    <t>ночное затмение/прозрачный лак/черный</t>
  </si>
  <si>
    <t>Стул барный Sheffilton SHT-ST36/S93</t>
  </si>
  <si>
    <t>ванильный сахар/браш.коричневый/черный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</si>
  <si>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</si>
  <si>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ночное затмение/браш.коричневый/черный</t>
  </si>
  <si>
    <t>Стул барный Sheffilton SHT-ST36/S94</t>
  </si>
  <si>
    <t>ванильный крем/прозрачный лак/черн.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</si>
  <si>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спинки.Насыщенная расцветка
микровелюра внесет колорит в интерьер.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*Оттенок ткани может меняться в зависимости от партии.</t>
  </si>
  <si>
    <t>Стул барный Sheffilton SHT-ST37/S131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</si>
  <si>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</si>
  <si>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</si>
  <si>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серое облако/черный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</si>
  <si>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барным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</si>
  <si>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SHT-ST37/S29</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</si>
  <si>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НАДЕЖНЫЙ МЕТАЛЛИЧЕСКИЙ КАРКАС окрашен порошковой краской, устойчивой к механическому воздействию.
ОБИВКА выполнена из микровелюра, в качестве мягкого наполнителя используется поролон.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SHT-S66-1.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</si>
  <si>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SHT-ST37/S66</t>
  </si>
  <si>
    <t>горчичный/хром лак</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</si>
  <si>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 прутка 8 и 5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SHT-S66-1.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</si>
  <si>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SHT-ST37/S80</t>
  </si>
  <si>
    <t>горчичный/прозрачный лак/черный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</si>
  <si>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Размеры одной деревянной опоры: 405х20х40 мм; Расстояние от пола до переклады для ног 280 мм.;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SHT-S80. Вы можете выбрать любую модель и цвет стула в
нашем конструкторе.
ГАРАНТИЯ 2 ГОДА.
*Оттенок ткани может меняться в зависимости от партии.</t>
  </si>
  <si>
    <t>СТ-344</t>
  </si>
  <si>
    <t>рубиновое вино/прозрачный лак/черный</t>
  </si>
  <si>
    <t>Стул барный Sheffilton SHT-ST37/S92</t>
  </si>
  <si>
    <t>горчичный/корич.брашир./черный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</si>
  <si>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ОБИВКА выполнена из микровелюра, в качестве мягкого наполнителя используется поролон.
Дерево обработано технологией "браширование" для большего эффекта природного рисунка древесины. Винтовой
механизм позволяет использовать каркас как полубарный и барный стул.
Высота каркаса от полубарного 640 мм. до барного 745 мм.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SHT-S92.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</si>
  <si>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SHT-ST37/S93</t>
  </si>
  <si>
    <t>СТ-358</t>
  </si>
  <si>
    <t>серое облако/корич.брашир./черный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</si>
  <si>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Дерево обработано технологией "браширование" для большего эффекта природного рисунка древесины. Винтовой
механизм позволяет использовать каркас как полубарный и барный стул.
Высота каркаса от полубарного 640 мм. до барного 745 мм.
Максимальная статическая нагрузка на стул 260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SHT-S93. Вы можете выбрать любую модель и цвет стула в
нашем конструкторе.
ГАРАНТИЯ 2 ГОДА.
*Оттенок ткани может меняться в зависимости от партии.</t>
  </si>
  <si>
    <t>Стул барный Sheffilton SHT-ST37/S94</t>
  </si>
  <si>
    <t>горчичный/прозр.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</si>
  <si>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ПОД ЗАКАЗ
Доступны любые цветовые сочетания от 50 штук.</t>
  </si>
  <si>
    <t>Стул барный Sheffilton SHT-ST38-1/S131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</si>
  <si>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ОБИВКА выполнена из микровелюра, в качестве мягкого наполнителя используется поролон.
ПРЕКРАСНАЯ ЭРГОНОМИКА. Стул с барным каркасом SHT-S131 обеспечит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</si>
  <si>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лунный мрамор/черный муар/золото</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</si>
  <si>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ОБИВКА выполнена из микровелюра, в качестве мягкого наполнителя используется поролон.
ПРЕКРАСНАЯ ЭРГОНОМИКА. Стул с барным каркасом SHT-S131 обеспечит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</si>
  <si>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барный Sheffilton SHT-ST38-1/S65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</si>
  <si>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Каркас выполнен из МАССИВА ДРЕВЕСИНЫ с последующим тонированием и покрытием лаком. Максимальная статическая
нагрузка - 260 кг.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</si>
  <si>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лунный мрамор/прозрачный лак</t>
  </si>
  <si>
    <t>Стул барный Sheffilton SHT-ST38-1/S66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</si>
  <si>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НАДЕЖНЫЕ МЕТАЛЛИЧЕСКИЕ ОПОРЫ окрашены порошковой краской, устойчивой к механическому воздействию.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</si>
  <si>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SHT-ST38-1/S80</t>
  </si>
  <si>
    <t>лунный мрамор/прозрачный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</si>
  <si>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НАДЕЖНЫЙ КАРКАС. Каркас выполнен из массива древисины твердых пород с последующим тонированием и покрытием
лаком.Прочность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</si>
  <si>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НАДЁЖНОСТЬ И ДОЛГОВЕЧНОСТЬ. Каркас выполнен из массива древисины твердых пород с последующим тонированием
и покрытием лаком.Металлические детали каркаса окрашены порошковой краской, устойчивой к механическому
воздействию.Максимальная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</si>
  <si>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SHT-ST38-1/S93</t>
  </si>
  <si>
    <t>СТ-434</t>
  </si>
  <si>
    <t>лунный мрамор/браш. коричневый/чёрный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</si>
  <si>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Обращаем внимание на детали, мягкое сидение, отведенная назад спинка с подлокотниками,
отвечают за вашу эргономичную посадку.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</si>
  <si>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SHT-ST38/S128</t>
  </si>
  <si>
    <t>синий пепел/хро/белый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</si>
  <si>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*Оттенок ткани может меняться в зависимости от партии.</t>
  </si>
  <si>
    <t>Стул барный Sheffilton SHT-ST38/S131</t>
  </si>
  <si>
    <t>синий пепел/черный муар/золото</t>
  </si>
  <si>
    <t>Стул барный Sheffilton SHT-ST38/S29</t>
  </si>
  <si>
    <t>СТ-447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</si>
  <si>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НАДЕЖНЫЙ МЕТАЛЛИЧЕСКИЙ КАРКАС окрашен порошковой краской, устойчивой к механическому воздействию.
Максимальная статическая нагрузка на стул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</si>
  <si>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SHT-ST38/S65</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</si>
  <si>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</si>
  <si>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СТ-452</t>
  </si>
  <si>
    <t>Стул барный Sheffilton SHT-ST38/S66</t>
  </si>
  <si>
    <t>синий пепел/хром лак</t>
  </si>
  <si>
    <t>Стул барный Sheffilton SHT-ST38/S80</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</si>
  <si>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Прочность и жесткость
каркасу добавляют металлические пластины, толщиной 3 мм.
*Оттенок ткани может меняться в зависимости от партии.</t>
  </si>
  <si>
    <t>зефирный/прозрачный лак/черный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</si>
  <si>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НАДЁЖНОСТЬ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*Оттенок ткани может меняться в зависимости от партии.</t>
  </si>
  <si>
    <t>Стул барный Sheffilton SHT-ST38/S81</t>
  </si>
  <si>
    <t>угольно-серый/брашированный 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</si>
  <si>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</si>
  <si>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Sheffilton SHT-ST38/S92</t>
  </si>
  <si>
    <t>зефирный/браш.коричневый/черный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</si>
  <si>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</si>
  <si>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синий пепел/браш.коричневый/черный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</si>
  <si>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*Оттенок ткани может меняться в зависимости от партии.</t>
  </si>
  <si>
    <t>Стул барный Sheffilton SHT-ST38/S93</t>
  </si>
  <si>
    <t>альпийский бирюз./браш.корич./черн. муар</t>
  </si>
  <si>
    <t>угольно-серый/браш. коричневый/чёрный</t>
  </si>
  <si>
    <t>Стул барный Sheffilton SHT-ST38/S94</t>
  </si>
  <si>
    <t>альпийский бирюз./прозрачный лак/черный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</si>
  <si>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*Оттенок ткани может меняться в зависимости от партии.</t>
  </si>
  <si>
    <t>Стул барный Sheffilton SHT-ST75/S69-C</t>
  </si>
  <si>
    <t>СТ-277</t>
  </si>
  <si>
    <t>Стул барный Sheffilton SHT-ST76/S69-C</t>
  </si>
  <si>
    <t>оранжевый/темный орех</t>
  </si>
  <si>
    <t>ТОВАР ДОСТУПЕН ПОД ЗАКАЗ ОТ 50 ШТУК!
Опоры стульев имеют конусообразную форму с декоративной пленкой PVC "под дерево", что придает стулу
стильный и современный вид
Идеально подходят для кафе, баров, фаст-фудов и отлично вписываются в домашнее пространство
- Сидение выполнено из полипропилена с армирующими добавками, которые обеспечивают дополнительную
ПРОЧНОСТЬ И ДОЛГОВЕЧНОСТЬ.
- Поверхность стула имеет ДЕКОРАТИВНУЮ ОТДЕЛКУ "под кожу" с прострочкой, что придает ему оригинальный
и эстетичный внешний вид.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Каркас выполнен из МЕТАЛЛа, что обеспечивает ПРОЧНОСТЬ изделия (диаметр/толщина - 28/1.5мм).
УПАКОВКА И ГАРАНТИЯ
Изделие разборное. Упаковка - полиэтилен и картон.
Максимальная статическая нагрузка - 200 кг.
Гарантия 2 года.</t>
  </si>
  <si>
    <t>Стул барный Sheffilton SHT-ST9/S66</t>
  </si>
  <si>
    <t>Изящный в своей простоте, визуально лёгкий и прочный стул. Гармонично и со вкусом смотрится в доме,
офисах, дизайн-студиях, кафе, барах, ресторанах;
- Сидение выполнено из массива дуба с декоративной отделой браширование (эффект "искусственного старения");
- Толщина сидения 24 мм.;
- НАДЕЖНЫЕ МЕТАЛЛИЧЕСКИЕ ОПОРЫ окрашены порошковой краской, устойчивой к механическому воздействию;
- Высота каркаса 730 мм;
- Диаметр каркаса: 8 и 5 мм;
- Максимальная статическая нагрузка - 200 кг.
- Гарантия 2 года.</t>
  </si>
  <si>
    <t>- Изящный в своей простоте, визуально лёгкий и прочный!
- Идеально подойдет для помещений, оформленных в лофт или эко-стиле.
- Сидение из массива дуба, прочной и твердой древесины, толщиной 24 мм.
- Естественный рисунок и выразительная фактура дерева подчеркнуты прозрачным лаком.
- НАДЕЖНЫЕ МЕТАЛЛИЧЕСКИЕ ОПОРЫ окрашены порошковой краской, устойчивой к механическому воздействию.
- Диаметр каркаса: 8 и 5 мм.
- Максимальная статическая нагрузка на стул 200 кг.</t>
  </si>
  <si>
    <t>Стул барный Sheffilton SHT-ST9/S80</t>
  </si>
  <si>
    <t>Сочетание металла и дерева отлично впишутся в современный интерьер стиля "лофт" или хай-тек. Барному
стулу с каркасом S80 точно найдется место за барной стойкой в современных дизайнерских проектах.
- Сидение выполнено из массива дуба с декоративной отделой браширование (эффект "искусственного старения");
- Толщина сидения 24 мм.;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
- Гарантия 2 года.</t>
  </si>
  <si>
    <t>прозрачный лак/темный орех / черный</t>
  </si>
  <si>
    <t>- Изящный в своей простоте, визуально лёгкий и прочный!
- Идеально подойдет для помещений, оформленных в лофт или эко-стиле.
- Сидение из массива дуба, прочной и твердой древесины, толщиной 24 мм.
- Естественный рисунок и выразительная фактура дерева подчеркнуты прозрачным лаком.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на стул 200 кг.</t>
  </si>
  <si>
    <t>Стул барный Sheffilton SHT-ST9/S81</t>
  </si>
  <si>
    <t>- Идеально подойдет для помещений, оформленных в лофт или эко-стиле.
- Сидение из массива дуба, прочной и твердой древесины, толщиной 24 мм.
- Естественный рисунок и выразительная фактура дерева подчеркнуты брашированием (эффект "искусственного
старения") и обработкой матовым лаком.
-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- 200 кг.</t>
  </si>
  <si>
    <t>Стул барный Sheffilton SHT-ST9/S93</t>
  </si>
  <si>
    <t>Натуральный и стильный полубарный/барный стул - это естественная текстура дерева в комплекте с металлическими
деталями. Дерево обработано эффектом "браширования" для большего эффекта природного рисунка древесины.
Винтовой механизм, укрепленный под круглым сиденьем, позволяет регулировать высоту стула из обычного
в барный.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Сидение из массива дуба, прочной и твердой древесины, толщиной 24 мм.
- Высота каркаса регулируется от полубарного 640 мм. до барного 745 мм.;
- Специальные подпятники обеспечивают защиту каркаса от царапин, тем самым увеличивая срок службы;
- Диаметр/толщина сидения - 350/25 мм.;
- Максимальная статическая нагрузка - 260 кг.</t>
  </si>
  <si>
    <t>Стул барный SHT-ST19/S128</t>
  </si>
  <si>
    <t>белый/хром/белый муар</t>
  </si>
  <si>
    <t>платик/металл</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</si>
  <si>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Сидение
выполнено из полипропилена с армирующими добавками, которые обеспечивают дополнительную прочность
и долговечность.
Благодаря специальным АТМОСФЕРОСТОЙКИМ СВОЙСТВАМ, сидение переносит воздействие любых погодных условий.
СТАНЬТЕ ДИЗАЙНЕРОМ СВОЕГО СТУЛА! Именно под этот каркас Вы можете выбрать любую модель сидения Sheffilton
в нашем конструкторе.</t>
  </si>
  <si>
    <t>черный/хром/белый муар</t>
  </si>
  <si>
    <t>Стул барный SHT-ST19-SF1/S128</t>
  </si>
  <si>
    <t>СТ-397</t>
  </si>
  <si>
    <t>дымный/хром/белый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</si>
  <si>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круга.Стильный дизайн заключен в гармоничных линиях спинки и сидения. Такой модный
силуэт доставит эстетическое удовольствие.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t>
  </si>
  <si>
    <t>Стул барный SHT-ST19-SF1/S29</t>
  </si>
  <si>
    <t>СТ-393</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</si>
  <si>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Каркас покрыт порошковой краской, устойчивой к механическому воздействию. Максимальная статическая
нагрузка на стул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</si>
  <si>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SHT-ST19-SF1/S65</t>
  </si>
  <si>
    <t>горький шоколад/дуб браш. 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</si>
  <si>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ДРЕВЕСИНЫ с последующим тонированием и покрытием лаком. Каждое
изделие обработано технологией "браширование" - искусстенное старение и покрыто прозрачным лаком,
что обеспечивает защиту от внешних воздействий.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</si>
  <si>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СТ-421</t>
  </si>
  <si>
    <t>горький шоколад/светлый орех</t>
  </si>
  <si>
    <t>Стул барный SHT-ST19-SF1/S66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</si>
  <si>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МЕТАЛЛИЧЕСКИЙ КАРКАС окрашен порошковой краской, устойчивой к механическому воздействию.
Максимальная статическая нагрузка на стул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</si>
  <si>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SHT-ST19-SF1/S80</t>
  </si>
  <si>
    <t>горький шоколад/прозрачный лак/чёрный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</si>
  <si>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НАДЁЖНОСТЬ Каркас выполнен из массива древисины твердых пород с последующим тонированием и покрытием
лаком. Металлические детали каркаса окрашены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</si>
  <si>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SHT-ST19-SF1/S92</t>
  </si>
  <si>
    <t>горький шоколад/браш.коричневый/чёрный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</si>
  <si>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НАДЕЖНЫЙ КАРКАС.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Специальные подпятники обеспечивают защиту каркаса от царапин, тем самым увеличивая срок
службы.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</si>
  <si>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SHT-ST19-SF1/S93</t>
  </si>
  <si>
    <t>СТ-438</t>
  </si>
  <si>
    <t>Стул барный SHT-ST29-C4/S29</t>
  </si>
  <si>
    <t>СТ-433</t>
  </si>
  <si>
    <t>графит/медный металлик</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</si>
  <si>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НАДЕЖНЫЙ МЕТАЛЛИЧЕСКИЙ КАРКАС окрашен порошковой краской, устойчивой к механическому воздействию.Максимальная
статическая нагрузка на стул 260 кг.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</si>
  <si>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SHT-ST29-C4/S65</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</si>
  <si>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</si>
  <si>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SHT-ST29-C4/S66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</si>
  <si>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НАДЕЖНЫЕ МЕТАЛЛИЧЕСКИЕ ОПОРЫ окрашены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</si>
  <si>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SHT-ST29-C4/S80</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</si>
  <si>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ПРОЧНОСТЬ И НАДЁЖНОСТЬ
Каркас выполнен из массива древисины твердых пород с последующим тонированием и покрытием лаком.Металлические
детали каркаса окрашены порошковой краской, устойчивой к механическому воздействию.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</si>
  <si>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SHT-ST29-C4/S81</t>
  </si>
  <si>
    <t>графит/брашированный коричневый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</si>
  <si>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ПРОЧНОСТЬ И НАДЁЖНОСТЬ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- 200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</si>
  <si>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SHT-ST29/S128</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</si>
  <si>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Изогнутая спинка сидения обеспечивает удобную посадку и комфортное времяпровождение.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Сидение
выполнено из полипропилена с армирующими добавками и выдерживает продолжительные нагрузки.
СТАНЬТЕ ДИЗАЙНЕРОМ СВОЕГО СТУЛА! Именно под этот каркас Вы можете выбрать любую модель сидения Sheffilton
в нашем конструкторе.
ЗАПАТЕНТОВАНО! Сиденье Sheffilton SHT-ST29 защищено патентом, что гарантирует его уникальность, качество
и надежность.
ПЕРЕНОСИТ ВОЗДЕЙСТВИЕ ЛЮБЫХ ПОГОДНЫХ УСЛОВИЙ
Сидение выполнено из атмосферостойкого пластика и отлично устойчиво к прямым солнечным лучам, не деформируется
и не изменяет цвет. Можно использовать на открытом воздухе при температуре от -15С до +40С.</t>
  </si>
  <si>
    <t>СТ-410</t>
  </si>
  <si>
    <t>серый/хром/белый муар</t>
  </si>
  <si>
    <t>Стул барный SHT-ST31/S128</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</si>
  <si>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Широкое сиденье и подлокотники обеспечивают удобную посадку и комфортное времяпровождение.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Сидение
выполнено из полипропилена с армирующими добавками и выдерживает продолжительные нагрузки.
СТАНЬТЕ ДИЗАЙНЕРОМ СВОЕГО СТУЛА! Именно под этот каркас Вы можете выбрать любую модель сидения Sheffilton
в нашем конструкторе.
ПЕРЕНОСИТ ВОЗДЕЙСТВИЕ ЛЮБЫХ ПОГОДНЫХ УСЛОВИЙ
Сидение выполнено из атмосферостойкого пластика и отлично устойчиво к прямым солнечным лучам, не деформируется
и не изменяет цвет. Можно использовать на открытом воздухе при температуре от -15С до +40С.</t>
  </si>
  <si>
    <t>розовый/хром/белый муар</t>
  </si>
  <si>
    <t>Стул барный SHT-ST31-С2/S128</t>
  </si>
  <si>
    <t>аквамарин/хром/белый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</si>
  <si>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Мягкое сидение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ПРЕКРАСНАЯ ЭРГОНОМИКА сидения обеспечивает удобную посадку и комфортное времяпровождение.Готовый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t>
  </si>
  <si>
    <t>лунный камень/хром/белый муар</t>
  </si>
  <si>
    <t>Стул барный SHT-ST34-1/S128</t>
  </si>
  <si>
    <t>СТ-459</t>
  </si>
  <si>
    <t>голубая пастель/хром/белый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</si>
  <si>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сидения обеспечивает удобную посадку и комфортное времяпровождение.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t>
  </si>
  <si>
    <t>Стул барный SHT-ST34-1/S29</t>
  </si>
  <si>
    <t>СТ-461</t>
  </si>
  <si>
    <t>латте/чёрный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</si>
  <si>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НАДЕЖНЫЙ МЕТАЛЛИЧЕСКИЙ КАРКАС окрашен порошковой краской, устойчивой к механическому воздействию.Максимальная
статическая нагрузка на стул 260 кг.
*Оттенок ткани может меняться в зависимости от партии.</t>
  </si>
  <si>
    <t>Стул барный SHT-ST34-1/S65</t>
  </si>
  <si>
    <t>латте/дуб коричневый брашированный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</si>
  <si>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браширован с последующим тонированием и покрытием лаком.Специальные
подпятники обеспечивают защиту каркаса от царапин, тем самым увеличивая срок службы. Максимальная
статическая нагрузка - 260 кг.
*Оттенок ткани может меняться в зависимости от партии.</t>
  </si>
  <si>
    <t>СТ-412</t>
  </si>
  <si>
    <t>голубая пастель/прозрачный лак</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</si>
  <si>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t>
  </si>
  <si>
    <t>Стул барный SHT-ST34-1/S66</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</si>
  <si>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НАДЕЖНЫЕ МЕТАЛЛИЧЕСКИЕ ОПОРЫ окрашены порошковой краской, устойчивой к механическому воздействию.</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</si>
  <si>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НАДЕЖНЫЕ МЕТАЛЛИЧЕСКИЕ ОПОРЫ окрашены порошковой краской, устойчивой к механическому воздействию.
Максимальная статическая нагрузка - 200 кг.
*Оттенок ткани может меняться в зависимости от партии.</t>
  </si>
  <si>
    <t>Стул барный SHT-ST34-1/S80</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</si>
  <si>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НАДЁЖНОСТЬ!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</si>
  <si>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древисины твердых пород с последующим тонированием
и покрытием лаком. Металлические детали каркаса окрашены порошковой краской, устойчивой к механическому
воздействию.Максимальная статическая нагрузка - 200 кг.
*Оттенок ткани может меняться в зависимости от партии.</t>
  </si>
  <si>
    <t>Стул барный SHT-ST34-1/S93</t>
  </si>
  <si>
    <t>латте/браш.коричневый/чёрный муар</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</si>
  <si>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 Дерево обработано технологией "браширование" для большего эффекта природного
рисунка древесины. Специальные подпятники обеспечивают защиту каркаса от царапин, тем самым увеличивая
срок службы.Максимальная статическая нагрузка - 260кг.
*Оттенок ткани может меняться в зависимости от партии.</t>
  </si>
  <si>
    <t>Стул барный SHT-ST34-1/S94</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</si>
  <si>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ДОЛГОВЕЧНОСТЬ!Каркас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t>
  </si>
  <si>
    <t>Стул барный SHT-ST34/S128</t>
  </si>
  <si>
    <t>СТ-518</t>
  </si>
  <si>
    <t>платиново-серый/хром/белый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</si>
  <si>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t>
  </si>
  <si>
    <t>Стул барный SHT-ST35-1/S29</t>
  </si>
  <si>
    <t>Стул барный SHT-ST35-1/S65</t>
  </si>
  <si>
    <t>Стул барный SHT-ST35-1/S66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</si>
  <si>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НАДЕЖНЫЕ МЕТАЛЛИЧЕСКИЕ ОПОРЫ окрашены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</si>
  <si>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барный SHT-ST35-1/S80</t>
  </si>
  <si>
    <t>имперский жёлтый/прозрачный лак/чёрный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</si>
  <si>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МЕТАЛЛИЧЕСКИЕ ДЕТАЛИ каркаса окрашены порошковой краской, устойчивой к механическому воздействию.
Каркас выполнен из массива древисины твердых пород с последующим тонированием и покрытием лаком.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</si>
  <si>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SHT-ST35-1/S81</t>
  </si>
  <si>
    <t>имперский жёлтый/брашированный коричневы</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</si>
  <si>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</si>
  <si>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барный SHT-ST35-2/S128</t>
  </si>
  <si>
    <t>СТ-420</t>
  </si>
  <si>
    <t>лиственно-зеленый/хром/белый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</si>
  <si>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ОБИВКА выполнена из микровелюра, в качестве мягкого наполнителя используется поролон.</t>
  </si>
  <si>
    <t>Стул барный SHT-ST35/S128</t>
  </si>
  <si>
    <t>СТ-392</t>
  </si>
  <si>
    <t>розовый десерт/хром/белый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</si>
  <si>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ОБИВКА выполнена из микровелюра, в качестве мягкого наполнителя используется поролон.</t>
  </si>
  <si>
    <t>Стул барный SHT-ST36-1/S29</t>
  </si>
  <si>
    <t>Стул барный SHT-ST36-1/S65</t>
  </si>
  <si>
    <t>песчаная буря/венге</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</si>
  <si>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*Оттенок ткани может меняться в зависимости от партии.</t>
  </si>
  <si>
    <t>Стул барный SHT-ST36-1/S80</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</si>
  <si>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ПРОЧНОСТЬ И НАДЁЖНОСТЬ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*Оттенок ткани может меняться в зависимости от партии.</t>
  </si>
  <si>
    <t>Стул барный SHT-ST36-3/S128</t>
  </si>
  <si>
    <t>СТ-391</t>
  </si>
  <si>
    <t>нейтрально-серый/хром/белый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</si>
  <si>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ОБИВКА выполнена из микровелюра, в качестве мягкого наполнителя используется поролон.</t>
  </si>
  <si>
    <t>Стул барный SHT-ST37/S128</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</si>
  <si>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ОБИВКА выполнена из микровелюра, в качестве мягкого наполнителя используется поролон.</t>
  </si>
  <si>
    <t>серое облако/хром/белый муар</t>
  </si>
  <si>
    <t>СТ-396</t>
  </si>
  <si>
    <t>рубиновое вино/хром/белый муар</t>
  </si>
  <si>
    <t>Стул барный SHT-ST38/S128</t>
  </si>
  <si>
    <t>СТ-409</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</si>
  <si>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Обращаем внимание на детали, мягкое сидение, отведенная назад спинка с подлокотниками, отвечают
за вашу эргономичную посадку.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
ОБИВКА выполнена из микровелюра, в качестве мягкого наполнителя используется поролон.</t>
  </si>
  <si>
    <t>Стул барный SHT-ST38/S66</t>
  </si>
  <si>
    <t>СТ-530</t>
  </si>
  <si>
    <t>Стул барный складной Sheffilton SHT-S46</t>
  </si>
  <si>
    <t>CT-46</t>
  </si>
  <si>
    <t>беж/черный муар</t>
  </si>
  <si>
    <t>- Удобный барный складной стул на металлокаркасе с мягким сидением;
- Стул складывается, что позволяет экономить место при хранении;
- Подходит для дома, лоджии, сада, а также для кафе, баров и ресторанов;
- Оптимален с точки зрения цена/дизайн/качество;
- Надежен и легок в уходе;
- Сидение выполнено из ЛДСП и кож.зама;
- Размеры сидения: 320х320 мм; толщина сидения: 36 мм;
- Расстояние от пола до сидения: 750 мм;
- Размеры в складном виде: 450х110х1035 мм;
- Устойчивые опоры выполнены из металлической трубы, диаметр/толщина каркаса: 20х1,5 мм;
- Металлический каркас покрыт порошковой краской, устойчивой к механическому воздействию;
- Расстояние от пола до перекладины: 300 мм; от перекладины до сидения: 450 мм;
- Максимальная нагрузка 100 кг;
*Оттенок ткани может меняться в зависимости от партии.
- Гарантия 2 года.</t>
  </si>
  <si>
    <t>Стул подъемно-поворотный Sheffilton SHT-ST19/S120M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</si>
  <si>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Сидение выполнено из полипропилена с армирующими добавками, которые обеспечивают дополнительную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t>
  </si>
  <si>
    <t>Стул подъемно-поворотный Sheffilton SHT-ST19-SF1/S120M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</si>
  <si>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ПРЕКРАСНАЯ ЭРГОНОМИКА
Широкое сиденье и подлокотники обеспечивают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</si>
  <si>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дымный/черный муар</t>
  </si>
  <si>
    <t>Стул подъемно-поворотный Sheffilton SHT-ST29-C22/S120</t>
  </si>
  <si>
    <t>розовый зефир/черный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</si>
  <si>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t>
  </si>
  <si>
    <t>Стул подъемно-поворотный Sheffilton SHT-ST29-C/S120P</t>
  </si>
  <si>
    <t>Классический вращающийся стул на колесиках с газлифтом подходит для любого современного, стильного
офиса или учебного учреждения.
ЗАПАТЕНТОВАНО! Сиденье Sheffilton SHT-ST29 защищено патентом, что гарантирует его уникальность, качество
и надежность.
ПРОЧНОСТЬ И ДОЛГОВЕЧНОСТЬ
Мягкое сидение красивого жемчужно оттенка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SHT-ST29-C и каркаса SHT-S120.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
Рекомендуем стул для Точка Роста</t>
  </si>
  <si>
    <t>СТ-293</t>
  </si>
  <si>
    <t>рогожка/пластик</t>
  </si>
  <si>
    <t>Классический вращающийся стул на колесиках с газлифтом подходит для любого современного, стильного
офиса или учебного учреждения.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SHT-ST29-C и каркаса SHT-S120.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
Рекомендуем стул для Точка Роста</t>
  </si>
  <si>
    <t>Стул подъемно-поворотный Sheffilton SHT-ST29/S120</t>
  </si>
  <si>
    <t>Классический вращающийся стул на колесиках с газлифтом подходит для любого современного, стильного
офиса или учебного учреждения.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SHT-ST29 и каркаса SHT-S120. Вы можете выбрать любую модель и цвет стула в
нашем конструкторе.
ГАРАНТИЯ 2 ГОДА.
Рекомендуем стул для Точка Роста</t>
  </si>
  <si>
    <t>Стул подъемно-поворотный Sheffilton SHT-ST29/S120M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</si>
  <si>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</si>
  <si>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пастельно-голубой/черный муар</t>
  </si>
  <si>
    <t>СТ-467</t>
  </si>
  <si>
    <t>Стул подъемно-поворотный Sheffilton SHT-ST29-С12/S120M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</si>
  <si>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ПРЕКРАСНАЯ ЭРГОНОМИКА сидения обеспечивает удобную посадку и комфортное времяпровождение.
ОБИВКА сидения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</si>
  <si>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SHT-ST29-С1/S120M</t>
  </si>
  <si>
    <t>СТ-488</t>
  </si>
  <si>
    <t>Стул подъемно-поворотный Sheffilton SHT-ST29-С4/S120M</t>
  </si>
  <si>
    <t>СТ-487</t>
  </si>
  <si>
    <t>Стул подъемно-поворотный Sheffilton SHT-ST31-C2/S120P</t>
  </si>
  <si>
    <t>Классический вращающийся стул на колесиках с газлифтом подходит для любого современного, стильного
офиса или учебного учреждения.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SHT-ST31-C2 и каркаса SHT-S120.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</si>
  <si>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подъемно-поворотный Sheffilton SHT-ST31/S120M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</si>
  <si>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Широкое сиденье и подлокотники обеспечивают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</si>
  <si>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SHT-ST31/S120P</t>
  </si>
  <si>
    <t>Классический вращающийся стул на колесиках с газлифтом подходит для любого современного, стильного
офиса или учебного учреждения.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SHT-ST31 и каркаса SHT-S120. Вы можете выбрать любую модель и цвет стула в
нашем конструкторе.
ГАРАНТИЯ 2 ГОДА.
Рекомендуем стул для Точка Роста</t>
  </si>
  <si>
    <t>Стул подъемно-поворотный Sheffilton SHT-ST31-С1/S120M</t>
  </si>
  <si>
    <t>СТ-465</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</si>
  <si>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Однозначно, стул с таким сидением украсит и избавит от хлопот ни один дом, бар или ресторан.
ПРЕКРАСНАЯ ЭРГОНОМИКА сидения обеспечивает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</si>
  <si>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SHT-ST31-С2/S120M</t>
  </si>
  <si>
    <t>Стул подъемно-поворотный Sheffilton SHT-ST31-С2/S120М</t>
  </si>
  <si>
    <t>СТ-436</t>
  </si>
  <si>
    <t>Стул подъемно-поворотный Sheffilton SHT-ST33-1/S120M</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</si>
  <si>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</si>
  <si>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подъемно-поворотный Sheffilton SHT-ST33/S120M</t>
  </si>
  <si>
    <t>СТ-473</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</si>
  <si>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</si>
  <si>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подъемно-поворотный Sheffilton SHT-ST34-1/S120M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</si>
  <si>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</si>
  <si>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SHT-ST34/S120M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</si>
  <si>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</si>
  <si>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SHT-ST34/S120P</t>
  </si>
  <si>
    <t>СТ-288</t>
  </si>
  <si>
    <t>Классический вращающийся стул на колесиках с газлифтом подходит для любого современного, стильного
офиса или учебного учреждения.
ПРОЧНОСТЬ И ДОЛГОВЕЧНОСТЬ
Мягкое сидение красивого жемчужно оттенка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ПРЕКРАСНАЯ ЭРГОНОМИКА
Изогнутая спинка сидения обеспечивает удобную посадку и комфортное времяпровождение.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SHT-ST34 и каркаса SHT-S120. Вы можете выбрать любую модель и цвет стула в
нашем конструкторе.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</si>
  <si>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подъемно-поворотный Sheffilton SHT-ST35-1/S120M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</si>
  <si>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</si>
  <si>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SHT-ST35-2/S120M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</si>
  <si>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</si>
  <si>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SHT-ST35/S120M</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</si>
  <si>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каркас гармонично и со вкусом смотрится в любом помещении.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</si>
  <si>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</si>
  <si>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SHT-ST36-1/S120M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</si>
  <si>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</si>
  <si>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SHT-ST36-3/S120M</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</si>
  <si>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</si>
  <si>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подъемно-поворотный Sheffilton SHT-ST36-4/S120M</t>
  </si>
  <si>
    <t>сумеречная орхидея/черный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</si>
  <si>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</si>
  <si>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подъемно-поворотный Sheffilton SHT-ST36/S120M</t>
  </si>
  <si>
    <t>ванильный сахар/черный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</si>
  <si>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Нежная расцветка
микровелюра внесет уют и воздушность в интерьер.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</si>
  <si>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СТ-497</t>
  </si>
  <si>
    <t>ночное затмение/черный</t>
  </si>
  <si>
    <t>Стул подъемно-поворотный Sheffilton SHT-ST37/S120M</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</si>
  <si>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Стильная
расцветка из искусственной замши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искусственной замши,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</si>
  <si>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серове облако/черный муар</t>
  </si>
  <si>
    <t>СТ-512</t>
  </si>
  <si>
    <t>Стул подъемно-поворотный Sheffilton SHT-ST38-1/S120M</t>
  </si>
  <si>
    <t>СТ-463</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</si>
  <si>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t>
  </si>
  <si>
    <t>Стул подъемно-поворотный Sheffilton SHT-ST38/S120M</t>
  </si>
  <si>
    <t>альпийский бирюзовый/черный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</si>
  <si>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*Оттенок ткани может меняться в зависимости от партии.</t>
  </si>
  <si>
    <t>синий пепел/черный</t>
  </si>
  <si>
    <t>Стул подъемно-поворотный Sheffilton SHT-ST85-2/S121М</t>
  </si>
  <si>
    <t>Классический вращающийся стул на колесиках с газлифтом подходит для любого современного, стильного
офиса или учебного учреждения.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СИДЕНИЯ обеспечивает прочность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t>
  </si>
  <si>
    <t>Стул подъемно-поворотный Sheffilton SHT-ST85/S121</t>
  </si>
  <si>
    <t>СТ-280</t>
  </si>
  <si>
    <t>Классический вращающийся стул на колесиках с газлифтом подходит для любого современного, стильного
офиса или учебного учреждения.
ПРОЧНОСТЬ И ДОЛГОВЕЧНОСТЬ
Сидение выполнено из полипропилена с армирующими добавками и выдерживает продолжительные нагрузки.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РЕГУЛИРУЕМЫЙ ПО ВЫСОТЕ
Газлифт позволяет плавно регулировать стул по высоте, чем обеспечивает комфортное положение любого
сидящего человека.
ПЕРЕНОСИТ ВОЗДЕЙСВИЕ ЛЮБЫХ ПОГОДНЫХ УСЛОВИЙ
Сидение стула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ПЕРФОРАЦИЯ СИДЕНИЯ обеспечивает легкость конструкции, придает эффектный внешний вид и не боится длительного
воздействия воды, позволяя использовать на улице.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СТАНЬТЕ ДИЗАЙНЕРОМ СВОЕГО СТУЛА!
Стул состоит из сидения SHT-ST85, спинки SHT-SB85 и каркаса SHT-S120. Вы можете выбрать любую модель
и цвет стула в нашем конструкторе.
ГАРАНТИЯ 2 ГОДА.
Рекомендуем стул для Точка Роста</t>
  </si>
  <si>
    <t>Стул подъемно-поворотный Sheffilton SHT-ST85/S121М</t>
  </si>
  <si>
    <t>Классический вращающийся стул на колесиках с газлифтом подходит для любого современного, стильного
офиса или учебного учреждения.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СИДЕНИЯ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t>
  </si>
  <si>
    <t>белый/бежевый/черный муар</t>
  </si>
  <si>
    <t>белый/желтый/черный муар</t>
  </si>
  <si>
    <t>белый/мятный/черный муар</t>
  </si>
  <si>
    <t>белый/черный/черный муар</t>
  </si>
  <si>
    <t>желтый/черный/черный муар</t>
  </si>
  <si>
    <t>черный/желтый/черный муар</t>
  </si>
  <si>
    <t>СТ-495</t>
  </si>
  <si>
    <t>Стул подъемно-поворотный SHT-ST29-C4/S120</t>
  </si>
  <si>
    <t>графит/черный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</si>
  <si>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в качестве мягкого наполнителя используется поролон.
Микровелюр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ПРЕКРАСНАЯ ЭРГОНОМИКА
Изогнутая спинка сидения обеспечивает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*Оттенок ткани может меняться в зависимости от партии.</t>
  </si>
  <si>
    <t>Стул подъемно-поворотный SHT-ST34-1/S120</t>
  </si>
  <si>
    <t>латте/черный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</si>
  <si>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</si>
  <si>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подъемно-поворотный SHT-ST34\S120</t>
  </si>
  <si>
    <t>синий мираж/черный</t>
  </si>
  <si>
    <t>твид/пластик</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</si>
  <si>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Хромированные детали каркаса в сочетании с яркими контрастными
цветами сиденья делают изделие настоящим образцом современного стиля.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t>
  </si>
  <si>
    <t>Стул подъемно-поворотный SHT-ST38-1/S120</t>
  </si>
  <si>
    <t>лунный мрамор/черный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</si>
  <si>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Хромированные детали каркаса
в сочетании с яркими контрастными цветами сиденья делают изделие настоящим образцом современного стиля.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</si>
  <si>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подъёмно-поворотный SHT-ST36-1/S120</t>
  </si>
  <si>
    <t>песчаная буря/черный</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</si>
  <si>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ПРЕКРАСНАЯ ЭРГОНОМИКА. Стул с каркасом SHT-S95-1 обеспечивает удобную посадку и комфортное времяпровождение.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*Оттенок ткани может меняться в зависимости от партии.</t>
  </si>
  <si>
    <t>Стул полубарный Sheffilton SHT-ST19/S29-1</t>
  </si>
  <si>
    <t>СТ-281</t>
  </si>
  <si>
    <t>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специальным АТМОСФЕРОСТОЙКИМ СВОЙСТВАМ, сидение переносит воздействие любых погодных условий;
- ПРЕКРАСНАЯ ЭРГОНОМИКА сидения обеспечивает удобную посадку и комфортное времяпровождение;
- Легкий и ПРОСТОЙ УХОД;
- Каркас выполнен в элегантной форме, имеет чёткие, плавные линии, прочный и устойчивый;
- НАДЕЖНЫЙ МЕТАЛЛИЧЕСКИЙ КАРКАС окрашен порошковой краской, устойчивой к механическому воздействию;
- Высота каркаса 635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t>
  </si>
  <si>
    <t>ТОВАР ДОСТУПЕН ПОД ЗАКАЗ ОТ 50 ШТУК!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специальным АТМОСФЕРОСТОЙКИМ СВОЙСТВАМ, сидение переносит воздействие любых погодных условий;
- ПРЕКРАСНАЯ ЭРГОНОМИКА сидения обеспечивает удобную посадку и комфортное времяпровождение;
- Легкий и ПРОСТОЙ УХОД;
- Каркас выполнен в элегантной форме, имеет чёткие, плавные линии, прочный и устойчивый;
- НАДЕЖНЫЙ МЕТАЛЛИЧЕСКИЙ КАРКАС окрашен порошковой краской, устойчивой к механическому воздействию;
- Высота каркаса 635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t>
  </si>
  <si>
    <t>Стул полубарный Sheffilton SHT-ST19/S65-1</t>
  </si>
  <si>
    <t>желтый/светлый орех</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</si>
  <si>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ЛЕГКИЙ И ПРОСТОЙ УХОД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</si>
  <si>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СТ-333</t>
  </si>
  <si>
    <t>черный/венгe</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</si>
  <si>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ЛЕГКИЙ И ПРОСТОЙ УХОД!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</si>
  <si>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SHT-ST19/S80-1</t>
  </si>
  <si>
    <t>оранжевый/прозрачный лак/черный</t>
  </si>
  <si>
    <t>ТОВАР ДОСТУПЕН ПОД ЗАКАЗ ОТ 50 ШТУК!
Сочетание металла и дерева отлично впишутся в современный интерьер стиля "лофт" или хай-тек. Барному
стулу с каркасом S80-1 точно найдется место за барной стойкой в современных дизайнерских проектах.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Максимальная статическая нагрузка - 200</t>
  </si>
  <si>
    <t>черный/прозрачный лак/черный</t>
  </si>
  <si>
    <t>Сочетание металла и дерева отлично впишутся в современный интерьер стиля "лофт" или хай-тек. Барному
стулу с каркасом S80 точно найдется место за барной стойкой в современных дизайнерских проектах.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Максимальная статическая нагрузка - 200 кг</t>
  </si>
  <si>
    <t>Стул полубарный Sheffilton SHT-ST19/S93</t>
  </si>
  <si>
    <t>бежевый/браш.коричневый/черный муар</t>
  </si>
  <si>
    <t>красный/браш.коричневый/черный муар</t>
  </si>
  <si>
    <t>Стул полубарный Sheffilton SHT-ST19/S94-1</t>
  </si>
  <si>
    <t>бежевый/прозрачный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</si>
  <si>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Сидение выполнено
из полипропилена с армирующими добавками, которые обеспечивают дополнительную прочность и долговечность.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Благодаря специальным АТМОСФЕРОСТОЙКИМ СВОЙСТВАМ, сидение переносит воздействие любых погодных условий.
ПРЕКРАСНАЯ ЭРГОНОМИКА сидения обеспечивает удобную посадку и комфортное времяпровождение.
ПОД ЗАКАЗ
Доступны любые цветовые сочетания от 50 штук.</t>
  </si>
  <si>
    <t>Стул полубарный Sheffilton SHT-ST19-SF1/S29-1</t>
  </si>
  <si>
    <t>СТ-346</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</si>
  <si>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Каркас выполнен в элегантной форме, имеет чёткие, плавные линии, прочный и устойчивый.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ПРЕКРАСНАЯ ЭРГОНОМИКА сидения обеспечивает удобную посадку и комфортное времяпровождение.
ОБИВКА выполнена из рогожки.
НАДЕЖНЫЙ МЕТАЛЛИЧЕСКИЙ КАРКАС окрашен порошковой краской, устойчивой к механическому воздействию.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</si>
  <si>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SHT-ST19-SF1/S65-1</t>
  </si>
  <si>
    <t>коричневый сахар/светлый орех</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</si>
  <si>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рогожки.
Полубарный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</si>
  <si>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SHT-ST19-SF1/S66-1</t>
  </si>
  <si>
    <t>Полубарный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НАДЕЖНЫЙ МЕТАЛЛИЧЕСКИЙ КАРКАС окрашен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</si>
  <si>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SHT-ST19-SF1/S80-1</t>
  </si>
  <si>
    <t>СТ-402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</si>
  <si>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ПРОЧНОСТЬ И ЖЁСТКОСТЬ каркасу добавляют металлические пластины, толщиной 3 мм. Каркас выполнен из
массива древисины твердых пород с последующим тонированием и покрытием лаком. Металлические детали
каркаса окрашены порошковой краской, устойчивой к механическому воздействию. Максимальная статическая
нагрузка - 200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</si>
  <si>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SHT-ST19-SF1/S92</t>
  </si>
  <si>
    <t>СТ-449</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</si>
  <si>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Дерево каркаса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ПРЕКРАСНАЯ ЭРГОНОМИКА сидения обеспечивает удобную посадку и комфортное времяпровождение.
ОБИВКА выполнена из рогожки.
СПЕЦИАЛЬНЫЙ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</si>
  <si>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SHT-ST19-SF1/S93</t>
  </si>
  <si>
    <t>СТ-527</t>
  </si>
  <si>
    <t>корич.сахар/браш коричневый/черн.муар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</si>
  <si>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Дерево каркаса обработано технологией "браширование" для большего эффекта природного
рисунка древесины. Естественная текстура дерева в комплекте с металлическими деталями придает готовому
изделию стильный и дорогой вид.
ПРЕКРАСНАЯ ЭРГОНОМИКА сидения обеспечивает удобную посадку и комфортное времяпровождение.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ОБИВКА выполнена из рогожки.
СПЕЦИАЛЬНЫЙ ПОДПЯТНИКИ обеспечивают защиту каркаса от царапин, тем самым увеличивая срок службы. Максимальная
статическая нагрузка - 260 кг.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</si>
  <si>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SHT-ST19-SF2/S65-1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</si>
  <si>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</si>
  <si>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SHT-ST19-SF2/S66-1</t>
  </si>
  <si>
    <t>Стул полубарный Sheffilton SHT-ST19-SF2/S80-1</t>
  </si>
  <si>
    <t>СТ-524</t>
  </si>
  <si>
    <t>Стул полубарный Sheffilton SHT-ST19-SF2/S94-1</t>
  </si>
  <si>
    <t>ванильный крем/прозр. лак/черный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</si>
  <si>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Сидение выполнено
из полипропилена с армирующими добавками, которые обеспечивают дополнительную прочность и долговечность.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</si>
  <si>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SHT-ST29-C12/S80-1</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</si>
  <si>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Каркас выполнен из массива древесины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SHT-ST29-C12 и каркаса SHT-S80-1.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</si>
  <si>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SHT-ST29-C1/S80-1</t>
  </si>
  <si>
    <t>морская глубина/прозрачный лак/черный</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</si>
  <si>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Стул износоустойчивый и долговечный при использовании.
Максимальная статическая нагрузка на стул 200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</si>
  <si>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SHT-ST29-C22/S65-1</t>
  </si>
  <si>
    <t>розовый зефир/венге</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</si>
  <si>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ПРОЧНОСТЬ И ДОЛГОВЕЧНОСТЬ. Каркас выполнен из массива древисины с последующим тонированием и покрытием
лаком.</t>
  </si>
  <si>
    <t>Стул полубарный Sheffilton SHT-ST29-C22/S80-1</t>
  </si>
  <si>
    <t>Стул полубарный Sheffilton SHT-ST29-C4/S29-1</t>
  </si>
  <si>
    <t>СТ-469</t>
  </si>
  <si>
    <t>Стул полубарный Sheffilton SHT-ST29-C4/S66-1</t>
  </si>
  <si>
    <t>СТ-464</t>
  </si>
  <si>
    <t>Стул полубарный Sheffilton SHT-ST29-C/S80-1</t>
  </si>
  <si>
    <t>пепельный/прозрачный лак/черный муар</t>
  </si>
  <si>
    <t>Стул полубарный Sheffilton SHT-ST29/S65-1</t>
  </si>
  <si>
    <t>желтый/венге</t>
  </si>
  <si>
    <t>Интересный дизайн сидения ставит стул на первые позиции при формировании интерьера.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СТАНЬТЕ ДИЗАЙНЕРОМ СВОЕГО СТУЛА!
Стул состоит из сидения и каркаса. Вы можете выбрать любую модель и цвет стула в нашем конструкторе.
ГАРАНТИЯ 2 ГОДА.</t>
  </si>
  <si>
    <t>зеленый/светлый орех</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</si>
  <si>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</si>
  <si>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СТ-505</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</si>
  <si>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</si>
  <si>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SHT-ST29/S80-1</t>
  </si>
  <si>
    <t>бежевый/прозрачный лак/черный</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</si>
  <si>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Стул износоустойчивый и долговечный при использовании.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СТАНЬТЕ ДИЗАЙНЕРОМ СВОЕГО СТУЛА!
Стул состоит из сидения и каркаса. Вы можете выбрать любую модель и цвет стула в нашем конструкторе.
ГАРАНТИЯ 2 ГОДА.</t>
  </si>
  <si>
    <t>желтый/темный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</si>
  <si>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Стул износоустойчивый и долговечный при использовании.
Максимальная статическая нагрузка на стул 200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t>
  </si>
  <si>
    <t>Стул полубарный Sheffilton SHT-ST29-С12/S65-1</t>
  </si>
  <si>
    <t>коричневый сахар/венгe</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</si>
  <si>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стула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в качестве мягкого
наполнителя используется поролон.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</si>
  <si>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SHT-ST29-С1/S65-1</t>
  </si>
  <si>
    <t>СТ-428</t>
  </si>
  <si>
    <t>лунный камень/венгe</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</si>
  <si>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Мягкое сидение стула сшито из микровелюра, дизайн которого стилизован под "волчью шкуру". Данный материал
гипоаллергенный, экологичный, мягкий и приятный на ощупь, при этом очень прочный, износоустойчивый
и долговечный при использовании. Сиденье из микровелюра изысканно смотрится при любом варианте освещения:
и естественном, и искусственном.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ПРЕКРАСНАЯ ЭРГОНОМИКА
Мягкая спинка обеспечивает удобную посадку и комфортное времяпровождение, в качестве мягкого наполнителя
используется поролон.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Готовый стул состоит из отдельных частей: сиденье и каркас. Вы можете выбрать любую модель и цвет
стула в нашем конструкторе.
ГАРАНТИЯ 2 ГОДА!</t>
  </si>
  <si>
    <t>морская глубина/светлый орех</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</si>
  <si>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РЕКОМЕНДАЦИИ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</si>
  <si>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SHT-ST29-С20/S65-1</t>
  </si>
  <si>
    <t>СТ-377</t>
  </si>
  <si>
    <t>серый туман/венгe</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</si>
  <si>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Купить стул с сидением SHT-ST29-C20 серый туман — значит
придать интерьеру спокойствие и комфорт, поскольку данное сидение предназначено именно для этого.
ЗАПАТЕНТОВАНО! Сиденье Sheffilton SHT-ST29 защищено патентом, что гарантирует его уникальность, качество
и надежность.
ПРОЧНОСТЬ И ДОЛГОВЕЧНОСТЬ
Сидение из микровелюра изысканно смотрится при любом варианте освещения: и естественном, и искусственном,
а также легко чистится. Данный материал гиппоалергенный, экологичный, мягкий и приятный на ощупь,
при этом очень прочный, эластичный, износоустойчивый и долговечный при использовании.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в качестве мягкого
наполнителя используется поролон.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</si>
  <si>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SHT-ST29-С/S65-1</t>
  </si>
  <si>
    <t>СТ-339</t>
  </si>
  <si>
    <t>пепельный/светлый орех</t>
  </si>
  <si>
    <t>Стул полубарный Sheffilton SHT-ST31-C1/S65-1</t>
  </si>
  <si>
    <t>СТ-356</t>
  </si>
  <si>
    <t>пепельный/венге</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</si>
  <si>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ПРОЧНОСТЬ И ДОЛГОВЕЧНОСТЬ!
Обивка сидения выполнена из рогожки, в качестве мягкого наполнителя используется поролон.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</si>
  <si>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SHT-ST31-C2/S65-1</t>
  </si>
  <si>
    <t>аквамарин/венге</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</si>
  <si>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ПРОЧНОСТЬ И ДОЛГОВЕЧНОСТЬ!
Обивка сидения выполнена из микровелюра, в качестве мягкого наполнителя используется поролон.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</si>
  <si>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кремовый/прозрачный лак</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</si>
  <si>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ПРОЧНОСТЬ И ДОЛГОВЕЧНОСТЬ!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</si>
  <si>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СТ-482</t>
  </si>
  <si>
    <t>кремовый/светлый орех</t>
  </si>
  <si>
    <t>Стул полубарный Sheffilton SHT-ST31-C2/S80-1</t>
  </si>
  <si>
    <t>аквамарин/темный орех/черный</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</si>
  <si>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ПРОЧНОСТЬ И ДОЛГОВЕЧНОСТЬ!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Стул износоустойчивый и долговечный при использовании.
Максимальная статическая нагрузка на стул 200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</si>
  <si>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кремовый/прозрачный лак/черный муар</t>
  </si>
  <si>
    <t>Стул полубарный Sheffilton SHT-ST31/S29-1</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</si>
  <si>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По всей площади сидения толщина пластика варьируется от 5 мм до 8 мм из-за конструктивных особенностей.Металлический
каркас покрыт порошковой краской, устойчивой к механическому воздействию (диаметр/толщина каркаса:
20/1,5 мм)
Максимальная статическая нагрузка на стул 260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полубарного каркаса SHT-S29-1. Вы можете выбрать любую модель и
цвет стула в нашем конструкторе.
ГАРАНТИЯ 2 ГОДА.</t>
  </si>
  <si>
    <t>Стул полубарный Sheffilton SHT-ST31/S65-1</t>
  </si>
  <si>
    <t>Данный стул с лаконичным дизайном займет достойное место в любой комнате вашего дома, а может в ресторане,
кафе или баре. Вы произведете впечатление на любого, кто посетит Ваше заведение или дом.
ПРОЧНОСТЬ И ДОЛГОВЕЧНОСТЬ!
Данный материал очень прочный, износоустойчивый и долговечный при использовании.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</si>
  <si>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SHT-ST31/S80-1</t>
  </si>
  <si>
    <t>бежевый/темный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</si>
  <si>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Каркас выполнен из массива древесины с последующим тонированием и покрытием лаком (деревянная опора:
405х20х40 мм.)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СТАНЬТЕ ДИЗАЙНЕРОМ СВОЕГО СТУЛА!
Стул состоит из сидения SHT-ST31 и каркаса SHT-S80-1. Вы можете выбрать любую модель и цвет стула
в нашем конструкторе.
ГАРАНТИЯ 2 ГОДА.</t>
  </si>
  <si>
    <t>белый/прозрачный лак/черный</t>
  </si>
  <si>
    <t>Стул полубарный Sheffilton SHT-ST31/S94-1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</si>
  <si>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Сидение выполнено
из полипропилена с армирующими добавками и выдерживает продолжительные нагрузки.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ПЕРЕНОСИТ ВОЗДЕЙСТВИЕ ЛЮБЫХ ПОГОДНЫХ УСЛОВИЙ
Сидение выполнено из атмосферостойкого пластика и отлично устойчиво к прямым солнечным лучам, не деформируется
и не изменяет цвет. Можно использовать на открытом воздухе при температуре от -15С до +40С.
ПРЕКРАСНАЯ ЭРГОНОМИКА
Широкое сиденье и подлокотники обеспечивают удобную посадку и комфортное времяпровождение.
ПОД ЗАКАЗ
Доступны любые цветовые сочетания от 50 штук.</t>
  </si>
  <si>
    <t>черный/прозрачный лак/чёрный муар</t>
  </si>
  <si>
    <t>Стул полубарный Sheffilton SHT-ST31-С1/S94-1</t>
  </si>
  <si>
    <t>ледяная лаванда/прозр.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</si>
  <si>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Мягкое сидение красивого оттенка
с перламутровым отливом сшито из 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ПОД ЗАКАЗ
Доступны любые цветовые сочетания от 50 штук.</t>
  </si>
  <si>
    <t>пепельный/прозр.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</si>
  <si>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Обивка сидения выполнена из рогожки,
в качестве мягкого наполнителя используется поролон.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ПОД ЗАКАЗ
Доступны любые цветовые сочетания от 50 штук.</t>
  </si>
  <si>
    <t>Стул полубарный Sheffilton SHT-ST31-С2/S94-1</t>
  </si>
  <si>
    <t>кремовый/прозр.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</si>
  <si>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ПОД ЗАКАЗ
Доступны любые цветовые сочетания от 50 штук.</t>
  </si>
  <si>
    <t>Стул полубарный Sheffilton SHT-ST31-С3/S94-1</t>
  </si>
  <si>
    <t>лунный камень/прозр.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</si>
  <si>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Мягкое сидение Sheffilton сшито из
микровелюра. Данный материал гиппоалергенный, экологичный, приятный на ощупь, при этом очень прочный,
эластичный, износоустойчивый и долговечен при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ПОД ЗАКАЗ
Доступны любые цветовые сочетания от 50 штук.</t>
  </si>
  <si>
    <t>Стул полубарный Sheffilton SHT-ST33-1/S65-1</t>
  </si>
  <si>
    <t>Стул полубарный Sheffilton SHT-ST33-1/S66-1</t>
  </si>
  <si>
    <t>Стул полубарный Sheffilton SHT-ST33-1/S80-1</t>
  </si>
  <si>
    <t>альпийский бирюзовый/прозрачный лак/черн</t>
  </si>
  <si>
    <t>Стул полубарный Sheffilton SHT-ST33/S131-1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</si>
  <si>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рогожки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б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</si>
  <si>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Силуэт с завышенными полукруглыми подлокотниками и простеганная спинка придают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</si>
  <si>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SHT-ST33/S65-1</t>
  </si>
  <si>
    <t>сиреневая орхидея/венге</t>
  </si>
  <si>
    <t>СТ-490</t>
  </si>
  <si>
    <t>синий лед/венге</t>
  </si>
  <si>
    <t>Стул полубарный Sheffilton SHT-ST33/S66-1</t>
  </si>
  <si>
    <t>Стул полубарный Sheffilton SHT-ST33/S80-1</t>
  </si>
  <si>
    <t>синий лед/темный орех/черный</t>
  </si>
  <si>
    <t>сиреневая орхидея/прозрачный лак/черный</t>
  </si>
  <si>
    <t>Стул полубарный Sheffilton SHT-ST33/S94-1</t>
  </si>
  <si>
    <t>сиреневая орхидея/прозр.лак/черн.муар</t>
  </si>
  <si>
    <t>Стул полубарный Sheffilton SHT-ST34-1/S131-1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</si>
  <si>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Стул с каркасом
SHT-S131 обеспечит удобную посадку и комфортное времяпровождение.
МЯГКОЕ СИДЕНИЕ.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</si>
  <si>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SHT-ST34-1/S29-1</t>
  </si>
  <si>
    <t>СТ-430</t>
  </si>
  <si>
    <t>Стул полубарный Sheffilton SHT-ST34-1/S66-1</t>
  </si>
  <si>
    <t>Стул полубарный Sheffilton SHT-ST34-1/S80-1</t>
  </si>
  <si>
    <t>латте/прозрачный лак/черный</t>
  </si>
  <si>
    <t>Стул полубарный Sheffilton SHT-ST34-1/S93</t>
  </si>
  <si>
    <t>голубая пастель/дуб коричн.браш./черны</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</si>
  <si>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</si>
  <si>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полубарный Sheffilton SHT-ST34-1/S94-1</t>
  </si>
  <si>
    <t>латте/прозр.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</si>
  <si>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МЯГКОЕ СИДЕНИЕ. В качестве мягкого наполнителя используется поролон. Такое сидение обеспечит удобную
посадку, необходимую для полного расслабления.
ПОД ЗАКАЗ
Доступны любые цветовые сочетания от 50 штук.</t>
  </si>
  <si>
    <t>Стул полубарный Sheffilton SHT-ST34/S65-1</t>
  </si>
  <si>
    <t>СТ-361</t>
  </si>
  <si>
    <t>платиново-серый/светлый орех</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</si>
  <si>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ПРОЧНОСТЬ И ДОЛГОВЕЧНОСТЬ!
ОБИВКА сиденья выполнена из микровелюра, в качестве мягкого наполнителя используется поролон.
Каркас выполнен из МАССИВА ДРЕВЕСИНЫ твердых пород с последующим тонированием и покрытием лаком.
СПЕЦИАЛЬНЫЕ ПОДПЯТНИКИ каркаса обеспечивают защиту покрытия от царапин и повышают устойчивость стула.
Стул износоустойчивый и долговечный при использовании.
Максимальная статическая нагрузка на стул 260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</si>
  <si>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SHT-ST34/S66-1</t>
  </si>
  <si>
    <t>Стул полубарный Sheffilton SHT-ST34/S66-1</t>
  </si>
  <si>
    <t>СТ-439</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</si>
  <si>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Металлический каркас покрыт порошковой краской, устойчивой к механическому воздействию (диаметр каркаса
3 и 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SHT-ST34 и каркаса SHT-S66-1.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</si>
  <si>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SHT-ST34/S80-1</t>
  </si>
  <si>
    <t>платиново-серый/прозрачный лак</t>
  </si>
  <si>
    <t>Интересный дизайн сидения ставит стул на первые позиции при формировании интерьера.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.Вы произведете впечатление на любого, кто посетит
Ваше заведение или дом.
ПРОЧНОСТЬ И ДОЛГОВЕЧНОСТЬ!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Стул износоустойчивый и долговечный при использовании.
Максимальная статическая нагрузка на стул 200 кг.
ПРЕКРАСНАЯ ЭРГОНОМИКА
Сидение стула обеспечивает удобную посадку и комфортное времяпровождение.
РЕКОМЕНДАЦИЯ ПО УХОДУ
Используйте чистку пылесосом, а для трудновыводимых пятен специальные пятновыводители для тканей,
в соответствии с инструкцией.
СТАНЬТЕ ДИЗАЙНЕРОМ СВОЕГО СТУЛА!
Стул состоит из сидения и каркаса. Вы можете выбрать любую модель и цвет стула в нашем конструкторе.
ГАРАНТИЯ 2 ГОДА.</t>
  </si>
  <si>
    <t>Стул полубарный Sheffilton SHT-ST34/S94-1</t>
  </si>
  <si>
    <t>синий мираж/прозр.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</si>
  <si>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ПОД ЗАКАЗ
Доступны любые цветовые сочетания от 50 штук.</t>
  </si>
  <si>
    <t>СТ-424</t>
  </si>
  <si>
    <t>платиново-серый/прозр.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</si>
  <si>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ПОД ЗАКАЗ
Доступны любые цветовые сочетания от 50 штук.</t>
  </si>
  <si>
    <t>Стул полубарный Sheffilton SHT-ST35-1/S131-1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</si>
  <si>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</si>
  <si>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SHT-ST35-1/S65-1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</si>
  <si>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полубарный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Каркас выполнен из МАССИВА ДРЕВЕСИНЫ с последующим тонированием и покрытием лаком. Специальные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</si>
  <si>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SHT-ST35-1/S66-1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</si>
  <si>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полубарный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Оригинальную нотку каркасу придают ножки с заметным волнообразным изгибом.
ПРЕКРАСНАЯ ЭРГОНОМИКА сидения обеспечивает удобную посадку и комфортное времяпровождение.
НАДЕЖНЫЕ МЕТАЛЛИЧЕСКИЕ ОПОРЫ окрашены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t>
  </si>
  <si>
    <t>Стул полубарный Sheffilton SHT-ST35-1/S80-1</t>
  </si>
  <si>
    <t>Стул полубарный Sheffilton SHT-ST35-1/S93</t>
  </si>
  <si>
    <t>имперский желтый/браш. кор./черн. муар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</si>
  <si>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барный каркас гармонично и со вкусом смотрится в любом помещении.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 Скругленные линии спинки и сидения подчеркивают модный силуэт.
Дерево каркаса обработано технологией "браширование" для большего эффекта природного рисунка древесины.
Естественная текстура дерева в комплекте с металлическими деталями придает готовому изделию стильный
и дорогой вид.
ПРЕКРАСНАЯ ЭРГОНОМИКА сидения обеспечивает удобную посадку и комфортное времяпровождение.
СПЕЦИАЛЬНЫЙ ПОДПЯТНИКИ обеспечивают защиту каркаса от царапин, тем самым увеличивая срок службы. Максимальная
статическая нагрузка - 260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</si>
  <si>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SHT-ST35-1/S94-1</t>
  </si>
  <si>
    <t>Стул полубарный Sheffilton SHT-ST35-2/S65-1</t>
  </si>
  <si>
    <t>СТ-345</t>
  </si>
  <si>
    <t>лиственно-зеленый/венге</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</si>
  <si>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Каркас выполнен из массива древесины твердых пород с последующим тонированием и покрытием лаком.
Максимальная статическая нагрузка на стул 260 кг.
ПРЕКРАСНАЯ ЭРГОНОМИКА
Мягкая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SHT-S65-1.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</si>
  <si>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SHT-ST35-2/S66-1</t>
  </si>
  <si>
    <t>СТ-332</t>
  </si>
  <si>
    <t>Изящный в своей простоте, визуально лёгкий стул в стиле хай-тек. Внешнее сходство тонких линий с Эйфелевой
башней придает готовому изделию нотку французского шарма.
ПРОЧНОСТЬ И ДОЛГОВЕЧНОСТЬ
Классический вид сидению придает однотонная микровелюровая обивка. Обратите внимание на детали, мягкое
сидение, отведенная назад дугообразная спинка, отвечают за вашу эргономичную посадку. Располагайтесь
с книгой или чашкой чая – бархатистая микровелюровая обивка обеспечит Вам должный комфорт. Сидение
из микровелюра изысканно смотрится при любом варианте освещения: и естественном, и искусственном,
а также легко чистится.
Металлический каркас покрыт порошковой краской, устойчивой к механическому воздействию (диаметр каркаса
3 и 5 мм)
Максимальная статическая нагрузка на стул 200 кг.
ПРЕКРАСНАЯ ЭРГОНОМИКА
Изогнутая спинка сидения обеспечивает удобную посадку и комфортное времяпровождение.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SHT-ST35-2 и каркаса SHT-S66-1.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</si>
  <si>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SHT-ST35/S131-1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</si>
  <si>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</si>
  <si>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SHT-ST35/S65-1</t>
  </si>
  <si>
    <t>СТ-398</t>
  </si>
  <si>
    <t>розовый десерт /светлый орех</t>
  </si>
  <si>
    <t>Стул полубарный Sheffilton SHT-ST35/S66-1</t>
  </si>
  <si>
    <t>СТ-503</t>
  </si>
  <si>
    <t>Стул полубарный Sheffilton SHT-ST35/S80-1</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</si>
  <si>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Максимальная статическая нагрузка - 200 кг.
*Оттенок ткани может меняться в зависимости от партии.</t>
  </si>
  <si>
    <t>Стул полубарный Sheffilton SHT-ST35/S94-1</t>
  </si>
  <si>
    <t>горчичный/прозрачный лак/черный муар</t>
  </si>
  <si>
    <t>Стул полубарный Sheffilton SHT-ST36-1/S65-1</t>
  </si>
  <si>
    <t>Стул полубарный Sheffilton  SHT-ST36-1/S80-1</t>
  </si>
  <si>
    <t>Стул полубарный Sheffilton SHT-ST36-1/S80-1</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</si>
  <si>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А сочетание металла и дерева
отлично впишутся в современный интерьер стиля.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НАДЕЖНЫЙ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- 200 кг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</si>
  <si>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SHT-ST36-1/S93</t>
  </si>
  <si>
    <t>песчаная буря/браш.коричневый/черн.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</si>
  <si>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</si>
  <si>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SHT-ST36-1/S94-1</t>
  </si>
  <si>
    <t>тихий океан/прозр.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</si>
  <si>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ПОД ЗАКАЗ
Доступны любые цветовые сочетания от 50 штук.</t>
  </si>
  <si>
    <t>Стул полубарный Sheffilton SHT-ST36-3/S65-1</t>
  </si>
  <si>
    <t>нежная мята/венге</t>
  </si>
  <si>
    <t>Стул полубарный Sheffilton SHT-ST36-3/S66</t>
  </si>
  <si>
    <t>СТ-385</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</si>
  <si>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ПРОЧНОСТЬ И ДОЛГОВЕЧНОСТЬ
ОБИВКА выполнена из микровелюра, в качестве мягкого наполнителя используется поролон. Металлический
каркас покрыт порошковой краской, устойчивой к механическому воздействию (диаметр прутка 8 и 5 мм)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SHT-ST36-3 и каркаса SHT-S66-1.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</si>
  <si>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SHT-ST36-3/S66-1</t>
  </si>
  <si>
    <t>Стул полубарный Sheffilton SHT-ST36-3/S80-1</t>
  </si>
  <si>
    <t>нейтральный серый/прозрачный лак/черный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</si>
  <si>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Каркас выполнен
из массива древисины твердых пород с последующим тонированием и покрытием лаком. Прочность и жесткость
каркасу добавляют металлические пластины, толщиной 3 мм. Максимальная статическая нагрузка - 200 кг.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Вы можете выбрать любую модель и цвет стула в нашем конструкторе.
ГАРАНТИЯ 2 ГОДА.
*Оттенок ткани может меняться в зависимости от партии.</t>
  </si>
  <si>
    <t>Стул полубарный Sheffilton SHT-ST36-3/S94-1</t>
  </si>
  <si>
    <t>нейтральный серый/прозр. лак/черный муар</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</si>
  <si>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ПОД ЗАКАЗ
Доступны любые цветовые сочетания от 50 штук.</t>
  </si>
  <si>
    <t>Стул полубарный Sheffilton SHT-ST36-4/S131-1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</si>
  <si>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Рисунок на спинке сидения придает изделию эффектный
вид. Яркая расцветка микровелюра внесет красок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</si>
  <si>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SHT-ST36-4/S65-1</t>
  </si>
  <si>
    <t>сумеречная орхидея/светлый орех</t>
  </si>
  <si>
    <t>Стул полубарный Sheffilton SHT-ST36-4/S66-1</t>
  </si>
  <si>
    <t>Стул полубарный Sheffilton SHT-ST36/S131-1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</si>
  <si>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заключен в королевской форме сидения. Нежная расцветка микровелюра внесет уюта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</si>
  <si>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SHT-ST36/S65-1</t>
  </si>
  <si>
    <t>ванильный лак/светлый орех</t>
  </si>
  <si>
    <t>Стул полубарный Sheffilton SHT-ST36/S80-1</t>
  </si>
  <si>
    <t>Стул полубарный Sheffilton SHT-ST37/S131-1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</si>
  <si>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Стул с каркасом SHT-S131 обеспечит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</si>
  <si>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SHT-ST37/S66-1</t>
  </si>
  <si>
    <t>СТ-349</t>
  </si>
  <si>
    <t>Стул полубарный Sheffilton SHT-ST37/S80-1</t>
  </si>
  <si>
    <t>рубиновое вино/темный орех/черный</t>
  </si>
  <si>
    <t>Лаконичный дизайн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ПРОЧНОСТЬ И ДОЛГОВЕЧНОСТЬ
ОБИВКА выполнена из микровелюра, в качестве мягкого наполнителя используется поролон. Каркас выполнен
из МАССИВА ДРЕВЕСИНЫ с последующим тонированием и покрытием лаком.
Прочность и жесткость каркасу добавляют металлические пластины, толщиной 3 мм.
Металлические детали каркаса окрашены порошковой краской, устойчивой к механическому воздействию.
Максимальная статическая нагрузка на стул 200 кг.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РЕКОМЕНДАЦИЯ ПО УХОДУ
Чистка пылесосом, для трудновыводимых пятен используйте специальные пятновыводители для тканей, в
соответствии с инструкцией.
СТАНЬТЕ ДИЗАЙНЕРОМ СВОЕГО СТУЛА!
Стул состоит из сидения SHT-ST37 и каркаса SHT-S80. Вы можете выбрать любую модель и цвет стула в
нашем конструкторе.
ГАРАНТИЯ 2 ГОДА.</t>
  </si>
  <si>
    <t>Стул полубарный Sheffilton SHT-ST37/S94-1</t>
  </si>
  <si>
    <t>серое облако/прозрачный лак/черный муар</t>
  </si>
  <si>
    <t>СТ-451</t>
  </si>
  <si>
    <t>рубиновое вино/прозр. лак/черный муар</t>
  </si>
  <si>
    <t>Стул полубарный Sheffilton SHT-ST38-1/S65-1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</si>
  <si>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Изящный в своей простоте, прочный
полубарный каркас гармонично и со вкусом смотрится в любом помещении.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Каркас выполнен из МАССИВА ДРЕВЕСИНЫ с последующим тонированием и покрытием лаком. Максимальная статическая
нагрузка - 260 кг. Специальные подпятники обеспечивают защиту каркаса от царапин, тем самым увеличивая
срок службы.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</si>
  <si>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Стул полубарный Sheffilton SHT-ST38-1/S80-1</t>
  </si>
  <si>
    <t>СТ-470</t>
  </si>
  <si>
    <t>Стул полубарный Sheffilton SHT-ST38-1/S94-1</t>
  </si>
  <si>
    <t>Лаконичный дизайн cтула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ПОД ЗАКАЗ
Доступны любые цветовые сочетания от 50 штук.</t>
  </si>
  <si>
    <t>Стул полубарный Sheffilton SHT-ST38/S131-1</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</si>
  <si>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А прочный и стильный каркас идеально
впишется в Ваш интерьер. Дело за Вашей фантазией и вдохновением!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ОБИВКА выполнена из микровелюра, в качестве мягкого наполнителя используется поролон.
ПРЕКРАСНАЯ ЭРГОНОМИКА. Стул с каркасом SHT-S131 обеспечит удобную посадку и комфортное времяпровождение.
Обращаем внимание на детали, мягкое сидение, отведенная назад спинка с подлокотниками, отвечают за
вашу эргономичную посадку.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t>
  </si>
  <si>
    <t>Стул полубарный Sheffilton SHT-ST38/S65-1</t>
  </si>
  <si>
    <t>зефирный/светлый орех</t>
  </si>
  <si>
    <t>Стул полубарный Sheffilton SHT-ST38/S66-1</t>
  </si>
  <si>
    <t>СТ-408</t>
  </si>
  <si>
    <t>Стул полубарный Sheffilton SHT-ST38/S80-1</t>
  </si>
  <si>
    <t>альпийский бирюзовый/прозр. лак/черный</t>
  </si>
  <si>
    <t>зефирный/темный орех/черный</t>
  </si>
  <si>
    <t>Стул полубарный Sheffilton SHT-ST38/S94-1</t>
  </si>
  <si>
    <t>СТ-523</t>
  </si>
  <si>
    <t>угольно-серый/прозрачный лак/черный муар</t>
  </si>
  <si>
    <t>Стул полубарный Sheffilton SHT-ST9/S93</t>
  </si>
  <si>
    <t>Стул полубарный SHT-ST19-SF1/S65-1</t>
  </si>
  <si>
    <t>СТ-435</t>
  </si>
  <si>
    <t>горький шоколад/венге</t>
  </si>
  <si>
    <t>Стул полубарный SHT-ST19-SF1/S80-1</t>
  </si>
  <si>
    <t>горький шоколад/темный орех/черный</t>
  </si>
  <si>
    <t>Стул полубарный SHT-ST29-C4/S65-1</t>
  </si>
  <si>
    <t>графит/венге</t>
  </si>
  <si>
    <t>графит/светлый орех</t>
  </si>
  <si>
    <t>Стул полубарный SHT-ST29-C4/S80-1</t>
  </si>
  <si>
    <t>графит/прозрачный лак/чёрный</t>
  </si>
  <si>
    <t>Стул полубарный SHT-ST34-1/S65-1</t>
  </si>
  <si>
    <t>голубая пастель/венге</t>
  </si>
  <si>
    <t>СТ-419</t>
  </si>
  <si>
    <t>голубая пастель/светлый орех</t>
  </si>
  <si>
    <t>латте/светлый орех</t>
  </si>
  <si>
    <t>Стул полубарный SHT-ST34-1/S80-1</t>
  </si>
  <si>
    <t>голубая пастель/темный орех/черный</t>
  </si>
  <si>
    <t>Стул полубарный SHT-ST35-1/S66-1</t>
  </si>
  <si>
    <t>СТ-357</t>
  </si>
  <si>
    <t>Стул полубарный SHT-ST35-1/S80-1</t>
  </si>
  <si>
    <t>имперский желтый/темный орех/черный</t>
  </si>
  <si>
    <t>Стул полубарный SHT-ST35-2/S80-1</t>
  </si>
  <si>
    <t>СТ-389</t>
  </si>
  <si>
    <t>лиственно-зеленый/прозрачный лак/черный</t>
  </si>
  <si>
    <t>- Мягкий и элегантный стул - для тех, кто ценит комфорт;
- Идеально будет смотреться в интерьере дома, кафе, бара или ресторана;
- Сидение стула не используется отдельно от чехла;
- Обивка сидения выполнена из мягкого микровелюра, чехол не съемный;
- Рекомендация по уходу: чистка пылесосом, для трудновыводимых пятен используйте специальные пятновыводители
для тканей, в соответствии с инструкцией.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Максимальная статическая нагрузка - 200 кг.
*Оттенок ткани может меняться в зависимости от партии.</t>
  </si>
  <si>
    <t>Стул полубарный SHT-ST35/S80-1</t>
  </si>
  <si>
    <t>СТ-378</t>
  </si>
  <si>
    <t>розовый десерт/темный орех/черный</t>
  </si>
  <si>
    <t>Стул полубарный SHT-ST36-1/S65</t>
  </si>
  <si>
    <t>Стул полубарный SHT-ST36-1/S80-1</t>
  </si>
  <si>
    <t>Табурет Sheffilton SHT-S36</t>
  </si>
  <si>
    <t>Т-36</t>
  </si>
  <si>
    <t>гранит/черный муар</t>
  </si>
  <si>
    <t>- Яркие табуреты удобны и практичны при использовании на кухне, веранде, даче, беседке;
- Компакты и надежны, занимают мало места;
- Отличное сочетание российского качества, европейского дизайна и очень доступной цены;
- Табуреты штабелируемые, что позволяет экономить место при хранении;
- Сидение табурета выполнено из полипропилена, толщиной - 2,5 мм;
- Размер сидения: 350х45 мм (D - 300мм);
- Опоры из металлической трубы, диаметр/толщина - 20/0,8 мм;
- Опорная поверхность ножек стула не скользит на напольных покрытиях, защищает пол от царапин;
- Максимальная нагрузка - 100 кг.
- Гарантия 2 года.</t>
  </si>
  <si>
    <t>- Яркие табуреты удобны и практичны при использовании на кухне, веранде, даче, беседке;
- Компактны и надежны, занимают мало места;
- Отличное сочетание российского качества, европейского дизайна и очень доступной цены;
- Табуреты штабелируемые, что позволяет экономить место при хранении;
- Сидение табурета выполнено из полипропилена, толщина - 2,5 мм;
- Размер сидения: 350х45 мм (D - 300мм);
- Опоры из металлической трубы, диаметр/толщина - 20х0,8 мм;
- Опорная поверхность ножек стула не скользит на напольных покрытиях, защищает пол от царапин;
- Максимальная нагрузка - 100 кг.
- Гарантия 2 года.</t>
  </si>
  <si>
    <t>оранжевый/черный</t>
  </si>
  <si>
    <t>синий/хром</t>
  </si>
  <si>
    <t>фиолетовый/серый</t>
  </si>
  <si>
    <t>шоколадный/ваниль</t>
  </si>
  <si>
    <t>Табурет складной Sheffilton SHT-S6</t>
  </si>
  <si>
    <t>Т-6</t>
  </si>
  <si>
    <t>хром/бук (+)</t>
  </si>
  <si>
    <t>- Cкладной табурет пригодиться вам дома, на даче, при выезде на пикник;
- Занимает мало места при хранении;
- Сидение из ЛДСП, устойчивым к истиранию, влаге, химическим веществам;
- Толщина сиденья: 165 мм;
- Размер сиденья: 320х320 мм;
- Металлический каркас покрыт порошковой краской, устойчивой к механическому воздействию;
- Диаметр/толщина трубы: 18х0,8 мм;
- Максимальная нагрузка 90 кг;
- Гарантия 2 года.</t>
  </si>
  <si>
    <t>хром/венге</t>
  </si>
  <si>
    <t>Основание для стола Sheffilton SHT-TU10</t>
  </si>
  <si>
    <t>TU14</t>
  </si>
  <si>
    <t>Выразительное утонченное основание для стола.
Добавит оригинальности в интерьер кафе, бара, ресторана или дома.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Рекомендуемые размеры отступов для усановки опор под столешницу 80х80 - 180 мм. от края. Под столешницу
120х80 - 275х180 мм. от края. Более подробную информацию смотрите в схеме сборки изделия.
Максимальная нагрузка на одну опору 12,5 кг.</t>
  </si>
  <si>
    <t>хром лак</t>
  </si>
  <si>
    <t>Выразительное утонченное основание для стола добавит оригинальности в интерьер кафе, бара, ресторана
или дома.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Рекомендуемые размеры отступов для усановки опор под столешницу 80х80 - 180 мм. от края. Под столешницу
120х80 - 275х180 мм. от края. Более подробную информацию смотрите в схеме сборки изделия.
Максимальная нагрузка на одну опору 12,5 кг.
Гарантия 2 года.</t>
  </si>
  <si>
    <t>Основание для стола Sheffilton SHT-TU11</t>
  </si>
  <si>
    <t>TU17</t>
  </si>
  <si>
    <t>черный/зол.патина</t>
  </si>
  <si>
    <t>Образец отличного подстолья в стиле лофт.
Металлические цепи придают ему истинно мужской характер.
Эффектно будет смотреться в интерьере паба, бара, кафе.
Прекрасно сочетается с табуретом SHT-S74.
Выполнено из цельносварной металлической трубы и металлического листа с декоративной отделкой - патинирование
"под золото".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Можно использовать круглые столешницы от 600 - 900 мм.
Максимальная статическая нагрузка на стол 50 кг.
Гарантия 2 года.</t>
  </si>
  <si>
    <t>Основание для стола Sheffilton SHT-TU12</t>
  </si>
  <si>
    <t>TU15</t>
  </si>
  <si>
    <t>Сочетает в себе гармоничную форму, практичный дизайн и качественные материалы.
Модно и современно смотрится в интерьерах кафе, баров, ресторанов и в жилых пространствах.
Выполнено из металла, диаметр/толщина трубы 51/1 мм и массива бука, диаметром 51 мм.
Толщина верхнего фланца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
Гарантия 2 года.</t>
  </si>
  <si>
    <t>Основание для стола Sheffilton SHT-TU13</t>
  </si>
  <si>
    <t>TU26</t>
  </si>
  <si>
    <t>Главный плюс основание для стола SHT-TU13 возможность КРЕПЛЕНИЯ К ПОЛУ. Полностью сварное основание
для стола, обеспечивает максимальную устойчивость. Вы можете СОЗДАТЬ свой стол с использованием круглых,
овальных, квадратных или прямоугольных столешниц.
ВНИМАНИЕ: для столешниц размером больше 800 мм. используйте ДВА основания;
Крепеж в комплект поставки не входит. Пожалуйста, подберите соответствующий крепеж для пола и столешницы!
- НАДЕЖНЫЙ МЕТАЛЛИЧЕСКИЙ КАРКАС окрашен порошковой краской, устойчивой к механическому воздействию;
- Диаметр/толщина трубы 76х1,5 мм.;
- Предусмотрены четыре нижних отверстия для установки крепежа в потай;
- Толщина верхнего фланца для крепления столешницы 5 мм, толщина нижнего 10 мм.;
- Максимальная статическая нагрузка на стол 50 кг.;
- Размер столешниц до 800 мм. для одного основания.</t>
  </si>
  <si>
    <t>Основание для стола Sheffilton SHT-TU13/H110</t>
  </si>
  <si>
    <t>TU27</t>
  </si>
  <si>
    <t>Прочное полностью сварное БАРНОЕ основание для стола. Главный плюс TU13/H110 ? возможность КРЕПЛЕНИЯ
К ПОЛУ, что обеспечивает максимальную устойчивость. СОЗДАВАЙТЕ свой стол с использованием круглых,
овальных, квадратных, прямоугольных столешниц.
ВНИМАНИЕ: для столешниц размером больше 800 мм. используйте ДВА основания;
Крепеж в комплект поставки не входит;
Пожалуйста, подберите соответствующий крепеж для пола и столешницы!
- Предусмотрены четыре нижних отверстия для установки крепежа в потай;
- Выполнено из металла, диаметр/толщина трубы 76х1,5 мм.;
- Толщина верхнего фланца для крепления столешницы 5 мм, толщина нижнего 10 мм.;
- Размер столешниц до 800 мм. для одного основания;
- Максимальная статическая нагрузка на стол 50 кг.;
- Гарантия 2 года.</t>
  </si>
  <si>
    <t>Основание для стола Sheffilton SHT-TU14</t>
  </si>
  <si>
    <t>TU20</t>
  </si>
  <si>
    <t>Сочетает в себе гармоничную форму, практичный дизайн и качественные материалы.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t>
  </si>
  <si>
    <t>белый муар/золото</t>
  </si>
  <si>
    <t>Конусообразная опора смотрится изящно и аккуратно. Готовый стол с такими опорами впишется в мягкий,
уютный и тихий интерьер ресторана, кафе, или же хорошо будет смотреться в гостиной. Хотим заметить,
что эта модель впишется в любой стиль. Дело за Вашей фантазией и вдохновением!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СТАНЬТЕ ДИЗАЙНЕРОМ СВОЕГО СТОЛА! Именно под эти опоры Вы можете выбрать любую модель столешницы Sheffilton
в нашем конструкторе.</t>
  </si>
  <si>
    <t>ваниль</t>
  </si>
  <si>
    <t>Сочетает в себе гармоничную форму, практичный дизайн и качественные материалы.
Опора устанавливается под наклоном.
Выполнено из металла, диаметр/толщина трубы 51/1 мм.
Толщина верхнего фланца для крепления столешницы 3 мм.
Предусмотрен пластиковая заглушка,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t>
  </si>
  <si>
    <t>Сочетает в себе гармоничную форму, практичный дизайн и качественные материалы.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напольное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t>
  </si>
  <si>
    <t>черный муар/золото</t>
  </si>
  <si>
    <t>Основание для стола Sheffilton SHT-TU15</t>
  </si>
  <si>
    <t>TU21</t>
  </si>
  <si>
    <t>медный металлик</t>
  </si>
  <si>
    <t>"Насыщенный медный определенно привлечет внимание своим блеском"
Опора устанавливается под наклоном.
Выполнено из металла, диаметр/толщина трубы 51/1 мм.
Толщина верхнего фланца для крепления столешницы 3 мм.
Предусмотрен пластиковая заглушка,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
Гарантия 2 года.</t>
  </si>
  <si>
    <t>Основание для стола Sheffilton SHT-TU16</t>
  </si>
  <si>
    <t>TU23</t>
  </si>
  <si>
    <t>Основание для стола SHT-TU16 cочетает в себе классическую, гармоничную форму и качественные материалы.
Опора крепится к столешнице под наклоном. Обработка "прозрачным лаком" позволяет сохранить уникальную
текстуру и рисунок массива дуба. Стол с такими опорами будет гармонично смотреться в интерьере с эко-стилем!
- Выполнено из массива дуба, толщиной 40 мм.
- Толщина верхнего фланца для крепления столешницы 3 мм.
- Можно использовать круглые, овальные, квадратные, прямоугольные столешницы.
- Рекомендовано использовать для круглых столешниц от 3-х оснований, для квадратных, овальных и прямоугольных
- от 4-х.
- Вы можете собрать свой стол в конструкторе стола.
- Максимальная нагрузка на одну опору 12,5 кг.
- Для разных столешниц требуются различные крепежные приспособления. Подберите подходящие шурупы,
дюбели, саморезы и т.п. (не прилагаются).</t>
  </si>
  <si>
    <t>темный орех</t>
  </si>
  <si>
    <t>Основание для стола SHT-TU16 cочетает в себе классическую, гармоничную форму и качественные материалы.
Опора крепится к столешнице под наклоном. Стол с такими опорами будет гармонично смотреться в кафе,
ресторане или домашнем интерьере
- Выполнено из массива дуба, толщиной 40 мм.
- Толщина верхнего фланца для крепления столешницы 3 мм.
- Можно использовать круглые, овальные, квадратные, прямоугольные столешницы.
- Рекомендовано использовать для круглых столешниц от 3-х оснований, для квадратных, овальных и прямоугольных
- от 4-х.
- Вы можете собрать свой стол в конструкторе стола.
- Максимальная нагрузка на одну опору 12,5 кг.
- Для разных столешниц требуются различные крепежные приспособления. Подберите подходящие шурупы,
дюбели, саморезы и т.п. (не прилагаются).
- Гарантия 2 года.</t>
  </si>
  <si>
    <t>Основание для стола Sheffilton SHT-TU17</t>
  </si>
  <si>
    <t>TU19</t>
  </si>
  <si>
    <t>"Плавные фигурные линии подстолья внесут элегантность в облик стола".
Опора устанавливается под наклоном.
Выполнено из металла, диаметр/толщина трубы 20х1,5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Можно использовать круглые, овальные, квадратные, прямоугольные столешницы.
Рекомендуем использовать для круглых столешниц от 3-х оснований, для квадратных, овальных и прямоугольных
- от 4-х.
Максимальная нагрузка на одну опору 12,5 кг.
Гарантия 2 года.</t>
  </si>
  <si>
    <t>Основание для стола Sheffilton SHT-TU20</t>
  </si>
  <si>
    <t>TU32</t>
  </si>
  <si>
    <t>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Такой стол прекрасно будет смотреться
в интерьерах кафе, баров, ресторанов и в жилых пространствах.
- В КОМПЛЕКТ ВХОДИТ ДВЕ ОПОРЫ;
- Можно использовать только от 2-х оснований для круглых и квадратных столешниц от 900 мм. и для столешниц
больших размеров 1100х700 и 1200х800.
- Подстолье выполнено из формованной металлической трубы, диаметром 51 мм.
- На основании предусмотрены опоры, регулируемые по высоте. Они позволяют использовать основание даже
на неровной поверхности.
- Максимальная статическая нагрузка - 50 кг.</t>
  </si>
  <si>
    <t>Основание для стола Sheffilton SHT-TU2-1</t>
  </si>
  <si>
    <t>TU24</t>
  </si>
  <si>
    <t>ЭКСКЛЮЗИВНО ДЛЯ ВАС
Золотое основание SHT-TU2-1 для самых востребованных покупателей! Великолепный, богатый оттенок порошковой
краски подчеркнет убранство Вашего дома, офиса, дизайн-студии, кафе, бара, ресторана!
Изящные ножки соединены металлическими прутьями, которые вносят в образ утонченность и обеспечивают
его прочность.
Металлическая труба, диаметром/толщиной 20х1,5 мм. и пруток, диаметром 5 мм.
Толщина верхних кронштейнов для крепления столешницы 3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</si>
  <si>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медный металлик (+)</t>
  </si>
  <si>
    <t>Изящные ножки соединены металлическими прутьями, которые вносят в образ утонченность и обеспечивают
его прочность.
Металлическая труба, диаметром/толщиной 20х1,5 мм. и пруток, диаметром 5 мм.
Толщина верхних кронштейнов для крепления столешницы 3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t>
  </si>
  <si>
    <t>хром лак (+)</t>
  </si>
  <si>
    <t>Изящные ножки соединены металлическими прутьями, которые вносят в образ утонченность и обеспечивают
его прочность.
Металлическая труба, диаметром/толщиной 20х1,5 мм. и пруток, диаметром 5 мм.
Толщина верхних кронштейнов для крепления столешницы 3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</si>
  <si>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черный муар (+)</t>
  </si>
  <si>
    <t>Основание для стола Sheffilton SHT-TU22</t>
  </si>
  <si>
    <t>TU34</t>
  </si>
  <si>
    <t>дуб брашированный корич/черный муар (+)</t>
  </si>
  <si>
    <t>Идеальный вариант подстолья для пространств в стиле лофт, где приветствуются четкие формы. Сочетание
брашированного дуба вкупе с черным металлом придаст антуража дизайну любого помещения бара, кафе,
ресторана или дома
- Основание выполнено из металла и отдекорированно пластинами из натурального "брашированного" дуба
(эффект искусственного старения)
- Жесткость и прочность конструкции обеспечивается массивной металлической трубой из которой выполнена
стойка;
- Усиленная крестовина из металла под столешницу;
- Можно использовать круглые и квадратные столешницы от 600 - 900 мм;
- Для столешниц больших размеров 1100х700 и 1200х800 используйте ДВА основания для стола;
- Подберите любую столешницу в "конструкторе стола"</t>
  </si>
  <si>
    <t>Основание для стола Sheffilton SHT-TU23/H51</t>
  </si>
  <si>
    <t>TU35</t>
  </si>
  <si>
    <t>темно-серый RAL7021</t>
  </si>
  <si>
    <t>Стильное, одновременно изящное и надежное подстолье для журнального столика. Тонкие линии красиво
подчеркнут любую столешницу! Столик с таким подстольем будет прекрасно смотреться в интерьерах кафе,
баров, ресторанов и в жилых пространствах.
-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
- Основание подходит ко всем столешницам Sheffiton. Для металлических столешниц необходимо специальное
крепление (уточняйте у менеджера);
- Можно использовать квадратные и круглые столешницы от 600 - 760 мм.;
- Для столешниц больших размеров, 1100х700 и 1200х800 мм., используйте ДВА основания;
- На опоры наклеены подпятники из полипропилена;
- Максимальная статическая нагрузка - 50 кг.</t>
  </si>
  <si>
    <t>Основание для стола Sheffilton SHT-TU23/H71</t>
  </si>
  <si>
    <t>TU36</t>
  </si>
  <si>
    <t>Стильное, одновременно изящное и надежное подстолье, непременно украсит Ваш интерьер. Тонкие линии
красиво подчеркнут любую столешницу! Стол с таким подстольем будет прекрасно смотреться в интерьерах
кафе, баров, ресторанов и в жилых пространствах.
-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
- Основание подходит ко всем столешницам Sheffiton. Для металлических столешниц необходимо специальное
крепление (уточняйте у менеджера);
- Можно использовать квадратные и круглые столешницы от 600 - 800 мм.;
- Для столешниц больших размеров 1100х700 и 1200х800 мм., используйте ДВА основания;
- Вы можете выбрать к этому подстолью любые столешницы в разделе "Собери свой стол";
- На опоры наклеены подпятники из полипропилена;
- Максимальная статическая нагрузка - 50 кг.</t>
  </si>
  <si>
    <t>Основание для стола Sheffilton SHT-TU25</t>
  </si>
  <si>
    <t>TU44</t>
  </si>
  <si>
    <t>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Такой стол прекрасно будет смотреться
в интерьерах кафе, баров, ресторанов и в жилых пространствах.
- Подстолье выполнено из формованной металлической трубы, диаметром 51 мм.
- Можно использовать круглые и квадратные столешницы от 600 - 800 мм;
- Для столешниц больших размеров 1100х700 и 1200х800 используйте ДВА основания для стола SHT-TU20
или любое другое;
- На основании предусмотрены опоры, регулируемые по высоте. Они позволяют использовать основание даже
на неровной поверхности.
- Максимальная статическая нагрузка - 50 кг.</t>
  </si>
  <si>
    <t>Основание для стола Sheffilton SHT-TU28</t>
  </si>
  <si>
    <t>TU43</t>
  </si>
  <si>
    <t>Основание для стола Sheffilton SHT-TU29/H36</t>
  </si>
  <si>
    <t>TU45</t>
  </si>
  <si>
    <t>К столику прекрасно подойдут квадратные, овальные, прямоугольные или круглые столешницы. Готовый столик
с точеными, элегантными и чистыми линиями станет эпицентром светлого и свежего настроения в Вашей
гостиной.
НАДЕЖНАЯ МЕТАЛЛИЧЕСКАЯ ОПОРА
устанавливается под наклоном и окрашена порошковой краской, устойчивой к механическому воздействию.
Выполнена из прутка диаметром 8 мм.
Максимальная нагрузка на одну опору 12,5 кг.
РЕЗИНОВЫЙ ПОДПЯТНИК
Предусмотрен подпятник с резиновой проставкой. Он эффективно защищает половое покрытие от царапин.
СТОЛЕШНИЦЫ
Можно использовать круглые, овальные, квадратные, прямоугольные столешницы.
Рекомендуем использовать для круглых столешниц диаметром до 70 см. от 3-х оснований, для круглых (от
70 см), квадратных, овальных и прямоугольных - от 4-х.
Рекомендуемые размеры отступов для установки опор под столешницу 80х80 - 102 мм. от края. Под столешницу
120х80 - 102х102 мм. от края. Более подробную информацию смотрите в схеме сборки изделия.
Гарантия 2 года.</t>
  </si>
  <si>
    <t>Основание для стола Sheffilton SHT-TU30</t>
  </si>
  <si>
    <t>TU50</t>
  </si>
  <si>
    <t>антрацит</t>
  </si>
  <si>
    <t>ТОВАР ДОСТУПЕН ПОД ЗАКАЗ ОТ 50 ШТУК!
ДИЗАЙН В КАЖДОЙ ДЕТАЛИ!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ФУНКЦИОНАЛЬНОСТЬ
Специальная дополнительная вставка позволяет увеличить базу подстолья и использовать его для столешниц
больших размеров (800*1200). Приобретается отдельно!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</si>
  <si>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ДИЗАЙН В КАЖДОЙ ДЕТАЛИ!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ФУНКЦИОНАЛЬНОСТЬ
Специальная дополнительная вставка позволяет увеличить базу подстолья и использовать его для столешниц
больших размеров (800*1200). Приобретается отдельно!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</si>
  <si>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лаванда</t>
  </si>
  <si>
    <t>Основание для стола Sheffilton SHT-TU30-2</t>
  </si>
  <si>
    <t>ТОВАР ДОСТУПЕН ПОД ЗАКАЗ ОТ 50 ШТУК!
ДИЗАЙН В КАЖДОЙ ДЕТАЛИ!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ФУНКЦИОНАЛЬНОСТЬ
Специальная дополнительная вставка позволяет увеличить базу подстолья и использовать его для столешниц
больших размеров (800*1200). При желании можно убрать вставку и использовать основание для квадратных
или круглых столешниц.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</si>
  <si>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ДИЗАЙН В КАЖДОЙ ДЕТАЛИ!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ФУНКЦИОНАЛЬНОСТЬ
Специальная дополнительная вставка позволяет увеличить базу подстолья и использовать его для столешниц
больших размеров (800*1200). При желании можно убрать вставку и использовать основание для квадратных
или круглых столешниц.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</si>
  <si>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Основание для стола Sheffilton SHT-TU3-1</t>
  </si>
  <si>
    <t>TU29</t>
  </si>
  <si>
    <t>ТОВАР ДОСТУПЕН ПОД ЗАКАЗ ОТ 30 ШТУК!
Идеален для интерьеров кафе, баров, ресторанов и жилых пространств.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</si>
  <si>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Идеален для интерьеров кафе, баров, ресторанов и жилых пространств.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t>
  </si>
  <si>
    <t>Основание для стола Sheffilton SHT-TU34-P</t>
  </si>
  <si>
    <t>TU47</t>
  </si>
  <si>
    <t>Готовый стол с таким основанием впишется в спокойный, уютный интерьер ресторана, кафе, или же хорошо
будет смотреться в качестве обеденного стола дома. Купить стол с основанием SHT-TU34-P - значит придать
интерьеру стиль и изящество. Дело за Вашей фантазией и вдохновением!
СТИЛЬНЫЙ ДИЗАЙН заключен в изящных ножках, соединенных дугообразными металлическими прутьями, которые
вносят в образ готового стола утонченность.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СТОЛЕШНИЦЫ можно использовать круглые и квадратные от 600 - 900 мм.
Для столешниц больших размеров 1100х700 и 1200х800 используйте ДВА основания для стола.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</si>
  <si>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Основание для стола Sheffilton SHT-TU37</t>
  </si>
  <si>
    <t>TU51</t>
  </si>
  <si>
    <t>Прочность металла и красота золотого дизайна великолепно сочетаются в основании SHT-TU37. Готовый
столик с точеными, элегантными и чистыми линиями станет эпицентром светлого и свежего настроения в
Вашей гостиной.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
СТОЛЕШНИЦЫ
Можно использовать круглые, квадратные и шестиугольные столешницы.
Рекомендуем использовать круглые столешницы диаметром до 70 см. Квадратные столешницы до 70х70 см.
Более подробную информацию смотрите в схеме сборки изделия.
Гарантия 2 года.</t>
  </si>
  <si>
    <t>Прочность металла и красота дизайна великолепно сочетаются в основании SHT-TU37. Готовый столик с
точеными, элегантными и чистыми линиями станет эпицентром светлого и свежего настроения в Вашей гостиной.
НАДЕЖНОЕ МЕТАЛЛИЧЕСКОЕ ОСНОВАНИЕ
окрашено порошковой краской, устойчивой к механическому воздействию. Выполнено из прутка диаметром
8 мм.
Максимальная нагрузка на основание 50 кг.
СТОЛЕШНИЦЫ
Можно использовать круглые, квадратные и шестиугольные столешницы.
Рекомендуем использовать круглые столешницы диаметром до 70 см. Квадратные столешницы до 70х70 см.
Более подробную информацию смотрите в схеме сборки изделия.
Гарантия 2 года.</t>
  </si>
  <si>
    <t>Основание для стола Sheffilton SHT-TU3/H110</t>
  </si>
  <si>
    <t>TU31</t>
  </si>
  <si>
    <t>ТОВАР ДОСТУПЕН ТОЛЬКО ПОД ЗАКАЗ ОТ 20 ШТУК!
Роскошное барное подстолье, отлично смотрится в интерьерах кафе, баров, ресторанов и в жилых пространствах.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</si>
  <si>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SHT-TU4-1</t>
  </si>
  <si>
    <t>TU28</t>
  </si>
  <si>
    <t>ОСНОВАНИЕ ДЛЯ СТОЛА ДОСТУПНО ПОД ЗАКАЗ ОТ 20 ШТУК!
Образ этого подстолья - практичность без лишних деталей.
Плавные линии придают ему эстетичность и стиль.
Прекрасно будет смотреться в интерьерах кафе, баров, ресторанов и в жилых пространствах.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нагрузка 50 кг.
Гарантия 2 года.</t>
  </si>
  <si>
    <t>Образ этого подстолья - практичность без лишних деталей.
Плавные линии придают ему эстетичность и стиль.
Прекрасно будет смотреться в интерьерах кафе, баров, ресторанов и в жилых пространствах.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нагрузка 50 кг.
Гарантия 2 года.</t>
  </si>
  <si>
    <t>Основание для стола Sheffilton SHT-TU5-BS1</t>
  </si>
  <si>
    <t>TU54</t>
  </si>
  <si>
    <t>- Идеальный вариант для пространств в стиле лофт, где приветствуются четкие формы;
- Комплект состоит из стойки TU5 и плоского основания BS1;
- Выполнено из металла, толщина стенки трубы/прутка/основания:1,5х5х5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резиновые проставки для защиты полового покрытия от царапин;
- Можно использовать круглые и квадратные столешницы от 600 - 900 мм;
Для столешниц больших размеров 1100х700 и 1200х800 используйте ДВА основания для стола;
- Максимальная статическая распределенная нагрузка 50 кг;</t>
  </si>
  <si>
    <t>Основание для стола Sheffilton SHT-TU5-BS1/H110</t>
  </si>
  <si>
    <t>Идеальный вариант для пространств в стиле лофт, где приветствуются четкие формы.
В комплект входит барная стойка TU5/H110, крестовина для крепления столешницы и плоское основание
BS1.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На основании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</si>
  <si>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SHT-TU5-BS2</t>
  </si>
  <si>
    <t>- Идеальный вариант для пространств в стиле лофт, где приветствуются четкие формы;
- В комплект входит стойка TU5 и объемное основание BS2;
- Выполнено из металла, толщина стенки трубы/прутка/основания: 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 Можно использовать круглые и квадратные столешницы от 600 - 900 мм;
Для столешниц больших размеров 1100х700 и 1200х800 используйте ДВА основания для стола;
- Максимальная статическая распределенная нагрузка 50 кг;
- Гарантия 2 года.</t>
  </si>
  <si>
    <t>Основание для стола Sheffilton SHT-TU5-BS2/H110</t>
  </si>
  <si>
    <t>Идеальный вариант для пространств в стиле лофт, где приветствуются четкие формы.
В комплект входит барная стойка TU5/H110, крестовина для крепления столешницы и объемное основание
BS2.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</si>
  <si>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SHT-TU6-BS1</t>
  </si>
  <si>
    <t>- Идеальный вариант для пространств в стиле лофт, где приветствуются четкие формы;
- В комплект входит стойка TU6 и плоское основание BS1;
- Выполнено из металла, толщина стенки трубы/прутка/основания: 1,5х5х5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резиновые проставки для защиты полового покрытия от царапин;
- Максимальная статическая распределенная нагрузка 50 кг;
- Можно использовать круглые и квадратные столешницы от 600 - 900 мм;
Для столешниц больших размеров 1100х700 и 1200х800 используйте ДВА основания для стола.</t>
  </si>
  <si>
    <t>Основание для стола Sheffilton SHT-TU6-BS1/H110</t>
  </si>
  <si>
    <t>TU42</t>
  </si>
  <si>
    <t>Идеальный вариант для пространств в стиле лофт, где приветствуются четкие формы.
В комплект входит барная стойка TU6/H110, крестовина для крепления столешницы и плоское основание
BS1.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На основании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</si>
  <si>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SHT-TU6-BS2</t>
  </si>
  <si>
    <t>- Идеальный вариант для пространств в стиле лофт, где приветствуются четкие формы;
- В комплект входит стойка TU6, крестовина для крепления столешницы и объемное основание BS2.
- Выполнено из металла, толщина стенки трубы/прутка/основания: 1,5х5х5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 Можно использовать круглые и квадратные столешницы от 600 - 900 мм;
Для столешниц больших размеров 1100х700 и 1200х800 используйте ДВА основания для стола;
- Максимальная статическая распределенная нагрузка 50 кг;
- Гарантия 2 года.</t>
  </si>
  <si>
    <t>Основание для стола Sheffilton SHT-TU6-BS2/H110</t>
  </si>
  <si>
    <t>Идеальный вариант для пространств в стиле лофт, где приветствуются четкие формы.
В комплект входит барная стойка TU6/H110, крестовина для крепления столешницы и объемное основание
BS2.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</si>
  <si>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SHT-TU7</t>
  </si>
  <si>
    <t>TU7</t>
  </si>
  <si>
    <t>Классическое подстолье без лишних деталей.
Выполнено из металла, диаметр/толщина трубы 28х1,5 мм.
Можно использовать квадратные столешницы от 760 - 900 мм., круглые от 760 - 900 мм.
Для столешниц больших размеров 1100х700 и 1200х800 мм. используйте ДВА основания.
Максимальная статическая нагрузка на стол 50 кг.
Гарантия 2 года.</t>
  </si>
  <si>
    <t>Основание для стола Sheffilton SHT-TU7-1</t>
  </si>
  <si>
    <t>TU37</t>
  </si>
  <si>
    <t>ваниль (цинк)/черный</t>
  </si>
  <si>
    <t>Классическое подстолье без лишних деталей.
Основание оцинковано и окрашено порошковой краской, что обеспечивает долгую службу и защиту от коррозийных
процессов при использовании на улице.
Выполнено из металла, диаметр/толщина трубы 28х1,5 мм.
Диаметр верхнего основания - 485 мм.;
Можно использовать квадратные столешницы от 600 - 900 мм., круглые от 600 - 900 мм.
Для столешниц больших размеров 1100х700 и 1200х800 мм. используйте ДВА основания.
Максимальная статическая нагрузка на стол 50 кг.</t>
  </si>
  <si>
    <t>ваниль/черный</t>
  </si>
  <si>
    <t>Классическое подстолье без лишних деталей.
Выполнено из металла, диаметр/толщина трубы 28х1,5 мм.
Диаметр верхнего основания - 485 мм.;
Можно использовать квадратные столешницы от 600 - 900 мм., круглые от 600 - 900 мм.
Для столешниц больших размеров 1100х700 и 1200х800 мм. используйте ДВА основания.
Максимальная статическая нагрузка на стол 50 кг.</t>
  </si>
  <si>
    <t>коричневый муар (цинк)/черный</t>
  </si>
  <si>
    <t>Классическое подстолье без лишних деталей.
Выполнено из металла, диаметр/толщина трубы 28х1,5 мм.
Основание оцинковано и окрашено порошковой краской, что обеспечивает долгую службу и защиту от коррозийных
процессов при использовании на улице.
Можно использовать квадратные столешницы от 760 - 900 мм., круглые от 760 - 900 мм.
Для столешниц больших размеров 1100х700 и 1200х800 мм. используйте ДВА основания.
Максимальная статическая нагрузка на стол 50 кг.
Гарантия 2 года.</t>
  </si>
  <si>
    <t>Классическое подстолье без лишних деталей.
Выполнено из металла, диаметр/толщина трубы 28х1,5 мм.
Диаметр верхнего основания - 485 мм.;
Можно использовать квадратные столешницы от 600 - 900 мм., круглые от 600 - 900 мм.
Для столешниц больших размеров 1100х700 и 1200х800 мм. используйте ДВА основания.
Максимальная статическая нагрузка на стол 50 кг.
Гарантия 2 года.</t>
  </si>
  <si>
    <t>хром лак/черный</t>
  </si>
  <si>
    <t>черный (цинк)/черный</t>
  </si>
  <si>
    <t>Классическое подстолье без лишних деталей.
Основание оцинковано и окрашено порошковой краской, что обеспечивает долгую службу и защиту от коррозийных
процессов при использовании на улице.
Выполнено из металла, диаметр/толщина трубы 28х1,5 мм.
Основание оцинковано и окрашено порошковой краской, что обеспечивает долгую службу и защиту от коррозийных
процессов при использовании на улице.
Можно использовать квадратные столешницы от 760 - 900 мм., круглые от 760 - 900 мм.
Для столешниц больших размеров 1100х700 и 1200х800 мм. используйте ДВА основания.
Максимальная статическая нагрузка на стол 50 кг.
Гарантия 2 года.</t>
  </si>
  <si>
    <t>Основание для стола Sheffilton SHT-TU9</t>
  </si>
  <si>
    <t>TU9</t>
  </si>
  <si>
    <t>венге (+)</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</si>
  <si>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t>
  </si>
  <si>
    <t>выбеленый</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</si>
  <si>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Деревянные детали могут немного отличаться по оттенку из-за неоднородности структуры дерева.
Гарантия 2 года.</t>
  </si>
  <si>
    <t>прозрачный лак (+)</t>
  </si>
  <si>
    <t>Уютно смотрится в интерьерах кафе, баров, ресторанов и в жилых пространствах.
Основание выполнено из массива дерева.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Можно использовать круглые, квадратные столешницы диаметром/длиной 800 мм.
Максимальная статическая нагрузка на стол 50 кг.</t>
  </si>
  <si>
    <t>светл. орех (+)</t>
  </si>
  <si>
    <t>темн. орех (+)</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</si>
  <si>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Гарантия 2 года.</t>
  </si>
  <si>
    <t>Основание для стола Sheffilton SHT-TU9-2</t>
  </si>
  <si>
    <t>TU10</t>
  </si>
  <si>
    <t>венг (+)</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</si>
  <si>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прямоугольные, овальные столешницы 1100х700 и 1200х800.
Максимальная статическая нагрузка на стол 50 кг.
Изделие разборное.
Упаковка - полиэтилен, картон.
Гарантия 2 года.</t>
  </si>
  <si>
    <t>выбеленый (+)</t>
  </si>
  <si>
    <t>ТОВАР ДОСТУПЕН ТОЛЬКО ПОД ЗАКАЗ ОТ 20 ШТУК!
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прямоугольные, овальные столешницы 1100х700 и 1200х800.
Максимальная статическая нагрузка на стол 50 кг.
Деревянные детали могут немного отличаться по оттенку из-за неоднородности структуры дерева.
Изделие разборное.
Гарантия 2 года.</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</si>
  <si>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прямоугольные, овальные столешницы 1100х700 и 1200х800.
Максимальная статическая нагрузка на стол 50 кг.
Гарантия 2 года.</t>
  </si>
  <si>
    <t>Уютно смотрится в интерьерах кафе, баров, ресторанов и в жилых пространствах.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прямоугольные, овальные столешницы 1100х700 и 1200х800.
Максимальная статическая нагрузка на стол 50 кг.
Гарантия 2 года.</t>
  </si>
  <si>
    <t>темн орех (+)</t>
  </si>
  <si>
    <t>Основание к стойке Sheffilton SHT-BS1</t>
  </si>
  <si>
    <t>BS1</t>
  </si>
  <si>
    <t>Подходит для обычных и барных стоек: TU5 и TU6.
В комплект входит крестовина для крепления столешницы.
На основании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Изделие неразборное, упаковка - полиэтилен, картон.</t>
  </si>
  <si>
    <t>Основание к стойке Sheffilton SHT-BS2</t>
  </si>
  <si>
    <t>BS2</t>
  </si>
  <si>
    <t>Подходит для обычных и барных стоек: TU5 и TU6.
В комплект входит крестовина для крепления столешницы.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Выполнено из металла, толщина стенки трубы/прутка/основания: 1,5х5х5 мм.
Можно использовать круглые и квадратные столешницы от 600 - 900 мм;
Для столешниц больших размеров 1100х700 и 1200х800 используйте ДВА основания для стола.
Максимальная статическая нагрузка на стол 50 кг.
Изделие неразборное, упаковка - полиэтилен, картон.
Гарантия 2 года.</t>
  </si>
  <si>
    <t>Переходник Sheffilton SHT-A30</t>
  </si>
  <si>
    <t>П-002</t>
  </si>
  <si>
    <t>Переходник для основания SHT-TU30.
Основание SHT-TU30 с переходником можно использовать для прямоугольных и овальных столешниц.</t>
  </si>
  <si>
    <t>Стойка Sheffilton SHT-TU22</t>
  </si>
  <si>
    <t>SHT-TU22</t>
  </si>
  <si>
    <t>коричневый брашированный</t>
  </si>
  <si>
    <t>Деревянная стойка</t>
  </si>
  <si>
    <t>Стойка Sheffilton SHT-TU5</t>
  </si>
  <si>
    <t>SHT-TU5</t>
  </si>
  <si>
    <t>Стойка без основания НЕ ИСПОЛЬЗУЕТСЯ. Можете выбрать основание к стойке SHT-BS1 или SHT-BS2.
Идеальный вариант для пространств в стиле лофт, где приветствуются четкие формы.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Максимальная статическая нагрузка на стол 50 кг.
Изделие неразборное, упаковка - полиэтилен, картон.
Гарантия 2 года.</t>
  </si>
  <si>
    <t>Стойка Sheffilton SHT-TU6</t>
  </si>
  <si>
    <t>SHT-TU6</t>
  </si>
  <si>
    <t>Стойка без основания НЕ ИСПОЛЬЗУЕТСЯ. Можете выбрать основание к стойке SHT-BS1 или SHT-BS2.
Идеальный вариант для пространств в стиле лофт, где приветствуются четкие формы.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Максимальная статическая нагрузка на стол 50 кг.
Изделие неразборное, упаковка - полиэтилен, картон.
Гарантия 2 года.</t>
  </si>
  <si>
    <t>Стойка барная Sheffilton SHT-TU5/H110</t>
  </si>
  <si>
    <t>SHT-TU5/H110</t>
  </si>
  <si>
    <t>Подходит для оснований BS1, BS2.
Идеальный вариант для пространств в стиле лофт, где приветствуются четкие формы.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Максимальная статическая нагрузка на стол 50 кг.
Изделие неразборное, упаковка - полиэтилен, картон.
Гарантия 2 года.</t>
  </si>
  <si>
    <t>Стойка барная Sheffilton SHT-TU6/H110</t>
  </si>
  <si>
    <t>SHT-TU6/H110</t>
  </si>
  <si>
    <t>Подходит для оснований BS1, BS2.
Идеальный вариант для пространств в стиле лофт, где приветствуются четкие формы.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Максимальная статическая нагрузка на стол 50 кг.
Изделие неразборное, упаковка - полиэтилен, картон.</t>
  </si>
  <si>
    <t>Сидение Sheffilton SHT-S36</t>
  </si>
  <si>
    <t>S-36</t>
  </si>
  <si>
    <t>гранит</t>
  </si>
  <si>
    <t>- Стул или табурет с таким сидением - отличная альтернатива массивным и громозким креслам и диванам;
Они хорошо сочетаются с любой мебелью и занимают мало места;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Сидение выполнено из полипропилена, толщиной 2,5 мм;
- Размеры сидения: 350х45 мм (D - 300мм);
- Подходящий вариант барных каркасов: SHT-S48; табуретов: SHT-S36;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</si>
  <si>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желтый</t>
  </si>
  <si>
    <t>- Стул или табурет с таким сидением - отличная альтернатива массивным и громозким креслам и диванам;
Они хорошо сочетаются с любой мебелью и занимают мало места;
- Сидение выполнено из полипропилена, толщиной 2,5 мм;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Размеры сидения: 350х45 мм (D - 300мм);
- Подходящий вариант барных каркасов: SHT-S48; табуретов: SHT-S36;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</si>
  <si>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оранжевый</t>
  </si>
  <si>
    <t>- Стул или табурет с таким сидением - отличная альтернатива массивным и громозким креслам и диванам;
Они хорошо сочетаются с любой мебелью и занимают мало места;
- Сидение выполнено из полипропилена, толщиной 2,5 мм;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Размеры сидения: 350х45 мм (D - 300мм);
- Подходящий вариант барных каркасов: SHT-S48; табуретов: SHT-S36;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</si>
  <si>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синий</t>
  </si>
  <si>
    <t>фиолетовый</t>
  </si>
  <si>
    <t>- Стул или табурет с таким сидением - отличная альтернатива массивным и громозким креслам и диванам;
Они хорошо сочетаются с любой мебелью и занимают мало места;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Сидение выполнено из полипропилена, толщиной 2,5 мм;
- Размеры сидения: 350х45 мм (D - 300мм);
- Подходящий вариант барных каркасов: SHT-S48; табуретов: SHT-S36;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</si>
  <si>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шоколадный</t>
  </si>
  <si>
    <t>Сидение Sheffilton SHT-ST18-1</t>
  </si>
  <si>
    <t>S-18-1</t>
  </si>
  <si>
    <t>темный янтарь</t>
  </si>
  <si>
    <t>натур. дуб/эпоксидная смола</t>
  </si>
  <si>
    <t>Товар доступен под заказ от 10 штук!
Сидение отлично подойдет для интерьера в "эко-стиле" и "лофт". Уместно будет смотреться в барах, кафе,
ресторанах, как за барной стойкой, так и за обычным столом. Все слебы имеют уникальную форму, поэтому
могут отличаться друг от друга. В данной модели сохранена текстура коры и тактильные качества. При
грамотном дизайне естественный рисунок и оригинальность спила будут притягивать взгляды посетителей.
Поверьте, идеально ровная прозрачная поверхность заставит подойти поближе, рассмотреть и сесть на
сидение. А если уж сел, то просто необходимо заказать, что-то вкусненькое со льдом.
- Сидение выполнено из спила ствола дерева (слэб);
- Уникальность рисунка сидения сохранена с помощью заливки из эпоксидной смолы. Данный вид смолы отличается
высокой прочностью, можно не бояться садиться в одежде с металлическими вставками или ставить предметы
быта на поверхность;
- Хорошие водозащитные свойства, Вы можете спокойно мыть или протирать сидение;
- Длительное пребывание изделия на солнце не рекомендовано;
- Толщина сидения - 60-80 мм.;
- Из-за неоднорости размера натурального массива слеба возможно отклонение в размере "+ -" 20 мм.
по максимальному диаметру;
- Вы можете выбрать к этому сидению любые каркасы Sheffilton в разделе "Собери свой стул";
- Гарантия 2 года.</t>
  </si>
  <si>
    <t>Сидение Sheffilton SHT-ST19</t>
  </si>
  <si>
    <t>S-177</t>
  </si>
  <si>
    <t>Сидение данного цвета доступно под заказ от 50 штук!
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</si>
  <si>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Элегантность пластикового сидения SHT-ST19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</si>
  <si>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Элегантность пластикового сидения SHT-ST19 данного предмета мебели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</si>
  <si>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зеленый</t>
  </si>
  <si>
    <t>Сидение данного цвета доступно под заказ от 50 штук!
Элегантность пластикового сидения SHT-ST19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</si>
  <si>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красный</t>
  </si>
  <si>
    <t>мятный RAL6019</t>
  </si>
  <si>
    <t>ТОВАР ДОСТУПЕН ПОД ЗАКАЗ ОТ 50 ШТУК!
Элегантность пластикового сидения SHT-ST19 скрыта в аскетичности и лаконичности дизайна. Стул с таким
сидением займет достойное место в любой комнате вашего дома, а может в ресторане, кафе или баре.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Легкий и ПРОСТОЙ УХОД;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</si>
  <si>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серый RAL7040</t>
  </si>
  <si>
    <t>Сидение Sheffilton SHT-ST19-SF1</t>
  </si>
  <si>
    <t>S-180</t>
  </si>
  <si>
    <t>горький шоколад (+)</t>
  </si>
  <si>
    <t>иск.замша</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</si>
  <si>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искусственной замши,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</si>
  <si>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дымный</t>
  </si>
  <si>
    <t>микровелюр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</si>
  <si>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</si>
  <si>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коричневый сахар</t>
  </si>
  <si>
    <t>рогожка</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</si>
  <si>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сидения. Такой модный силуэт доставит эстетическое
удовольствие.
МЯГКОЕ СИДЕНИЕ. Обивка выполнена из рогожки,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</si>
  <si>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SHT-ST19-SF2</t>
  </si>
  <si>
    <t>S-54</t>
  </si>
  <si>
    <t>ванильный крем</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</si>
  <si>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Хотим заметить, что сидение с заниженной
спинкой впишется в любой стиль. Дело за Вашей фантазией и вдохновением!
СТИЛЬНЫЙ ДИЗАЙН заключен в гармоничных линиях спинки и оригинальной прострочкой сидения. Такой модный
силуэт доставит эстетическое удовольствие.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</si>
  <si>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SHT-ST27-С1</t>
  </si>
  <si>
    <t>S-194</t>
  </si>
  <si>
    <t>кремовое облако (+)</t>
  </si>
  <si>
    <t>Мягкое сидение Sheffilton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</si>
  <si>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SHT-ST29</t>
  </si>
  <si>
    <t>S-193</t>
  </si>
  <si>
    <t>Лаконичный дизайн сидения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ГАРАНТИЯ 2 ГОДА</t>
  </si>
  <si>
    <t>голубой Pan278</t>
  </si>
  <si>
    <t>желтый RAL1021</t>
  </si>
  <si>
    <t>зеленый RAL6018</t>
  </si>
  <si>
    <t>коричневый RAL8014</t>
  </si>
  <si>
    <t>оранжевый RAL2003</t>
  </si>
  <si>
    <t>Лаконичный дизайн сидения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ЗАПАТЕНТОВАНО! Сиденье Sheffilton SHT-ST29 защищено патентом, что гарантирует его уникальность, качество
и надежность.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Изогнутая спинка сидения обеспечивает удобную посадку и комфортное времяпровождение.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ГАРАНТИЯ 2 ГОДА</t>
  </si>
  <si>
    <t>серый RAL 7040</t>
  </si>
  <si>
    <t>Сидение Sheffilton SHT-ST29-С</t>
  </si>
  <si>
    <t>S-196</t>
  </si>
  <si>
    <t>жемчужный (+)</t>
  </si>
  <si>
    <t>Мягкое сидение красивого жемчужно оттенка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</si>
  <si>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пепельный (+)</t>
  </si>
  <si>
    <t>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рогожки, в качестве мягкого наполнителя используется поролон.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</si>
  <si>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SHT-ST29-С1</t>
  </si>
  <si>
    <t>S-197</t>
  </si>
  <si>
    <t>лунный камень (+)</t>
  </si>
  <si>
    <t>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микровелюра, в качестве мягкого наполнителя используется поролон.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</si>
  <si>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морская глубина (+)</t>
  </si>
  <si>
    <t>Мягкое сидение модного оттенка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</si>
  <si>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оливковый (+)</t>
  </si>
  <si>
    <t>Мягкое сидение Sheffilton сшито из микровелюра. Данный материал мягкий и приятный на ощупь, обладает
хорошей цветоустойчивостью, антистатичностью,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микровелюра, в качестве мягкого наполнителя используется поролон.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</si>
  <si>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SHT-ST29-С12</t>
  </si>
  <si>
    <t>S-198</t>
  </si>
  <si>
    <t>голубая лагуна (+)</t>
  </si>
  <si>
    <t>ежевичное вино (+)</t>
  </si>
  <si>
    <t>коричневый сахар (+)</t>
  </si>
  <si>
    <t>Мягкое сидение Sheffilton сшито из рогожки.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рогожки, в качестве мягкого наполнителя используется поролон.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</si>
  <si>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SHT-ST29-С20</t>
  </si>
  <si>
    <t>S-207</t>
  </si>
  <si>
    <t>серый туман</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</si>
  <si>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SHT-ST29-C20
серый туман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ДИЗАЙН заключен в геометрической ромбовидной простежке мягкого сидения. Абсолютная симметрия,
которой доставляет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</si>
  <si>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SHT-ST29-С22</t>
  </si>
  <si>
    <t>S-45</t>
  </si>
  <si>
    <t>розовый зефир</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</si>
  <si>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SHT-ST29-C22
розовый зефир - значит придать интерьеру спокойствие и комфорт, поскольку данное сидение предназначено
именно для этого. Хотим заметить, что мягкое сидение с уютным рисунком, впишется в любой стиль. Дело
за Вашей фантазией и вдохновением!
ЗАПАТЕНТОВАНО! Сиденье Sheffilton SHT-ST29 защищено патентом, что гарантирует его уникальность, качество
и надежность.
СТИЛЬНЫЙ ДИЗАЙН заключен в двухсторонней ромбовидной простежке мягкого сидения.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чехол съемный можно провести профилактическую чистку и надеть обратно, без
особых усилий. Сидение стула и не используется отдельно от чехла. Используйте чистка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</si>
  <si>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SHT-ST29-С4</t>
  </si>
  <si>
    <t>S-47</t>
  </si>
  <si>
    <t>графит</t>
  </si>
  <si>
    <t>Мягкое сидение Sheffilton сшито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-ЗАПАТЕНТОВАНО! Сиденье Sheffilton SHT-ST29 защищено патентом, что гарантирует его уникальность, качество
и надежность.
- ПРЕКРАСНАЯ ЭРГОНОМИКА сидения обеспечивает удобную посадку и комфортное времяпровождение.
- Обивка сидения выполнена из микровелюра, в качестве мягкого наполнителя используется поролон.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</si>
  <si>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SHT-ST31</t>
  </si>
  <si>
    <t>S-191</t>
  </si>
  <si>
    <t>Лаконичный дизайн сидения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нагрузки.По
всей площади сидения толщина пластика варьируется от 5 мм до 8 мм из-за конструктивных особенностей.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ПРЕКРАСНАЯ ЭРГОНОМИКА
Широкое сиденье и подлокотники обеспечивают удобную посадку и комфортное времяпровождение.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ГАРАНТИЯ 2 ГОДА</t>
  </si>
  <si>
    <t>Сидение Sheffilton SHT-ST31-С1</t>
  </si>
  <si>
    <t>S-199</t>
  </si>
  <si>
    <t>ледяная лаванда (+)</t>
  </si>
  <si>
    <t>Мягкое сидение красивого оттенка с перламутровым отливом сшито из 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Однозначно, стул с таким сидением украсит и избавит от хлопот ни один дом, бар
или ресторан.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</si>
  <si>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стула из полипропилена и не используется отдельно от чехла.
Обивка сидения выполнена из рогожки, в качестве мягкого наполнителя используется поролон.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</si>
  <si>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темный пепел</t>
  </si>
  <si>
    <t>Сидение Sheffilton SHT-ST31-С2</t>
  </si>
  <si>
    <t>S-200</t>
  </si>
  <si>
    <t>аквамарин (+)</t>
  </si>
  <si>
    <t>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Однозначно, стул с таким сидением украсит и избавит
от хлопот ни один дом, бар или ресторан.
- ПРЕКРАСНАЯ ЭРГОНОМИКА сидения обеспечивает удобную посадку и комфортное времяпровождение.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</si>
  <si>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кремовый (+)</t>
  </si>
  <si>
    <t>Мягкое сидение Sheffilton сшито из микровелюра, дизайн которого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Однозначно, стул с таким сидением украсит и избавит
от хлопот ни один дом, бар или ресторан.
- ПРЕКРАСНАЯ ЭРГОНОМИКА сидения обеспечивает удобную посадку и комфортное времяпровождение.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Рекомендация по уходу: чистка пылесосом, для трудновыводимых пятен используйте специальные пятновыводители
для тканей, в соответствии с инструкцией.
*Оттенок ткани может меняться в зависимости от партии.</t>
  </si>
  <si>
    <t>Сидение Sheffilton SHT-ST33</t>
  </si>
  <si>
    <t>S-33</t>
  </si>
  <si>
    <t>синий лед</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</si>
  <si>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цвету рогожки с нежным синим и серым оттенком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</si>
  <si>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сиреневая орхидея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</si>
  <si>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придает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</si>
  <si>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SHT-ST33-1</t>
  </si>
  <si>
    <t>S-52</t>
  </si>
  <si>
    <t>альпийский бирюзовый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</si>
  <si>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SHT-ST33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Силуэт с завышенными полукруглыми подлокотниками и простеганная спинка придают сидению
изысканный вид. Благодаря модному цвету микровелюра – готовое кресло способно преобразить обстановку
и добавить стиля!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боковинами,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</si>
  <si>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SHT-ST34</t>
  </si>
  <si>
    <t>S-210</t>
  </si>
  <si>
    <t>платиново-серый</t>
  </si>
  <si>
    <t>Мягкое сидение Sheffilton имеет красиво очерченный вырез в спинке.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Очевидно, что стул с таким сидением украсит ни один дом, бар или ресторан.
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SHT-ST34
- значит придать интерьеру спокойствие и комфорт, поскольку данное сидение предназначено именно для
этого. Хотим заметить, что классическое сидение с рисунком на внешней стороне спинки, впишется в любой
стиль. Дело за Вашей фантазией и вдохновением!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микровелюра с текстурой, дизайн которой стилизован под "волчью шкуру".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</si>
  <si>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синий мираж</t>
  </si>
  <si>
    <t>твид</t>
  </si>
  <si>
    <t>Мягкое сидение Sheffilton имеет красиво очерченный вырез в спинке. Сшито из модного двухцветного твида
с фактурой "соль-перец", это отсылка к мягкой ткани повседневного костюма.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Очевидно, что стул с таким сидением украсит ни один дом, бар или ресторан.
СТИЛЬНЫЙ ДИЗАЙН заключен в красиво очерченном вырезе внизу спинки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Сшито из твида с текстурой из 5 оттенков нити. Это залог сложного цвета, но в то же
время легкого восприятия. На контрасте два цвета благородный плюшевый темный синий и шелковистый терракотовый.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</si>
  <si>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SHT-ST34-1</t>
  </si>
  <si>
    <t>S-44</t>
  </si>
  <si>
    <t>голубая пастель</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</si>
  <si>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SHT-ST34
- значит придать интерьеру спокойствие и комфорт, поскольку данное сидение предназначено именно для
этого. Хотим заметить, что классическое сидение с рисунком на внешней стороне спинки, впишется в любой
стиль. Дело за Вашей фантазией и вдохновением!
СТИЛЬНЫЙ ДИЗАЙН заключен в красиво очерченном вырезе внизу снинки сидения. Такой элемент придает готовому
стулу воздушности и удобство в использовании.
ПРЕКРАСНАЯ ЭРГОНОМИКА сидения обеспечивает удобную посадку и комфортное времяпровождение.
МЯГКОЕ СИДЕНИЕ. Обивка выполнена из микровелюра, в качестве мягкого наполнителя используется поролон.
Такое сидение обеспечит удобную посадку, необходимую для полного расслабления.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</si>
  <si>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латте</t>
  </si>
  <si>
    <t>Сидение Sheffilton SHT-ST35</t>
  </si>
  <si>
    <t>S-211</t>
  </si>
  <si>
    <t>горчичный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</si>
  <si>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SHT-ST35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спинки, впишется в любой стиль.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</si>
  <si>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кофейный ликер</t>
  </si>
  <si>
    <t>розовый десерт</t>
  </si>
  <si>
    <t>тихий океан</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</si>
  <si>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SHT-ST35
- значит придать интерьеру спокойствие и комфорт, поскольку данное сидение предназначено именно для
этого. Хотим заметить, что классическое сидение впишется в любой стиль. Дело за Вашей фантазией и
вдохновением!
СТИЛЬНЫЙ ДИЗАЙН заключен скругленных линиях спинки и сидения. Такой модный силуэт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</si>
  <si>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ягодное варенье</t>
  </si>
  <si>
    <t>Сидение Sheffilton SHT-ST35-1</t>
  </si>
  <si>
    <t>S-40</t>
  </si>
  <si>
    <t>имперский желтый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</si>
  <si>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SHT-ST35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спинки, впишется в любой стиль.
Дело за Вашей фантазией и вдохновением!
СТИЛЬНЫЙ ДИЗАЙН заключен в драпировке внутренней части спинки. Красивые продольные складки из мягкого
микровелюра дридают изделию особый шарм.Скругленные линии спинки и сидения подчеркивают модный силуэт.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</si>
  <si>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угольно-серый</t>
  </si>
  <si>
    <t>Сидение Sheffilton SHT-ST35-2</t>
  </si>
  <si>
    <t>S-35</t>
  </si>
  <si>
    <t>лиственно-зеленый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</si>
  <si>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SHT-ST35-2
лиственно-зеленый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спинки, впишется
в любой стиль. Дело за Вашей фантазией и вдохновением!
СТИЛЬНЫЙ ДИЗАЙН заключен в отстрочке спинки с природным мотивом в виде листика дерева. Абсолютная
симметрия, которой доставит эстетическое удовольствие.
ПРЕКРАСНАЯ ЭРГОНОМИКА сидения обеспечивает удобную посадку и комфортное времяпровождение.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</si>
  <si>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SHT-ST36</t>
  </si>
  <si>
    <t>S-53</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</si>
  <si>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Нежная расцветка микровелюра внесет уюта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</si>
  <si>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ночное затмение</t>
  </si>
  <si>
    <t>Сидение Sheffilton SHT-ST36-1</t>
  </si>
  <si>
    <t>S-38</t>
  </si>
  <si>
    <t>песчаная буря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</si>
  <si>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Прострочка
вдоль спинки придает изделию классический и стильный вид. Насыщенная расцветка микровелюра внесет
колорит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</si>
  <si>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SHT-ST36-3</t>
  </si>
  <si>
    <t>S-39</t>
  </si>
  <si>
    <t>нежная мята</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</si>
  <si>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отстрочке спинки. Рисунок на спинке
сидения придает изделию эффектный вид. Нежная расцветка микровелюра внесет уют и воздушность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</si>
  <si>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нейтральный серый</t>
  </si>
  <si>
    <t>Сидение Sheffilton SHT-ST36-4</t>
  </si>
  <si>
    <t>S-50</t>
  </si>
  <si>
    <t>сумеречная орхидея</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</si>
  <si>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SHT-ST36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заключен в королевской форме сидения и оригинальной расцветке спинки. Рисунок на спинке
сидения придает изделию эффектный вид. Яркая расцветка микровелюра внесет красок в интерьер. 
ПРЕКРАСНАЯ ЭРГОНОМИКА. Обратите внимание на детали, мягкое сидение и широкая, дугообразная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</si>
  <si>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Сидение Sheffilton SHT-ST37</t>
  </si>
  <si>
    <t>S-37</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</si>
  <si>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SHT-ST37
- значит придать интерьеру спокойствие и комфорт, поскольку данное сидение предназначено именно для
этого. Дело за Вашей фантазией и вдохновением!
СТИЛЬНЫЙ ДИЗАЙН. Прострочка вдоль сидения и спинки придает изделию классический и стильный вид. Нежная
расцветка микровелюра внесет уют и воздушность в интерьер. 
ПРЕКРАСНАЯ ЭРГОНОМИКА. Обратите внимание на детали, мягкое и изогнутое по краям сидение, отведенная
назад спинка отвечают за вашу эргономичную посадку. Располагайтесь с книгой или чашкой чая – сидение
обеспечит должный комфорт.
ОБИВКА выполнена из микровелюра, в качестве мягкого наполнителя используется поролон. Толщина сидения
- 20 мм. Высота стилизованного подлокотника - 40 мм.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</si>
  <si>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рубиновое вино</t>
  </si>
  <si>
    <t>серое облако</t>
  </si>
  <si>
    <t>Сидение Sheffilton SHT-ST38</t>
  </si>
  <si>
    <t>S-42</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</si>
  <si>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SHT-ST38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Классический вид сидению придают стеганые боковины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</si>
  <si>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зефирный</t>
  </si>
  <si>
    <t>Готовый стул с таким сидением впишется в мягкий, спокойный, уютный и тихий интерьер ресторана, кафе,
или же хорошо будет смотреться возле обеденного стола в гостиной. Купить стул с сидением SHT-ST38
- значит придать интерьеру спокойствие и комфорт, поскольку данное сидение предназначено именно для
этого. Хотим заметить, что классическое сидение с интересным рисунком, впишется в любой стиль. Дело
за Вашей фантазией и вдохновением!
СТИЛЬНЫЙ ДИЗАЙН Классический вид сидению придает стеганое сиденье и спинка. Благодаря натуральному
цвету микровелюра – готовое кресло способно преобразить обстановку и добавить естественности! Сидение изысканно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</si>
  <si>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синий пепел</t>
  </si>
  <si>
    <t>Сидение Sheffilton SHT-ST38-1</t>
  </si>
  <si>
    <t>S-43</t>
  </si>
  <si>
    <t>лунный мрамор</t>
  </si>
  <si>
    <t>Сидение Sheffilton SHT-ST39</t>
  </si>
  <si>
    <t>S-214</t>
  </si>
  <si>
    <t>Готовый стул с таким сидением впишется в спокойный и уютный интерьер ресторана, кафе, или же хорошо
будет смотреться возле обеденного стола в гостиной. Купить стул с сидением SHT-ST39 - значит придать
интерьеру спокойствие и комфорт, поскольку данное сидение предназначено именно для этого. Хотим заметить,
что классическое сидение впишется в любой стиль. Дело за Вашей фантазией и вдохновением!
СТИЛЬНЫЙ ДИЗАЙН. Волнообразные подлокотники придают сидению классический вид. Благодаря модному цвету
микровелюра – готовое кресло способно преобразить обстановку и добавить стиля! Сидение отлично смотрится
при любом варианте освещения: и естественном, и искусственном.
ПРЕКРАСНАЯ ЭРГОНОМИКА. Обращаем внимание на детали, мягкое сидение, отведенная назад спинка с подлокотниками,
отвечают за вашу уютную и эргономичную посадку.
ОБИВКА выполнена из микровелюра, в качестве мягкого наполнителя используется поролон.
СТАНЬТЕ ДИЗАЙНЕРОМ СВОЕГО СТУЛА! Вы можете выбрать любую модель и цвет каркаса в нашем конструкторе.
Отгрузка отдельных частей стула (сидения) не осуществляется.
РЕКОМЕНДАЦИЯ ПО УХОДУ: Используйте чистку пылесосом, а для трудновыводимых пятен специальные пятновыводители
для тканей, в соответствии с инструкцией.
*Оттенок ткани может меняться в зависимости от партии.</t>
  </si>
  <si>
    <t>пыльная роза</t>
  </si>
  <si>
    <t>Сидение Sheffilton SHT-ST63</t>
  </si>
  <si>
    <t>S-63</t>
  </si>
  <si>
    <t>Минималистичный дизайн ставит стул на первые позиции в современных модных трендах. Натуральный дуб
покрытый защитным слоем лака, экологичен и практичен в использовании. Форма сидения имеет углубление
внутри, что придет готовому стулу дополнительный тактильный комфорт.
- Сидение выполнено из МАССИВА ДУБА с последующим тонированием и покрытием лаком;
- Стул с таким сидением гармонично и со вкусом будет смотреться в доме, офисе, дизайн-студии, кафе,
баре или ресторане;
- Подходящий вариант каркаса стула: S63.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</si>
  <si>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Минималистичный дизайн ставит стул на первые позиции в современных модных трендах. Натуральный дуб
покрытый защитным слоем лака, экологичен и практичен в использовании. Форма сидения имеет углубление
внутри, что придет готовому стулу дополнительный тактильный комфорт.
- Сидение выполнено из МАССИВА БУКА с последующим тонированием и покрытием лаком;
- Стул с таким сидением гармонично и со вкусом будет смотреться в доме, офисе, дизайн-студии, кафе,
баре или ресторане;
- Подходящий вариант каркаса стула: S63.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</si>
  <si>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Сидение Sheffilton SHT-ST63-CN1</t>
  </si>
  <si>
    <t>S-21</t>
  </si>
  <si>
    <t>кедровый</t>
  </si>
  <si>
    <t>ткань (рогожка)</t>
  </si>
  <si>
    <t>Минималистичный дизайн ставит стул на первые позиции в современных модных трендах. Прекрасная эргономика
сидения обеспечивает удобную посадку и комфортное времяпровождение. Обивка сидения выполнена из рогожки,
в качестве мягкого наполнителя используется поролон.
- Стул с таким сидением гармонично и со вкусом будет смотреться в доме, офисе, дизайн-студии, кафе,
баре или ресторане;
- Подходящий вариант каркаса стула: S63.
*Оттенок ткани может меняться в зависимости от партии.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</si>
  <si>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кож.зам</t>
  </si>
  <si>
    <t>Минималистичный дизайн ставит стул на первые позиции в современных модных трендах. Прекрасная эргономика
сидения обеспечивает удобную посадку и комфортное времяпровождение. Обивка сидения выполнена из кож.зама,
в качестве мягкого наполнителя используется поролон.
- Стул с таким сидением гармонично и со вкусом будет смотреться в доме, офисе, дизайн-студии, кафе,
баре или ресторане;
- Подходящий вариант каркаса стула: S63.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*Оттенок ткани может меняться в зависимости от партии.</t>
  </si>
  <si>
    <t>Сидение Sheffilton SHT-ST68</t>
  </si>
  <si>
    <t>S-13</t>
  </si>
  <si>
    <t>бежевый RAL1013 (+)</t>
  </si>
  <si>
    <t>Сидение под "искусственный ротанг" более практичный аналог мебели из ротанга, не требует особого ухода,
не растягивается, не расплетается. Стул в комплекте сидение с опорами SHT-S424 или SHT-S424-С комфортен
для времяпровождения в загородном доме, саду, летней веранде, кафе и ресторанах.
- Сидение выполнено из атмосферостойкого пластика и отлично переносит воздействие любых погодных условий;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Можно штабелировать, что позволяет экономить место при хранении;
- Высота подлокотников над сидением 225 мм.;
- Гарантия 2 года.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</si>
  <si>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коричневый (+)</t>
  </si>
  <si>
    <t>Сидение под "искусственный ротанг" более практичный аналог мебели из ротанга, не требует особого ухода,
не растягивается, не расплетается. Стул в комплекте сидение с опорами SHT-S424 или SHT-S424-С комфортен
для времяпровождения в загородном доме, саду, летней веранде, кафе и ресторанах.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Устойчив к прямым солнечным лучам, не деформируется и не изменяет цвет;
- Можно штабелировать, что позволяет экономить место при хранении;
- Высота подлокотников над сидением 225 мм.;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
- Гарантия 2 года.</t>
  </si>
  <si>
    <t>черно-коричневый (+)</t>
  </si>
  <si>
    <t>Сидение Sheffilton SHT-ST75</t>
  </si>
  <si>
    <t>S-12</t>
  </si>
  <si>
    <t>-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</si>
  <si>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голубой (+)</t>
  </si>
  <si>
    <t>ТОВАР ДОСТУПЕН ПОД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</si>
  <si>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желтый RAL1021 (+)</t>
  </si>
  <si>
    <t>зеленый (+)</t>
  </si>
  <si>
    <t>красный (+)</t>
  </si>
  <si>
    <t>мятный (+)</t>
  </si>
  <si>
    <t>оранжевый RAL2003 (+)</t>
  </si>
  <si>
    <t>-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 можете выбрать к этому сидению любые каркасы Sheffilton в разделе "Собери свой стул".</t>
  </si>
  <si>
    <t>Сидение Sheffilton SHT-ST76</t>
  </si>
  <si>
    <t>S-11</t>
  </si>
  <si>
    <t>-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</si>
  <si>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ТОВАР ДОСТУПЕН ПОД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</si>
  <si>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ТОВАР ДОСТУПЕН ПОРД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Вы можете выбрать к этому сидению любые каркасы Sheffilton в разделе "Собери свой стул".</t>
  </si>
  <si>
    <t>ТОВАР ДОСТУПЕН ПОД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</si>
  <si>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Вы можете выбрать к этому сидению любые каркасы Sheffilton в разделе "Собери свой стул".</t>
  </si>
  <si>
    <t>ТОВАР ДОСПУПЕН ПОД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Готовый стул состоит из отдельных частей: сидение и каркас. Вы можете выбрать любую модель и цвет
стула в нашем конструкторе.
- Отгрузка отдельных частей стула (сидения) не осуществляется.</t>
  </si>
  <si>
    <t>ДОСТУПНО ПОД ЗАКАЗ ОТ 50 ШТУК!
- Поверхность сидения имеет ДЕКОРАТИВНУЮ ОТДЕЛКУ "под кожу" с прострочкой, что придает ему оригинальный
и эстетичный внешний вид;
- Сидение выполнено из полипропилена с армирующими добавками, которые обеспечивают дополнительную
ПРОЧНОСТЬ И ДОЛГОВЕЧНОСТЬ;
-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 ПРЕКРАСНАЯ ЭРГОНОМИКА сидения обеспечивает удобную посадку и комфортное времяпровождение;
- Стул с таким сидением отлично подходит для дома, кафе, баров, фаст-фудов, общественных учреждениях
и т.д.;
- Высота подлокотников над сидением 230 мм.;
- Вы можете выбрать к этому сидению любые каркасы Sheffilton в разделе "Собери свой стул".</t>
  </si>
  <si>
    <t>Сидение Sheffilton SHT-ST85</t>
  </si>
  <si>
    <t>S-85</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</si>
  <si>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СИДЕНИЯ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</si>
  <si>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зеленый ral6018</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</si>
  <si>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ПЕРЕНОСИТ ВОЗДЕЙСВИЕ ЛЮБЫХ ПОГОДНЫХ УСЛОВИЙ
Сидение стула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ПЕРФОРАЦИЯ СИДЕНИЯ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</si>
  <si>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розовый</t>
  </si>
  <si>
    <t>синий Морена 1604559-Е</t>
  </si>
  <si>
    <t>фиолетовый PAN 2582</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</si>
  <si>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СИДЕНИЯ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</si>
  <si>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Сидение Sheffilton SHT-ST85-1</t>
  </si>
  <si>
    <t>S-164</t>
  </si>
  <si>
    <t>дерево (бук)</t>
  </si>
  <si>
    <t>Уникальное исполнение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Cидение Sheffilton выполнено из натурального массива бука. Материал покрыт защитным слоем лака, экологичен
и практичен в использовании. Форма сидения имеет скошенные края, что придет ему эстетичность и элегантность.
Однозначно, стул с таким сидением украсит дом, бар или ресторан.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</si>
  <si>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Сидение Sheffilton SHT-ST85-2</t>
  </si>
  <si>
    <t>S-208</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</si>
  <si>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СИДЕНИЯ обеспечивает прочность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</si>
  <si>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ПЕРЕНОСИТ ВОЗДЕЙСВИЕ ЛЮБЫХ ПОГОДНЫХ УСЛОВИЙ
Сидение стула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ФОРМА СИДЕНИЯ обеспечивает прочность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</si>
  <si>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полипропилена с армирующими добавками и выдерживает продолжительные нагрузки.
Максимальная статическая нагрузка на готовый стул 260 кг.
ПЕРЕНОСИТ ВОЗДЕЙСВИЕ ЛЮБЫХ ПОГОДНЫХ УСЛОВИЙ
Сидение стула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-15С до +40С.
ФОРМА СИДЕНИЯ обеспечивает прочность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</si>
  <si>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Сидение Sheffilton SHT-ST85-C12</t>
  </si>
  <si>
    <t>S-202</t>
  </si>
  <si>
    <t>Современный стиль сидения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Мягкое сидение Sheffilton сшито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</si>
  <si>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Современный стиль сидения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выполнено из кож. зама. Благодаря натуральному цвету кож. зама – готовый стул способен преобразить
обстановку и добавить естественности!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</si>
  <si>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Сидение Sheffilton SHT-ST9</t>
  </si>
  <si>
    <t>S-9</t>
  </si>
  <si>
    <t>дуб брашированный коричневый (+)</t>
  </si>
  <si>
    <t>натуральный дуб</t>
  </si>
  <si>
    <t>Сидение из массива дуба, прочной и твердой древесины, толщиной 24 мм.
Естественный рисунок и выразительная фактура дерева подчеркнуты брашированием (эффект "искусственного
старения") и обработкой матовым лаком.
Идеально подойдет для помещений, оформленных в лофт или эко-стиле.
Вы можете выбрать к этому сидению любые каркасы Sheffilton в разделе "Собери свой стул".
Гарантия 2 года.</t>
  </si>
  <si>
    <t>Сидение из массива дуба, прочной и твердой древесины, толщиной 24 мм.
Естественный рисунок и выразительная фактура дерева подчеркнуты прозрачным лаком.
Идеально подойдет для помещений, оформленных в лофт или эко-стиле.
Вы можете выбрать к этому сидению любые каркасы Sheffilton в разделе "Собери свой стул".
Гарантия 2 года.</t>
  </si>
  <si>
    <t>Сидение Sheffilton круглое SHT-ST14</t>
  </si>
  <si>
    <t>дерево (сосна)</t>
  </si>
  <si>
    <t>Сидение выполнено из массива прочной и твердой древесины. Оригинальный узор на сером фоне напоминает
о грифельной доске. Дизайн сидения отлично впишется в лофт пространство! Однозначно, стул с таким
сидением добавит изюминку в интерьер бара, ресторана, кафе или дома.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t>
  </si>
  <si>
    <t>Сидение из гнутой фанеры Sheffilton SHT-ST10-1</t>
  </si>
  <si>
    <t>S-203</t>
  </si>
  <si>
    <t>дуб выбеленный</t>
  </si>
  <si>
    <t>гнутая фанера</t>
  </si>
  <si>
    <t>Лаконичный дизайн сидения с красивым рисунком дерева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ПРЕКРАСНАЯ ЭРГОНОМИКА
Изогнутая спинка сидения обеспечивает удобную посадку и комфортное времяпровождение.
УСЛОВИЯ ИСПОЛЬЗОВАНИЯ
Использовать сидение только в помещении или на закрытой веранде.
УХОД
Пластик переносит очистку любыми бытовыми моющими средствами.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ГАРАНТИЯ 2 ГОДА</t>
  </si>
  <si>
    <t>ноче рубино</t>
  </si>
  <si>
    <t>Сидение из гнутой фанеры Sheffilton SHT-ST10-2</t>
  </si>
  <si>
    <t>S-205</t>
  </si>
  <si>
    <t>дуб кера</t>
  </si>
  <si>
    <t>Лаконичный дизайн сидения с красивым рисунком дерева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ПРЕКРАСНАЯ ЭРГОНОМИКА
Изогнутая спинка сидения обеспечивает удобную посадку и комфортное времяпровождение.
УСЛОВИЯ ИСПОЛЬЗОВАНИЯ
Использовать сидение только в помещении или на закрытой веранде.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СТАНЬТЕ ДИЗАЙНЕРОМ СВОЕГО СТУЛА!
Вы можете выбрать к этому сидению любые каркасы Sheffilton в разделе "Собери свой стул"
ГАРАНТИЯ 2 ГОДА
! Стоимость сидения по спец-заказу может отличаться от складской программы, окончательную цену уточняйте
у Вашего менеджера.</t>
  </si>
  <si>
    <t>Сидение из гнутой фанеры Sheffilton SHT-ST15</t>
  </si>
  <si>
    <t>S-17</t>
  </si>
  <si>
    <t>Благодаря уникальной структуре сидение SHT-ST15 являются ярким и оригинальным декором любого помещения
кафе, бара, ресторана, веранды, офиса или дома. Сидения из гнутой фанеры качественные, практичные
и доступные по цене.
- Лаковое покрытие отлично защищает сидение от воздействия внешней среды;
- Используйте сидение в помещении или на закрытой веранде;
- Изогнутая спинка позволяет комфортно расположиться на стуле;
- Вы можете выбрать к этому сидению любые каркасы Sheffilton в разделе "Собери свой стул";
- Сидение штабелируется c каркасом SHT-S86;
- Толщина сиденья: 12 мм.;
- Размеры спинки: высота 430 мм, ширина 415мм.</t>
  </si>
  <si>
    <t>Сидение из гнутой фанеры Sheffilton SHT-ST15-1</t>
  </si>
  <si>
    <t>S-190</t>
  </si>
  <si>
    <t>Лаконичный дизайн сидения с красивым рисунком дерева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ПРЕКРАСНАЯ ЭРГОНОМИКА
Изогнутая спинка сидения обеспечивает удобную посадку и комфортное времяпровождение.
УСЛОВИЯ ИСПОЛЬЗОВАНИЯ
Использовать сидение только в помещении или на закрытой веранде.
ШИРОКИЙ ВЫБОР РАСЦВЕТОК
Коллекция сидений из гнутой фанеры включает в себя широкую палитру расцветок, копирующих камень, дерево
и другие текстуры.
Выбрать другой рисунок и цвет можно на сайте.
УХОД
Пластик переносит очистку любыми бытовыми моющими средствами.
ГАРАНТИЯ 2 ГОДА</t>
  </si>
  <si>
    <t>Лаконичный дизайн сидения с красивым рисунком дерева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Сидение из гнутой фанеры с покрытием пластика CPL (толщина 12 мм).
Пластик имеет длительный срок службы, в течение которого полностью сохраняет привлекательный внешний
вид. Не пропускает влагу, образуя на поверхности изделия герметичный барьер.
Торец сидения покрыт маслом, обеспечивая дополнительную защиту от воздействия неблагоприятных внешних
факторов.
ПРЕКРАСНАЯ ЭРГОНОМИКА
Изогнутая спинка сидения обеспечивает удобную посадку и комфортное времяпровождение.
УСЛОВИЯ ИСПОЛЬЗОВАНИЯ
Использовать сидение только в помещении или на закрытой веранде.
УХОД
Пластик переносит очистку любыми бытовыми моющими средствами.
СТАНЬТЕ ДИЗАЙНЕРОМ СВОЕГО СТУЛА!
Готовый стул состоит из отдельных частей: сидение и каркас. Вы можете выбрать любую модель и цвет
стула в нашем конструкторе.
Отгрузка отдельных частей стула (сидения) не осуществляется.
ГАРАНТИЯ 2 ГОДА</t>
  </si>
  <si>
    <t>метрополитан</t>
  </si>
  <si>
    <t>Сидение из гнутой фанеры Sheffilton SHT-ST15-2</t>
  </si>
  <si>
    <t>S-206</t>
  </si>
  <si>
    <t>трансильвания</t>
  </si>
  <si>
    <t>Сидение и спинка Sheffilton SHT-ST85-1/SB85-1</t>
  </si>
  <si>
    <t>Сидение SHT-ST85-1 и спинка SHT-SB85-1 из массива дерева</t>
  </si>
  <si>
    <t>Сидение и спинка Sheffilton SHT-ST85-2/SB85-2</t>
  </si>
  <si>
    <t>Современный стиль стула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Стул выполнен из полипропилена с армирующими добавками и выдерживает продолжительные нагрузки. Максимальная
статическая нагрузка на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СПИНКА И СИДЕНИЕ обеспечивает прочность конструкции, придает эффектный внешний вид и не боится длительного
воздействия воды, позволяя использовать на улице.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Стул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</si>
  <si>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красный/красный</t>
  </si>
  <si>
    <t>Сидение и спинка Sheffilton SHT-ST85-C12/SB85-C12</t>
  </si>
  <si>
    <t>кремовый/кремовый</t>
  </si>
  <si>
    <t>Мягкое сидение SHT-ST85-C12 и мягкая спинка SHT-SB85-C12</t>
  </si>
  <si>
    <t>кож. зам</t>
  </si>
  <si>
    <t>Сидение и спинка Sheffilton SHT-ST85/SB85</t>
  </si>
  <si>
    <t>Сидение круглое Sheffilton SHT-ST16</t>
  </si>
  <si>
    <t>S-16</t>
  </si>
  <si>
    <t>Сидение из массива дуба, прочной и твердой древесины.
Диаметр/толщина сидения - 350/25 мм.
Естественный рисунок и выразительная фактура дерева подчеркнуты брашированием (эффект "искусственного
старения") и обработкой матовым лаком.
Идеально подойдет для помещений, оформленных в лофт или эко-стиле.
Вы можете выбрать к этому сидению любые каркасы Sheffilton в разделе "Собери свой стул".</t>
  </si>
  <si>
    <t>Сидение из массива дуба, прочной и твердой древесины.
Диаметр/толщина сидения - 350/25 мм.
Естественный рисунок и выразительная фактура дерева подчеркнуты прозрачным лаком.
Идеально подойдет для помещений, оформленных в лофт или эко-стиле.
Вы можете выбрать к этому сидению любые каркасы Sheffilton в разделе "Собери свой стул".
Гарантия 2 года.</t>
  </si>
  <si>
    <t>Спинка стула Sheffilton SHT-SB85</t>
  </si>
  <si>
    <t>СС-1</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</si>
  <si>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Спинка выполнена из полипропилена с армирующими добавками и выдерживает продолжительные нагрузки.
Максимальная статическая нагрузка на готовый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ПЕРФОРАЦИЯ СПИНКИ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</si>
  <si>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зеленый RAL 6018</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</si>
  <si>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Спинка выполнена из полипропилена с армирующими добавками и выдерживает продолжительные нагрузки.
Максимальная статическая нагрузка на готовый стул 260 кг.
ПЕРЕНОСИТ ВОЗДЕЙСВИЕ ЛЮБЫХ ПОГОДНЫХ УСЛОВИЙ
Спинка выполнена из атмосферостойкого пластика. Устойчива к прямым солнечным лучам, не деформируется
и не изменяет цвет. Можно использовать на открытом воздухе при температуре от -15 С до +40С.
ПЕРФОРАЦИЯ СПИНКИ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</si>
  <si>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Спинка стула Sheffilton SHT-SB85-1</t>
  </si>
  <si>
    <t>СС-2</t>
  </si>
  <si>
    <t>Уникальное исполнение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Cпинка Sheffilton выполнена из натурального массива бука. Материал покрыт защитным слоем лака, экологичен
и практичен в использовании. Форма спинки изогнута, что добавляет удобства при посадке.
Однозначно, стул с таким сидением украсит дом, бар или ресторан.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</si>
  <si>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Спинка стула Sheffilton SHT-SB85-2</t>
  </si>
  <si>
    <t>СС-4</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</si>
  <si>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Спинка выполнена из полипропилена с армирующими добавками и выдерживает продолжительные нагрузки.
Максимальная статическая нагрузка на готовый стул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ФОРМА СПИНКИ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</si>
  <si>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Спинка выполнена из полипропилена с армирующими добавками и выдерживает продолжительные нагрузки.
Максимальная статическая нагрузка на готовый стул 260 кг.
ПЕРЕНОСИТ ВОЗДЕЙСВИЕ ЛЮБЫХ ПОГОДНЫХ УСЛОВИЙ
Спинка выполнена из атмосферостойкого пластика. Устойчива к прямым солнечным лучам, не деформируется
и не изменяет цвет. Можно использовать на открытом воздухе при температуре от -15 С до +40С.
ФОРМА СПИНКИ обеспечивает легкость конструкции, придает эффектный внешний вид и не боится длительного
воздействия воды, позволяя использовать на улице.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</si>
  <si>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Спинка стула Sheffilton SHT-SB85-С12</t>
  </si>
  <si>
    <t>СС-3</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</si>
  <si>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ПРОЧНОСТЬ И ДОЛГОВЕЧНОСТЬ
Мягкая спинка Sheffilton сшита из микровелюра. Данный материал гиппоалергенный, экологичный, мягкий
и прятный на ощупь, при этом очень прочный, эластичный, износоустойчивый и долговечен при использовании.
Сидение стула из полипропилена и не используется отдельно от чехла, но удобно то, что чехол съемный.
Можно провести профилактическую чистку и надеть обратно, без особых усилий. Однозначно, стул с таким
сидением украсит и избавит от хлопот ни один дом, бар или ресторан.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</si>
  <si>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Современный стиль спинки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ПРЕКРАСНАЯ ЭРГОНОМИКА
Вращение спинки позволяет снизить утомляемость, повысить трудоспособность и обеспечить удобную посадку.
Спинка выполнена из кож.зама. Благодаря натуральному цвету кож.зама – готовый стул способен преобразить
обстановку и добавить естественности! Максимальная статическая нагрузка на готовый стул 260 кг.
ПРОЧНОСТЬ И ДОЛГОВЕЧНОСТЬ
Максимальная статическая нагрузка на готовый стул 260 кг.
СТАНЬТЕ ДИЗАЙНЕРОМ СВОЕГО СТУЛА!
Готовый стул состоит из отдельных частей: сидение, спинка и каркас. Вы можете выбрать любую модель
и цвет стула в нашем конструкторе.
Отгрузка отдельных частей стула (сидения, спинки) не осуществляется.</t>
  </si>
  <si>
    <t>Каркас барного стула Sheffilton SHT-S128</t>
  </si>
  <si>
    <t>КС-140</t>
  </si>
  <si>
    <t>хром/белый муар</t>
  </si>
  <si>
    <t>Стильный и оригинальный, этот барный каркас не только с блеском исполняет свою непосредственную функцию,
но и служит достойным декором интерьера кухни в любой современной стилистике - от минимализма до модерна.
Внешний облик без единой лишней детали и актуальное цветовое оформление делают его презентабельным
предметом мебели в ресторане, кафе, баре или дома.
СТИЛЬНЫЙ ДИЗАЙН. Каркас выполнен из металла с белой матовой краской и блестящим гальваническим хромом.
Модель располагается на одной высокой ножке цилиндрической формы. Внизу она плавно переходит в основание,
сделанное в виде круга.
ПРЕКРАСНАЯ ЭРГОНОМИКА. Готовый стул с каркасом SHT-S128 обеспечивает удобную посадку и комфортное
времяпровождение. Имеется комфортная хромированная подставка для ног. Каркас вращается на 360 градусов.
Газлифтная система регулировки высоты позволяет подгонять под размеры барной/полубарной стойки и собственный
рост. 
ПРОЧНОСТЬ И ДОЛГОВЕЧНОСТЬ. Каркас выполнены из металлической трубы. Каркас окрашен порошковой краской,
устойчивой к механическому воздействию. Максимальная статическая нагрузка на каркас – 100 кг.
СТАНЬТЕ ДИЗАЙНЕРОМ СВОЕГО СТУЛА! Именно под этот каркас Вы можете выбрать любую модель сидения Sheffilton
в нашем конструкторе.</t>
  </si>
  <si>
    <t>Каркас барного стула Sheffilton SHT-S131</t>
  </si>
  <si>
    <t>КС-152</t>
  </si>
  <si>
    <t>Барный каркас с конусообразными ножками в сочетании с мягким сидением Sheffilton создадут эстетику
в Вашем доме.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СТАНЬТЕ ДИЗАЙНЕРОМ СВОЕГО СТУЛА
Каркас подходит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ПРЕКРАСНАЯ ЭРГОНОМИКА
Стул с барным каркасом SHT-S131 обеспечит удобную посадку и комфортное времяпровождение.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ПЛОСКАЯ УПАКОВКА
Каркас полностью разборный. Удобная плоская упаковка не займет много места и сэкономит Ваши средства
при транспортировке.</t>
  </si>
  <si>
    <t>Барный каркас с конусообразными ножками в сочетании с мягким сидением Sheffilton создадут эстетику
в Вашем доме.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СТИЛЬНЫЙ ДИЗАЙН. Оригинальную нотку каркасу придают конусообразные ножки с золотым напылением в нижней
части.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СТАНЬТЕ ДИЗАЙНЕРОМ СВОЕГО СТУЛА
Каркас подходит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ПРЕКРАСНАЯ ЭРГОНОМИКА
Стул с барным каркасом SHT-S131 обеспечит удобную посадку и комфортное времяпровождение.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ПЛОСКАЯ УПАКОВКА
Каркас полностью разборный. Удобная плоская упаковка не займет много места и сэкономит Ваши средства
при транспортировке.</t>
  </si>
  <si>
    <t>Каркас барного стула Sheffilton SHT-S29</t>
  </si>
  <si>
    <t>КС-29</t>
  </si>
  <si>
    <t>- Каркас выполнен в элегантной форме, имеет чёткие, плавные линии, прочный и устойчивый;
- Хорошо будет смотреться и дома, и в офисе, столовой, в кафе, баре или ресторане;
- Вы можете выбрать к этому каркасу любые сидения в разделе "Собери свой стул";
- НАДЕЖНЫЙ МЕТАЛЛИЧЕСКИЙ КАРКАС окрашен порошковой краской, устойчивой к механическому воздействию;
- Высота каркаса 730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t>
  </si>
  <si>
    <t>- Каркас выполнен в элегантной форме, имеет чёткие, плавные линии, прочный и устойчивый;
- Хорошо будет смотреться и дома, и в офисе, столовой, в кафе, баре или ресторане;
- Вы можете выбрать к этому каркасу любые сидения в разделе "Собери свой стул".
- Высота каркаса 730 мм;
- НАДЕЖНЫЙ МЕТАЛЛИЧЕСКИЙ КАРКАС окрашен порошковой краской, устойчивой к механическому воздействию;
- Диаметр/толщина каркаса: 20/1,5 мм;
- Максимальная статическая нагрузка на стул 260 кг;
- Гарантия 2 года.</t>
  </si>
  <si>
    <t>- Каркас выполнен в элегантной форме, имеет чёткие, плавные линии, прочный и устойчивый;
- Хорошо будет смотреться и дома, и в офисе, столовой, в кафе, баре или ресторане;
- Вы можете выбрать к этому каркасу любые сидения в разделе "Собери свой стул";
- НАДЕЖНЫЙ МЕТАЛЛИЧЕСКИЙ КАРКАС окрашен порошковой краской, устойчивой к механическому воздействию;
- Высота каркаса 730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t>
  </si>
  <si>
    <t>черный муар/зол.патина</t>
  </si>
  <si>
    <t>- Каркас стула выполнен из металла с декоративной отделкой - патинирование "под золото", которая эффектно
будет смотреться в лофт-интерьерах кафе, баров, ресторанов;
- НАДЕЖНЫЙ МЕТАЛЛИЧЕСКИЙ КАРКАС окрашен порошковой краской, устойчивой к механическому воздействию;
- Вы можете выбрать к этому каркасу любые сидения в разделе "Собери свой стул".
- Высота каркаса 730 мм;
- Диаметр/толщина каркаса: 20/1,5 мм;
- Максимальная статическая нагрузка на стул 260 кг;
- Гарантия 2 года.</t>
  </si>
  <si>
    <t>Каркас барного стула Sheffilton SHT-S65</t>
  </si>
  <si>
    <t>КС-65</t>
  </si>
  <si>
    <t>- Гармоничное сочетание красоты и комфорта;
- Стул с деревянными ножками без сомнения украсит бар, ресторан, кафе, дизайн-студию, офис или стильную
кухню в квартире или загородном доме;
- Вы можете выбрать к этому каркасу любые сидения в разделе "Собери свой стул".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Толщина каркаса 26 мм;
- Высота каркаса 730 мм;
- Расстояние от пола до боковой перекладины 330 мм; до передней перекладины 300 мм;
- Максимальная статическая нагрузка - 260 кг.</t>
  </si>
  <si>
    <t>ТОВАР ДОСТУПЕН ПОД ЗАКАЗ ОТ 20 ШТУК!
В современных дизайнерских проектах каркасу SHT-S65 точно найдется достойное место! Каждое изделие
обработано технологией "браширование" - искусстенное старение и покрыто прозрачным лаком, что обеспечивает
защиту от внешних воздействий. Отлично впишется в интерьер стиля "лофт". Стул с деревянными ножками
без сомнения украсит бар, ресторан, кафе, дизайн-студию, офис или стильную кухню в квартире или загородном
доме.
- Вы можете выбрать к этому каркасу любые сидения в разделе "Собери свой стул".
- Каркас выполнен из МАССИВА ДРЕВЕСИНЫ, браширован с последующим тонированием и покрытием лаком;
- Специальные подпятники обеспечивают защиту каркаса от царапин, тем самым увеличивая срок службы;
- Толщина каркаса 26 мм;
- Высота каркаса 730 мм;
- Расстояние от пола до боковой перекладины 330 мм; до передней перекладины 300 мм;
- Максимальная статическая нагрузка - 260 кг;
- Гарантия 2 года.</t>
  </si>
  <si>
    <t>- Гармоничное сочетание красоты и комфорта;
- Стул с деревянными ножками без сомнения украсит бар, ресторан, кафе, дизайн-студию, офис или стильную
кухню в квартире или загородном доме;
- Вы можете выбрать к этому каркасу любые сидения в разделе "Собери свой стул".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Толщина каркаса 26 мм;
- Высота каркаса 730 мм;
- Расстояние от пола до боковой перекладины 330 мм; до передней перекладины 300 мм;
- Максимальная статическая нагрузка - 260 кг;
- Гарантия 2 года.</t>
  </si>
  <si>
    <t>светлый орех (+)</t>
  </si>
  <si>
    <t>Каркас барного стула Sheffilton SHT-S66</t>
  </si>
  <si>
    <t>КС-66</t>
  </si>
  <si>
    <t>- Изящный в своей простоте, визуально лёгкий и прочный каркас;
- Гармонично и со вкусом смотрится в доме, офисах, дизайн-студиях, кафе, барах, ресторанах;
- НАДЕЖНЫЕ МЕТАЛЛИЧЕСКИЕ ОПОРЫ окрашены порошковой краской, устойчивой к механическому воздействию;
- Вы можете выбрать к этому каркасу любые сидения в разделе "Собери свой стул".
- Диаметр прутка: 8 и 5 мм;
- Максимальная статическая нагрузка - 200 кг.</t>
  </si>
  <si>
    <t>черный муар / зол.патина</t>
  </si>
  <si>
    <t>- Изящный в своей простоте, визуально лёгкий и прочный каркас;
- Гармонично и со вкусом смотрится в доме, офисах, дизайн-студиях, кафе, барах, ресторанах;
- НАДЕЖНЫЕ МЕТАЛЛИЧЕСКИЕ ОПОРЫ окрашены порошковой краской, устойчивой к механическому воздействию;
- Вы можете выбрать к этому каркасу любые сидения в разделе "Собери свой стул".
- Диаметр прутка: 8 и 5 мм;
- Максимальная статическая нагрузка - 200 кг;
- Гарантия 2 года.</t>
  </si>
  <si>
    <t>Каркас барного стула Sheffilton SHT-S69-C</t>
  </si>
  <si>
    <t>КС-95</t>
  </si>
  <si>
    <t>светлый орех</t>
  </si>
  <si>
    <t>Опоры стульев имеют конусообразную форму с декоративной пленкой PVC "под дерево", что придает стулу
стильный и современный вид
Идеально подходят для кафе, баров, фаст-фудов и отлично вписываются в домашнее пространство
Вместе с сидениями SHT-ST75, SHT-ST76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окрашены порошковой краской, стойкой к механическим повреждениям;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t>
  </si>
  <si>
    <t>Каркас барного стула Sheffilton SHT-S80</t>
  </si>
  <si>
    <t>КС-233</t>
  </si>
  <si>
    <t>Сочетание металла и дерева отлично впишутся в современный интерьер стиля "лофт" или хай-тек. Барному
стулу с каркасом S80 точно найдется место за барной стойкой в современных дизайнерских проектах.
- Вы можете выбрать к этому каркасу любые сидения в разделе "Собери свой стул";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Размеры одной деревянной опоры: 405х20х40 мм;
- Расстояние от пола до переклады для ног 280 мм.;
- Максимальная статическая нагрузка - 200 кг.</t>
  </si>
  <si>
    <t>темный орех/черный</t>
  </si>
  <si>
    <t>Каркас барного стула Sheffilton SHT-S81</t>
  </si>
  <si>
    <t>КС-81</t>
  </si>
  <si>
    <t>брашированный коричневый</t>
  </si>
  <si>
    <t>- Каркас из плотной древесины дуба, 30х30 мм. и перекладины 60х10 мм;
- Декоративная отделка каркаса - браширование (эффект "искусственного старения"), подчеркивающая натуральную
красоту и текстуру дерева;
-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- 200 кг;
- Гарантия 2 года.</t>
  </si>
  <si>
    <t>Каркас барного стула Sheffilton SHT-S94</t>
  </si>
  <si>
    <t>КС-94</t>
  </si>
  <si>
    <t>Элегантный барный каркас с обтекаемой формой. Визуально облегченное основание придает готовому стулу
легкость, не теряя при этом свою устойчивость. Удобная подножка - позволяет комфортно расположиться
на стуле и проводить довольно продолжительное время. Современный стиль каркаса позволяет добавить
готовый стул в любой дизайн кафе, бара, ресторана 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ПОД ЗАКАЗ
Доступны любые цветовые сочетания от 50 штук.</t>
  </si>
  <si>
    <t>Каркас полубарного стула Sheffilton SHT-S131-1</t>
  </si>
  <si>
    <t>КС-145</t>
  </si>
  <si>
    <t>Полубарный каркас с конусообразными ножками в сочетании с мягким сидением Sheffilton создадут эстетику
в Вашем доме.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СТАНЬТЕ ДИЗАЙНЕРОМ СВОЕГО СТУЛА
Каркас подходит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РЕГУЛИРУЕМЫЕ ОПОРЫ
Ножки каркаса дополнены шарнирными подпятниками, регулируемыми по высоте. Они позволяют использовать
готовый стул даже на неровной поверхности.
ПРЕКРАСНАЯ ЭРГОНОМИКА
Стул с полубарным каркасом SHT-S131 обеспечит удобную посадку и комфортное времяпровождение.
ПРОЧНОСТЬ И ДОЛГОВЕЧНОСТЬ
Каркас выполнен из металлической трубы диаметром 25 мм. Окрашен порошковой краской, устойчивой к механическому
воздействию. Максимальная статическая нагрузка на каркас – 260 кг.
ПЛОСКАЯ УПАКОВКА
Каркас полностью разборный. Удобная плоская упаковка не займет много места и сэкономит Ваши средства
при транспортировке.</t>
  </si>
  <si>
    <t>Каркас полубарного стула Sheffilton SHT-S80-1</t>
  </si>
  <si>
    <t>КС-110</t>
  </si>
  <si>
    <t>Сочетание металла и дерева отлично впишутся в современный интерьер стиля "лофт" или хай-тек. Полубарному
стулу с каркасом S80-1 точно найдется место за полубарной стойкой в современных дизайнерских проектах.
- Вы можете выбрать к этому каркасу любые сидения в разделе "Собери свой стул";
- Каркас выполнен из массива древисины твердых пород с последующим тонированием и покрытием лаком;
- Прочность и жесткость каркасу добавляют металлические пластины, толщиной 3 мм;
- Металлические детали каркаса окрашены порошковой краской, устойчивой к механическому воздействию;
- Максимальная статическая нагрузка - 200 кг.</t>
  </si>
  <si>
    <t>Каркас стула Sheffilton SHT-S93</t>
  </si>
  <si>
    <t>КС-93</t>
  </si>
  <si>
    <t>браш.коричневый/черный муар (+)</t>
  </si>
  <si>
    <t>Натуральный и стильный каркас стула! Винтовой механизм позволяет использовать каркас как полубарный
и барный стул. Естественная текстура дерева в комплекте с металлическими деталями придает готовому
изделию стильный и дорогой вид. Дерево обработано технологией "браширование" для большего эффекта
природного рисунка древесины. Устойчивые ножки с металлической подставкой для ног отлично гармонируют
с любым решением интерьера. Стул идеально подойдет для помещений, оформленных в лофт или эко-стиле.
Хорошо будет смотреться и дома, и в офисе, столовой, в кафе, баре или ресторане.
- Высота каркаса от полубарного 640 мм. до барного 745 мм.;
- Специальные подпятники обеспечивают защиту каркаса от царапин, тем самым увеличивая срок службы;
- Вы можете выбрать к этому каркасу любые сидения Sheffilton в разделе "Собери свой стул";
- Максимальная статическая нагрузка - 260 кг.</t>
  </si>
  <si>
    <t>Каркас полубарного стула Sheffilton SHT-S94-1</t>
  </si>
  <si>
    <t>КС-144</t>
  </si>
  <si>
    <t>Элегантный полубарный каркас с обтекаемой формой. Визуально облегченное основание придает готовому
стулу легкость, не теряя при этом свою устойчивость. Удобная подножка - позволяет комфортно расположиться
на стуле и проводить довольно продолжительное время. Современный стиль каркаса позволяет добавить
готовый стул в любой дизайн кафе, бара, ресторана и домашних интерьеров. Вы произведете впечатление
на любого, кто посетит Ваше заведение или дом!
ПРОЧНОСТЬ И ДОЛГОВЕЧНОСТЬ
Каркас выполнен из экологически чистых остаточных материалов древесины и массива. Надежная металлическая
подножка выполнена из металлической трубы и окрашена порошковой краской, устойчивой к механическому
воздействию.
Выдерживает продолжительные нагрузки - максимальная статическая нагрузка - 100 кг.
ДИЗАЙН И ЭСТЕТИКА
Стильное сочетание естественной текстуры дерева и металла занимает первые места в мире европейского
дизайна. Особое изящество каркасу добавляют закругленные изгибы и плавные переходы. Каркас покрыт
защитным слоем лака, что экологично и практично в использовании.
ЛЕГКИЙ И ПРОСТОЙ УХОД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СТАНЬТЕ ДИЗАЙНЕРОМ СВОЕГО СТУЛА!
Вы можете выбрать любую модель и цвет сидения в нашем конструкторе.
ПОД ЗАКАЗ
Доступны любые цветовые сочетания от 50 штук.</t>
  </si>
  <si>
    <t>Каркас стула Sheffilton SHT-S100</t>
  </si>
  <si>
    <t>КС-100</t>
  </si>
  <si>
    <t>- Изящный в своей простоте, визуально лёгкий и прочный каркас;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Диаметр/толщина каркаса: 18/1,5 мм;
- НАДЕЖНЫЙ МЕТАЛЛИЧЕСКИЙ КАРКАС окрашен порошковой краской, устойчивой к механическому воздействию.
- Максимальная статическая нагрузка 260 кг.</t>
  </si>
  <si>
    <t>Каркас стула Sheffilton SHT-S106</t>
  </si>
  <si>
    <t>матовое золото</t>
  </si>
  <si>
    <t>ПРИЧИНА УЦЕНКИ: осталось 2 шт. на складе.
Дизайн изделия создан в лучших традициях Сальвадора Дали. Одна изящная линия образует устойчивый каркас
для стула на трех опорах. Безупречный стиль подчеркнет любое сидение Sheffilton и придаст нотку авангарда.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445 мм;
- Диаметр/толщина каркаса: 18/1,5 мм;
- НАДЕЖНЫЙ МЕТАЛЛИЧЕСКИЙ КАРКАС окрашен порошковой краской, устойчивой к механическому воздействию;
- Специальные подпятники обеспечивают защиту каркаса от царапин, тем самым увеличивая срок службы.</t>
  </si>
  <si>
    <t>КС-106</t>
  </si>
  <si>
    <t>Дизайн изделия создан в лучших традициях Сальвадора Дали. Одна изящная линия образует устойчивый каркас
для стула на трех опорах. Безупречный стиль подчеркнет любое сидение Sheffilton и придаст нотку авангарда.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445 мм;
- Диаметр/толщина каркаса: 18/1,5 мм;
- НАДЕЖНЫЙ МЕТАЛЛИЧЕСКИЙ КАРКАС окрашен порошковой краской, устойчивой к механическому воздействию;
- Специальные подпятники обеспечивают защиту каркаса от царапин, тем самым увеличивая срок службы.</t>
  </si>
  <si>
    <t>Каркас стула Sheffilton SHT-S107</t>
  </si>
  <si>
    <t>КС-109</t>
  </si>
  <si>
    <t>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НАДЕЖНЫЙ МЕТАЛЛИЧЕСКИЙ КАРКАС окрашен порошковой краской, устойчивой к механическому воздействию;
Каркас сварной из металла, диаметр/толщина трубы 18х1,5 мм.
Вы можете выбрать к этому каркасу любые сидения в разделе "Собери свой стул".
Расстояние между опорами: 440 мм.
Каркас покрыт порошковой краской, устойчивой к механическому воздействию;
Максимальная статическая нагрузка - 260 кг.</t>
  </si>
  <si>
    <t>Каркас стула Sheffilton SHT-S112</t>
  </si>
  <si>
    <t>КС-113</t>
  </si>
  <si>
    <t>Необычное дизайнерское решение каркаса сделает готовый стул весьма привлекательным и необычным. Визуально
изящный и прочный - эти две характеристики девиз модели SHT-S112. Готовый стул будет гармонично и
со вкусом смотреться в доме, офисах, дизайн-студиях, кафе, барах, ресторанах.
СТИЛЬНЫЙ ДИЗАЙН. Оригинальный цветочный мотив вплетается в общую концепцию стула. Благодаря этому
готовый стул с цветным сидением буквально "расцветет" у Вас в интерьере.
ПРЕКРАСНАЯ ЭРГОНОМИКА. Стул с каркасом SHT-S112 обеспечит удобную посадку и комфортное времяпровождение.
НАДЕЖНОСТЬ. Надежный металлический каркас окрашен порошковой краской, устойчивой к механическому воздействию.
Максимальная статическая нагрузка на каркас – 200 кг.
СТАНЬТЕ ДИЗАЙНЕРОМ СВОЕГО СТУЛА! Вы можете выбрать любой цвет сидения или каркаса в нашем конструкторе.</t>
  </si>
  <si>
    <t>Каркас стула Sheffilton SHT-S113</t>
  </si>
  <si>
    <t>КС-114</t>
  </si>
  <si>
    <t>Необычное дизайнерское решение каркаса сделает готовый стул весьма привлекательным и необычным. Визуально,
модель напоминает лепестки нежного лотоса, который вносит спокойствие и умиротворение в течение жизни.
Изящный, но прочный - эти две характеристики девиз модели SHT-S113. Готовый стул будет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НАДЕЖНЫЙ МЕТАЛЛИЧЕСКИЙ КАРКАС окрашен порошковой краской, устойчивой к механическому воздействию.</t>
  </si>
  <si>
    <t>Каркас стула Sheffilton SHT-S120</t>
  </si>
  <si>
    <t>КС-115</t>
  </si>
  <si>
    <t>Классический вращающийся каркас на колесиках с газлифтом подходит для любого современного и стильного
офиса. Готовый стул на таком каркасе создан для тех, кто внимателен к своему имиджу и хочет решить
проблему с массовой закупкой качественной офисной мебели.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Вы можете выбрать любой цвет сидения в нашем конструкторе.</t>
  </si>
  <si>
    <t>Каркас стула Sheffilton SHT-S120-1</t>
  </si>
  <si>
    <t>КС-116</t>
  </si>
  <si>
    <t>ТОВАР ДОСТУПЕН ПОД ЗАКАЗ ОТ 20 ШТУК!
Классический вращающийся каркас с газлифтом подходит для любого современного и стильного офиса. Готовый
стул на таком каркасе создан для тех, кто внимателен к своему имиджу и хочет решить проблему с массовой
закупкой качественной офисной мебели.
РЕГУЛИРУЕМЫЙ ПО ВЫСОТЕ
Газлифт позволяет плавно регулировать стул по высоте, чем обеспечивает комфортное положение любого
сидящего человека.
НАДЕЖНОСТЬ
Широкая площадь каркаса, это делает его поразительно устойчивым. Каркас стула выполнен из пластика
и металла. Полипропилен с армирующими добавками гарантирует долговечность и износостойкость.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Вы можете выбрать любой цвет сидения в нашем конструкторе.</t>
  </si>
  <si>
    <t>Каркас стула Sheffilton SHT-S120-1 часть 1</t>
  </si>
  <si>
    <t>КС-141</t>
  </si>
  <si>
    <t>Площадка подходит ко всем сидениям, кроме S85.</t>
  </si>
  <si>
    <t>Каркас стула Sheffilton SHT-S120M</t>
  </si>
  <si>
    <t>Классический вращающийся каркас на колесиках с газлифтом подходит для любого современного и стильного
офиса. Готовый стул на таком каркасе создан для тех, кто внимателен к своему имиджу и хочет решить
проблему с массовой закупкой качественной офисной мебели.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Вы можете выбрать любой цвет сидения в нашем конструкторе.</t>
  </si>
  <si>
    <t>Каркас стула Sheffilton SHT-S120M часть 2</t>
  </si>
  <si>
    <t>КС-132</t>
  </si>
  <si>
    <t>Основание каркаса с газлифтом на колесиках и без площадки.</t>
  </si>
  <si>
    <t>Каркас стула Sheffilton SHT-S120P-1 часть 2</t>
  </si>
  <si>
    <t>Основание каркаса с газлифтом без колесиков и без площадки.</t>
  </si>
  <si>
    <t>Каркас стула Sheffilton SHT-S120P часть 2</t>
  </si>
  <si>
    <t>КС-131</t>
  </si>
  <si>
    <t>Каркас стула Sheffilton SHT-S121M</t>
  </si>
  <si>
    <t>Классический вращающийся каркас на колесиках с газлифтом подходит для любого современного и стильного
офиса. Готовый стул на таком каркасе создан для тех, кто внимателен к своему имиджу и хочет решить
проблему с массовой закупкой качественной офисной мебели. Каркас подходит только к сидениям со спинкой
SHT-S85.
РЕГУЛИРУЕМЫЙ ПО ВЫСОТЕ
Газлифт позволяет плавно регулировать стул по высоте, чем обеспечивает комфортное положение любого
сидящего человека.
ДИНАМИЧНЫЙ И ПОДВИЖНЫЙ
Ножки поставлены на колеса, что позволяет легко перемещать готовый стул без лишних усилий.
В состав каркаса входят пять колесиков, комплект крепежа и схема сборки.
НАДЕЖНОСТЬ
Широкая площадь 545 мм делает каркас поразительно устойчивым. Надежный металлический каркас окрашен
порошковой краской, устойчивой к механическому воздействию.
БЕЗОПАСНОСТЬ
Все каркасы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 100 кг.
ВНЕШНИЙ ВИД
Хромированные детали каркаса в сочетании с яркими контрастными цветами сиденья делают изделие настоящим
образцом современного стиля.
СТАНЬТЕ ДИЗАЙНЕРОМ СВОЕГО СТУЛА!
Вы можете выбрать любой цвет сидения в нашем конструкторе.</t>
  </si>
  <si>
    <t>Каркас стула Sheffilton SHT-S121 часть 1</t>
  </si>
  <si>
    <t>КС-129</t>
  </si>
  <si>
    <t>Площадка подходит только для сидения и спинки стула SHT-S85.</t>
  </si>
  <si>
    <t>Каркас стула Sheffilton SHT-S122 ДУБ</t>
  </si>
  <si>
    <t>КС-155</t>
  </si>
  <si>
    <t>темный орех/черный муар</t>
  </si>
  <si>
    <t>дерево ДУБ/металл</t>
  </si>
  <si>
    <t>Эргономичный каркас с квадратными ножками смотрится изящно и аккуратно. Плавные линии красиво подчеркнуты
спокойной цветовой гаммой. Готовый стул с таким каркасом впишется в мягкий, уютный и тихий интерьер
ресторана, кафе, или же хорошо будет смотреться возле обеденного стола в гостиной. Хотим заметить,
что эта модель впишется в любой стиль. Дело за Вашей фантазией и вдохновением!
СТИЛЬНЫЙ ДИЗАЙН. Оригинальную нотку каркасу придают ножки с заметным волнообразным изгибом.
ПРЕКРАСНАЯ ЭРГОНОМИКА. Стул с каркасом SHT-S122 обеспечивает удобную посадку и комфортное времяпровождение.
ПРОЧНОСТЬ И ДОЛГОВЕЧНОСТЬ. Каркас выполнен из МАССИВА ДУБА с последующим тонированием и покрытием
лаком. Верхняя часть крестовины выполнена из металлической трубы диаметром 18 мм и окрашена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модель сидения SHT-ST34
или SHT-ST35 в нашем конструкторе.</t>
  </si>
  <si>
    <t>Каркас стула Sheffilton SHT-S129</t>
  </si>
  <si>
    <t>КС-151</t>
  </si>
  <si>
    <t>Конусообразные ножки в сочетании с мягким сидением Sheffilton создадут эстетику в Вашем доме.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СТИЛЬНЫЙ ДИЗАЙН. Оригинальная конусообразная форма опор с золотым напылением в нижней части каркаса.
Четкое разделение белого и золотого прекрасно гармонируют с мягкими сидениями Sheffilton и основанием
для стола в аналогичном стиле SHT-TU14 белый муар/золото.
ПРЕКРАСНАЯ ЭРГОНОМИКА. Стул с опорами SHT-S129 обеспечит удобную посадку и комфортное времяпровождение.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ПЛОСКАЯ УПАКОВКА
Благодаря раздельным опорам, транспортировка стала еще выгоднее. Удобная плоская упаковка не займет
много места и сэкономит Ваши средства.</t>
  </si>
  <si>
    <t>венге крупный</t>
  </si>
  <si>
    <t>Прочность металла и природная красота дерева гармонично сочетаются в опорах стула SHT-S129.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СУБЛИМАЦИЯ "ПОД ДЕРЕВО".
Опоры окрашены порошковой краской с применением технологии вакуумной сублимации, что позволяет переносить
текстуру дерева на металл. Благодаря этому, изображение на металле получается стойкое к истиранию
и механическим повреждениям. Такая технология не требует особого ухода, не подвержена растрескиванию
и рассыханию, что является недостатком натурального дерева.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СТИЛЬНЫЙ ДИЗАЙН. Оригинальная конусообразная форма опор с текстурой под дерево, смотрится гармонично
с мягкими сидениями Sheffilton и основанием для стола в аналогичном стиле SHT-TU14.
ПРЕКРАСНАЯ ЭРГОНОМИКА. Стул с опорами SHT-S129 обеспечит удобную посадку и комфортное времяпровождение.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ПЛОСКАЯ УПАКОВКА
Благодаря раздельным опорам, транспортировка стала еще выгоднее. Удобная плоская упаковка не займет
много места и сэкономит Ваши средства.</t>
  </si>
  <si>
    <t>Конусообразные ножки в сочетании с мягким сидением Sheffilton создадут эстетику в Вашем доме. Готовый
стул будет прекрасно смотреться в мягком, уютном и тихом интерьере ресторана, кафе, или же возле обеденного
стола в гостиной. Хотим заметить, что эта модель впишется в любой стиль. Дело за Вашей фантазией и
вдохновением!
СТАНЬТЕ ДИЗАЙНЕРОМ СВОЕГО СТУЛА
Опоры подходят только к мягким сидениям Sheffilton SHT-ST33, SHT-ST34, SHT-ST35, SHT-ST36, SHT-ST37,
SHT-ST38. В основе сидений лежит фанера со специальными отверстиями для крепления опор. Вы можете
выбрать любую модель сидения из указанных в нашем конструкторе.
СТИЛЬНЫЙ ДИЗАЙН. Оригинальная конусообразная форма опор, смотрится гармонично с мягкими сидениями
Sheffilton и основанием для стола в аналогичном стиле SHT-TU14 черный муар.
ПРЕКРАСНАЯ ЭРГОНОМИКА. Стул с опорами SHT-S129 обеспечит удобную посадку и комфортное времяпровождение.
ПРОЧНОСТЬ И ДОЛГОВЕЧНОСТЬ. Опоры выполнены из металлической трубы диаметром 25 мм. Окрашены порошковой
краской, устойчивой к механическому воздействию. Максимальная статическая нагрузка на каркас – 260
кг.
ПЛОСКАЯ УПАКОВКА
Благодаря раздельным опорам, транспортировка стала еще выгоднее. Удобная плоская упаковка не займет
много места и сэкономит Ваши средства.</t>
  </si>
  <si>
    <t>Каркас стула Sheffilton SHT-S130 HD</t>
  </si>
  <si>
    <t>КС-128</t>
  </si>
  <si>
    <t>Готовый стул с таким каркасом впишется в мягкий, уютный и тихий интерьер ресторана, кафе, или же хорошо
будет смотреться возле обеденного стола в гостиной. Хотим заметить, что эта модель впишется в любой
стиль. Дело за Вашей фантазией и вдохновением!
СТИЛЬНЫЙ ДИЗАЙН. Оригинальную нотку каркасу придают тонкие изящные изогнутее ножки.
УСИЛЕННЫЙ КАРКАС. Классическая форма SHT-S130 HD позволяет активно использовать готовый стул в любом
интерьере кафе с большой проходимостью. Выполнен из металлической трубы диаметром и толщиной 20х1,5
мм.
Сиденье крепится к каркасу при помощи приваренных фланцев, при этом целостность трубы не нарушается
и возрастает прочность конструкции.
Каркас не разборный и окрашен порошковой краской, устойчивой к механическому воздействию.
Максимальная статическая нагрузка на каркас – 260 кг.
Готовый стул ШТАБЕЛИРУЕТСЯ с мягкими или пластиковыми сидениями SHT-ST29.
СТАНЬТЕ ДИЗАЙНЕРОМ СВОЕГО СТУЛА! Именно под этот каркас Вы можете выбрать любой цвет сидения Sheffilton
SHT-ST29 в нашем конструкторе.</t>
  </si>
  <si>
    <t>Каркас стула Sheffilton SHT-S30</t>
  </si>
  <si>
    <t>КС-130</t>
  </si>
  <si>
    <t>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 Каркас штабелируется, что упрощает хранение нескольких штук в одной стопке;
- Вы можете выбрать к этому каркасу любые сидения в разделе "Собери свой стул";
- НАДЕЖНЫЕ МЕТАЛЛИЧЕСКИЕ ОПОРЫ окрашены порошковой краской, устойчивой к механическому воздействию;
- Высота каркаса 480 мм;
- Диаметр/толщина каркаса: 18/1,5 мм;
- Максимальная статическая нагрузка - 150 кг;
- Гарантия 2 года.</t>
  </si>
  <si>
    <t>металл/рогожка</t>
  </si>
  <si>
    <t>Опоры каркаса "одеты" в рогожку, что придает готовому стулу уютный и домашний вид! Отлично впишется
в стиль лофт и эко. Прочный и практичный каркас, хорошее соотношение цена/качество. Лаконичная форма
каркаса SHT-S30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SHT-S30
HD.
- Каркас штабелируется, что упрощает хранение нескольких штук в одной стопке;
- Вы можете выбрать к этому каркасу любые сидения в разделе "Собери свой стул";
- НАДЕЖНЫЕ МЕТАЛЛИЧЕСКИЕ ОПОРЫ окрашены порошковой краской, устойчивой к механическому воздействию;
- Высота каркаса 480 мм;
- Диаметр/толщина каркаса: 18/1,5 мм;
- Максимальная статическая нагрузка - 150 кг;
- Гарантия 2 года.</t>
  </si>
  <si>
    <t>Каркас стула Sheffilton SHT-S30 HD</t>
  </si>
  <si>
    <t>КС-230</t>
  </si>
  <si>
    <t>хром</t>
  </si>
  <si>
    <t>Классическая форма УСИЛЕННОГО КАРКАСА SHT-S30 HD позволяет активно использовать готовый стул в любом
интерьере кафе с большой проходимостью.
1. Металлический каркас, диаметром и толщиной 20х1,5 мм (на обычной модели стула используется каркас
18х1,5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4. Эксплуатировать в сухом помещении или на крытых летних верандах. Не использовать на улице!
- Вы можете выбрать к этому каркасу любые сидения в разделе "Собери свой стул".
- Каркас штабелируется, что упрощает хранение нескольких штук в одной стопке;
- Высота каркаса 480 мм;
- Максимальная статическая нагрузка - 200 кг;
- Гарантия 2 года.</t>
  </si>
  <si>
    <t>Каркас стула Sheffilton SHT-S37</t>
  </si>
  <si>
    <t>КС-37</t>
  </si>
  <si>
    <t>белый муар (+)</t>
  </si>
  <si>
    <t>- Изящный в своей простоте, визуально лёгкий и прочный каркас;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НАДЕЖНЫЙ МЕТАЛЛИЧЕСКИЙ КАРКАС окрашен порошковой краской, устойчивой к механическому воздействию;
- Максимальная статическая нагрузка - 260 кг.</t>
  </si>
  <si>
    <t>ЭКСКЛЮЗИВНО ДЛЯ ВАС
Золотой каркас SHT-S37 для самых востребованных покупателей! Великолепный, богатый оттенок порошковой
краски подчеркнет убранство Вашего дома, офиса, дизайн-студии, кафе, баре, ресторане!
- Изящный в своей простоте, визуально лёгкий и прочный каркас;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НАДЕЖНЫЙ МЕТАЛЛИЧЕСКИЙ КАРКАС окрашен порошковой краской, устойчивой к механическому воздействию.
- Максимальная статическая нагрузка - 260 кг;
- Упаковка: картон;
- Гарантия 2 года.</t>
  </si>
  <si>
    <t>- Изящный в своей простоте, визуально лёгкий и прочный каркас;
- Гармонично и со вкусом смотрится в доме, офисах, дизайн-студиях, кафе, барах, ресторанах;
- Вы можете выбрать к этому каркасу любые сидения в разделе "Собери свой стул";
- Высота каркаса 430 мм;
- Расстояние между опорами 460 мм;
- Диаметр/толщина каркаса: 18/1,5 мм;
- Расстояние между креплениями: задние опоры - 117 мм., передние - 183 мм., глубина - 167 мм.;
- НАДЕЖНЫЙ МЕТАЛЛИЧЕСКИЙ КАРКАС окрашен порошковой краской, устойчивой к механическому воздействию;
- Максимальная статическая нагрузка - 260 кг;
- Гарантия 2 года.</t>
  </si>
  <si>
    <t>Каркас стула Sheffilton SHT-S37-1</t>
  </si>
  <si>
    <t>КС-146</t>
  </si>
  <si>
    <t>Изящный в своей простоте, визуально лёгкий и прочный каркас. Готовый стул с таким каркасом впишется
в уютный и тихий интерьер ресторана, кафе, или же хорошо будет смотреться возле обеденного стола в
гостиной. Хотим заметить, что эта модель впишется в любой стиль. Дело за Вашей фантазией и вдохновением!
ПРЕКРАСНАЯ ЭРГОНОМИКА. Стул с каркасом SHT-S37-1 обеспечит удобную посадку и комфортное времяпровождение.
ПРОЧНОСТЬ И ДОЛГОВЕЧНОСТЬ. Ножки каркаса выполнены из металлической трубы диаметром/толщиной 18/1.5
мм и прутка. Каркас не разборный и окрашен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</si>
  <si>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Каркас стула Sheffilton SHT-S38</t>
  </si>
  <si>
    <t>КС-38</t>
  </si>
  <si>
    <t>- Каркас выполнен в элегантной форме, имеет чёткие, плавные линии, прочный и устойчивый;
- Хорошо будет смотреться и дома, и в офисе, столовой, в кафе, баре или ресторане;
- Вы можете выбрать к этому каркасу любые сидения в разделе "Собери свой стул".
- Высота каркаса 430 мм;
- Расстояние между опорами 510 мм;
- Диаметр/толщина: 18/1,5 мм;
- НАДЕЖНЫЙ МЕТАЛЛИЧЕСКИЙ КАРКАС окрашен порошковой краской, устойчивой к механическому воздействию;
- Максимальная статическая нагрузка - 200 кг;
- Гарантия 2 года.</t>
  </si>
  <si>
    <t>Каркас стула Sheffilton  SHT-S39</t>
  </si>
  <si>
    <t>КС-39</t>
  </si>
  <si>
    <t>дуб атланта брашированный (+)</t>
  </si>
  <si>
    <t>-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t>
  </si>
  <si>
    <t>Каркас стула Sheffilton SHT-S39</t>
  </si>
  <si>
    <t>белый/патина серебро</t>
  </si>
  <si>
    <t>Каркас выполнен целиком из натурального дуба. Природный рисунок дерева делает каждый каркас уникальным.
Каждое изделие обработано технологией "браширование" - искусственное старение и покрыто серебряной
патиной, а завершающий белый верхний слой обеспечивает неповторимый внешний вид. Каркас отлично в
пишется в интерьер стиля "лофт".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t>
  </si>
  <si>
    <t>ТОВАР ДОСТУПЕН ТОЛЬКО ПОД ЗАКАЗ ОТ 20 ШТУК!
Каркас выполнен целиком из натурального дуба. Природный рисунок дерева делает каждый каркас уникальным.
Каждое изделие обработано технологией "браширование" - искусственное старение и покрыто прозрачным
лаком, что обеспечивает защиту от внешних воздействий. Каркас отлично в пишется в интерьер стиля "лофт".
- Подходит для использования в домашних и общественных помещениях, в кафе, баре, ресторане;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t>
  </si>
  <si>
    <t>-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
- Гарантия 2 года.</t>
  </si>
  <si>
    <t>дуб выбеленный (+)</t>
  </si>
  <si>
    <t>ТОВАР ДОСТУПЕН ТОЛЬКО ПОД ЗАКАЗ ОТ 20 ШТУК!
-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
- Деревянные детали могут немного отличаться по оттенку из-за неоднородности структуры дерева.
- Максимальная статическая нагрузка - 260 кг;
- Гарантия 2 года.</t>
  </si>
  <si>
    <t>- Каркас выполнен из МАССИВА ДРЕВЕСИНЫ с последующим тонированием и покрытием лаком;
- В модели предусмотрена металлическая крестовина, которая придает жесткость конструкции и продлевает
срок службы, толщина крестовины 1,5 мм., крепится с помощью саморезов и мебельного болта с нижней
стороны каркаса;
- Специальные подпятники обеспечивают защиту каркаса от царапин, тем самым увеличивая срок службы;
- Вы можете выбрать к этому каркасу любые сидения в разделе "Собери свой стул";
- Максимальная статическая нагрузка - 260 кг.</t>
  </si>
  <si>
    <t>серый (+)</t>
  </si>
  <si>
    <t>темный орех (+)</t>
  </si>
  <si>
    <t>Каркас стула Sheffilton SHT-S424</t>
  </si>
  <si>
    <t>КС-232</t>
  </si>
  <si>
    <t>Современные, универсальные опоры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имеют слой пассивационной пленки и окрашены порошковой краской, что защищает каркас
от внешней коррозии и механических повреждений;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</si>
  <si>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ваниль (цинк)</t>
  </si>
  <si>
    <t>Современные, универсальные опоры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оцинкованы и окрашены порошковой краской, стойкой к механическим повреждениям;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</si>
  <si>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Современные, универсальные опоры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имеют слой пассивационной пленки и окрашены порошковой краской, что защищает каркас
от внешней коррозии и механических повреждений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</si>
  <si>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коричневый муар (цинк)</t>
  </si>
  <si>
    <t>Современные, универсальные опоры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имеют слой пассивационной пленки и окрашены порошковой краской, что защищает каркас
от внешней коррозии и механических повреждений;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Гарантия 2 года.</t>
  </si>
  <si>
    <t>хром лак (цинк)</t>
  </si>
  <si>
    <t>черный муар (цинк)</t>
  </si>
  <si>
    <t>Каркас стула Sheffilton SHT-S424-С</t>
  </si>
  <si>
    <t>КС-235</t>
  </si>
  <si>
    <t>Опоры стульев имеют конусообразную форму с декоративной пленкой PVC "под дерево", что придает стулу
стильный и современный вид
Идеально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оцинкованы и окрашены порошковой краской, стойкой к механическим повреждениям;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</si>
  <si>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светлый орех (цинк)</t>
  </si>
  <si>
    <t>Опоры стульев имеют конусообразную форму с декоративной пленкой PVC "под дерево", что придает стулу
стильный и современный вид
Идеально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имеют слой пассивационной пленки и окрашены порошковой краской, что защищает каркас
от внешней коррозии и механических повреждений;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</si>
  <si>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темный орех (цинк)</t>
  </si>
  <si>
    <t>Опоры стульев имеют конусообразную форму, что придает стулу стильный и современный вид
Идеально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имеют слой пассивационной пленки и окрашены порошковой краской, что защищает каркас
от внешней коррозии и механических повреждений;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</si>
  <si>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Опоры стульев имеют конусообразную форму, что придает стулу стильный и современный вид
Идеально подходят для кафе, баров, фаст-фудов и отлично вписываются в домашнее пространство
Вместе с сидениями SHT-ST75, SHT-ST76, SHT-ST68 можно смоделировать любой стул в разделе сайта "СОБЕРИ
СВОЙ СТУЛ"
- Каркас выполнен из МЕТАЛЛа, что обеспечивает ПРОЧНОСТЬ изделия (диаметр/толщина - 28/0,8мм);
- НАДЕЖНЫЕ ОПОРЫ оцинкованы и окрашены порошковой краской, стойкой к механическим повреждениям;
- Широкий ЦВЕТОВОЙ и МОДЕЛЬНЫЙ ряд позволяет найти быстрое дизайнерское решение для любого интерьера.
УПАКОВКА И ГАРАНТИЯ
Изделие разборное. Легкая сборка.
Максимальная статическая нагрузка - 200 кг.
Гарантия 2 года.</t>
  </si>
  <si>
    <t>Каркас стула Sheffilton SHT-S45-1</t>
  </si>
  <si>
    <t>КС-154</t>
  </si>
  <si>
    <t>Каркас отличается консольной структурой, делающей его буквально плавающим в пространстве. Готовый
стул с таким каркасом впишется в строгий интерьер офиса или в мягкий и уютный интерьер ресторана,
кафе, дома. Прекрасная модель для ценителей современного стиля, которые знают, что лучшие моменты
в жизни – это когда люди встречаются.
СТИЛЬНЫЙ ДИЗАЙН. Оригинальную форму каркасу придает визуально парящая ножка-петля.
ПРЕКРАСНАЯ ЭРГОНОМИКА. Стул с каркасом SHT-S45-1 обеспечивает удобную посадку и комфортное времяпровождение.
ПРОЧНОСТЬ И ДОЛГОВЕЧНОСТЬ. Ножки каркаса выполнены из цельной согнутой металлической трубы. Каркас
не разборный и окрашен порошковой краской, устойчивой к механическому воздействию. Максимальная статическая
нагрузка на каркас – 260 кг.
СТАНЬТЕ ДИЗАЙНЕРОМ СВОЕГО СТУЛА! Именно под этот каркас Вы можете выбрать любую модель сидения Sheffilton
в нашем конструкторе.</t>
  </si>
  <si>
    <t>Каркас стула Sheffilton SHT-S48</t>
  </si>
  <si>
    <t>КС-48</t>
  </si>
  <si>
    <t>ДОСТУПЕН ПОД ЗАКАЗ ОТ 20 ШТУК!
- Текстура натурального дерева делает стул универсальным для любой комнаты;
- Его легко перемещать по комнате и удобно поставить под барную стойку;
- Подходящий вариант сидений: SHT-S36 в разных цветах;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НАДЕЖНЫЙ МЕТАЛЛИЧЕСКИЙ КАРКАС окрашен порошковой краской, устойчивой к механическому воздействию;
- Вы можете выбрать к этому каркасу любые сидения Sheffilton в разделе "Собери свой стул";
- Максимальная статическая нагрузка - 260 кг.;
- Изделие разборное.
- Гарантия 2 года.</t>
  </si>
  <si>
    <t>- Каркас легко перемещать по комнате и удобно поставить под барную стойку;
- Подходящий вариант сидений: SHT-S36 в разных цветах;
- Опорная поверхность ножек не скользит на напольных покрытиях, защищает пол от царапин;
- Устойчивые опоры выполнены из металлической трубы, диаметр/толщина - 20/1,5 мм.;
- НАДЕЖНЫЙ МЕТАЛЛИЧЕСКИЙ КАРКАС окрашен порошковой краской, устойчивой к механическому воздействию;
- Вы можете выбрать к этому каркасу любые сидения Sheffilton в разделе "Собери свой стул";
- Максимальная статическая нагрузка - 260 кг.;
- Изделие разборное.
- Гарантия 2 года.</t>
  </si>
  <si>
    <t>Каркас стула Sheffilton SHT-S62</t>
  </si>
  <si>
    <t>КС-62</t>
  </si>
  <si>
    <t>УСИЛЕННАЯ КОНСТРУКЦИЯ
Конструкция данного каркаса отличается особой жёсткостью и прочностью.
1. Для повышения эксплуатационных свойств изделия в каркасе используются метал.стяжки из прутка, диаметром
5 мм.
2. Для крепления сидения используются специальные фланцы, которые приварены к каркасу, что не ослабляет
трубу (в стандартных решениях для крепления сидения используются отверстия в трубе).
- Каркас выполнен из металлической трубы, диаметром 18 мм с толщиной стенки 1,5 мм.
- Гармонично смотрится в доме, офисах, дизайн-студиях, кафе, барах, ресторанах;
- Подходящие варианты сидений стульев: ST7;
- Высота каркаса: 430 мм;
- Расстояние между опорами: 440 мм;
- Каркас покрыт порошковой краской, устойчивой к механическому воздействию;
- Максимальная статическая нагрузка на стул 120 кг;
- Каркас поставляется в сварном виде.
- Упаковка: полиэтилен и картон;
- Гарантия 2 года.</t>
  </si>
  <si>
    <t>Каркас стула Sheffilton SHT-S63</t>
  </si>
  <si>
    <t>КС-63</t>
  </si>
  <si>
    <t>Минималистичный дизайн ставит стул на первые позиции в современных модных трендах. Натуральный дуб
покрытый защитным слоем лака, экологичен и практичен в использовании. Форма стула имеет изогнутые
края, что придет ему эстетичность и элегантность.
- Каркас выполнен из МАССИВА ДУБА с последующим тонированием и покрытием лаком;
- Стул с таким каркасом гармонично и со вкусом будет смотреться в доме, офисе, дизайн-студии, кафе,
баре или ресторане;
- Специальные подпятники обеспечивают защиту каркаса от царапин, тем самым увеличивая срок службы;
- Подходящий вариант сидения стула: ST63;
- Вы можете выбрать к этому каркасу любые сидения Sheffilton в разделе "Собери свой стул";
- Высота каркаса 870 мм.;
- Максимальная статическая нагрузка - 200 кг.</t>
  </si>
  <si>
    <t>Минималистичный дизайн ставит стул на первые позиции в современных модных трендах. Натуральный дуб
покрытый защитным слоем лака, экологичен и практичен в использовании. Форма стула имеет изогнутые
края, что придет ему эстетичность и элегантность.
- Каркас выполнен из МАССИВА БУКА с последующим тонированием и покрытием лаком;
- Стул с таким каркасом гармонично и со вкусом будет смотреться в доме, офисе, дизайн-студии, кафе,
баре или ресторане;
- Специальные подпятники обеспечивают защиту каркаса от царапин, тем самым увеличивая срок службы;
- Подходящий вариант сидения стула: ST63;
- Вы можете выбрать к этому каркасу любые сидения Sheffilton в разделе "Собери свой стул";
- Высота каркаса 870 мм.;
- Максимальная статическая нагрузка - 200 кг.</t>
  </si>
  <si>
    <t>Каркас стула Sheffilton SHT-S64</t>
  </si>
  <si>
    <t>КС-64</t>
  </si>
  <si>
    <t>УСИЛЕННАЯ КОНСТРУКЦИЯ КАРКАСА
Конструкция данного каркаса отличается особой жесткостью и прочностью.
1. Для повышения эксплуатационных свойств изделия в каркасе используются метал.стяжки из прутка, диаметром
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Каркас сварной из металла, диаметр/толщина трубы 18х1,5 мм.
Вы можете выбрать к этому каркасу любые сидения в разделе "Собери свой стул".
Расстояние между опорами: 440 мм.
Максимальная статическая нагрузка - 260 кг.</t>
  </si>
  <si>
    <t>Каркас стула Sheffilton SHT-S70</t>
  </si>
  <si>
    <t>КС-70</t>
  </si>
  <si>
    <t>Сочетание металла и дерева действительно создают желаемый эффект. Металл - верный спутник хай-тека,
дерево несет в себе благородство тепла и цвета.В современных дизайнерских проектах ему точно найдется
достойное место. Вы можете выбрать к этому каркасу любые сидения в разделе "Собери свой стул".
- Каркас выполнен из МАССИВА ДРЕВЕСИНЫ с последующим тонированием и покрытием лаком;
- Металлическая часть каркаса окрашена порошковой краской, устойчивой к механическому воздействию;
- Прочность и жесткость каркасу добавляют металлические пластины, толщиной 3 мм;
- Размеры одной деревянной опоры: 405х20х40 мм.;
- Максимальная статическая нагрузка - 200 кг.</t>
  </si>
  <si>
    <t>Каркас стула Sheffilton SHT-S71</t>
  </si>
  <si>
    <t>КС-71</t>
  </si>
  <si>
    <t>дерево дуб/металл</t>
  </si>
  <si>
    <t>В современных дизайнерских проектах каркасу SHT-S74 точно найдется достойное место! Каждое изделие
обработано технологией "браширование" - искусстенное старение и покрыто прозрачным лаком, что обеспечивает
защиту от внешних воздействий. Отлично впишется в интерьер стиля "лофт".
- Специальные подпятники обеспечивают защиту каркаса от царапин, тем самым увеличивая срок службы;
- Каркас из плотной древесины дуба, 30х30 мм. и перекладины 60х10 мм.;
- Выполнен из МАССИВА ДРЕВЕСИНЫ, браширован с последующим тонированием и покрытием лаком;
- Ширина передних опор 410 мм; задних 400 мм.;
- Вы можете выбрать к этому каркасу любые сидения в разделе "Собери свой стул";
- Максимальная статическая нагрузка - 200 кг.;</t>
  </si>
  <si>
    <t>Каркас стула Sheffilton SHT-S74</t>
  </si>
  <si>
    <t>КС-74</t>
  </si>
  <si>
    <t>черный зол.патина</t>
  </si>
  <si>
    <t>ТОВАР ДОСТУПЕН ТОЛЬКО ПОД ЗАКАЗ ОТ 20 ШТУК!
Образец отличного каркаса в стиле лофт. Металлические цепи придают истинно мужской характер.Эффектно
будет смотреться в интерьере паба, бара, кафе. Прекрасно сочетается с сидениями из настоящего дерева
SHT-ST9 и SHT-ST16.
- Каркас цельносварной металлический, с декоративной отделкой - патинирование "под золото";
- Вы можете выбрать к этому каркасу любые сидения Sheffilton в разделе "Собери свой стул";
- Максимальная статическая нагрузка - 260 кг.
- Изделие неразборное.</t>
  </si>
  <si>
    <t>Каркас стула Sheffilton SHT-S85</t>
  </si>
  <si>
    <t>КС-85</t>
  </si>
  <si>
    <t>Современный стиль каркаса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выполнен из полипропилена с армирующими добавками и выдерживает продолжительные нагрузки. Максимальная
статическая нагрузка 260 кг.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Каркас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</si>
  <si>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Каркас стула Sheffilton SHT-S85M</t>
  </si>
  <si>
    <t>КС-107</t>
  </si>
  <si>
    <t>Современный стиль каркаса позволяет добавить готовый стул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Каркасы ШТАБЕЛИРУЮТСЯ, что значительно облегчает их хранение.
ПРОЧНОСТЬ И ДОЛГОВЕЧНОСТЬ
Каркас выполнен из металла. НАДЕЖНЫЙ МЕТАЛЛИЧЕСКИЙ КАРКАС окрашен порошковой краской, устойчивой к
механическому воздействию. Максимальная статическая нагрузка на стул 200 кг.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Каркас SHT-S85 полностью разборный и имеет ПЛОСКУЮ УПАКОВКУ. 
СТАНЬТЕ ДИЗАЙНЕРОМ СВОЕГО СТУЛА!
Стул состоит из отдельных частей: спинка, сидение и каркас. Вы можете выбрать любую модель и цвет
стула в нашем конструкторе.</t>
  </si>
  <si>
    <t>Каркас стула Sheffilton SHT-S85РВ-1</t>
  </si>
  <si>
    <t>КС-120</t>
  </si>
  <si>
    <t>АДАПТИВНОЕ УЧЕБНОЕ МЕСТО ШКОЛЬНИКА ОТ SHEFFILTON
Большую часть времени дети школьного возраста проводят в положении сидя: в школе, дополнительные курсы,
дома за уроками, за компьютером. Основная задача - это организовать рабочее место и подобрать удобный
стул. Именно он должен правильно поддерживать положение спины, регулироваться по высоте, быть надежным
и устойчивым, чтобы ребенок чувствовал себя комфортно.
1. РЕГУЛИРУЕМЫЙ ПО ВЫСОТЕ
Функция регулировки по высоте обеспечивает комфортное положение и поможет в выработке правильной осанки.
Изменение высоты стула в соответствии с ростовой группой осуществляется путем регулировки нижней части
опор каркаса. Плавная регулировка позволяет использовать стул не только по утвержденным ростовым группам,
но и подстраивать под рост конкретного ребенка индивидуально.
2. РЕГУЛИРУЕМЫЕ ОПОРЫ
Функция регулировки по высоте обеспечивает комфортное положение и поможет в выработке правильной осанки.
Изменение высоты стула в соответствии с ростовой группой осуществляется путем регулировки нижней части
опор каркаса с помощью винтов. Каркас подходит для 4-й (средний рост 150 см), 5-й (средний рост 165
см) и 6-й (средний рост 180 см) ростовой группы.
3. ПРЕКРАСНАЯ ЭРГОНОМИКА
Спинка стула с поворотным механизмом подстраивается под каждое движение тела. Спинка поддерживает
позвоночник, снижает утомляемость и обеспечивает удобную посадку.
4. НАДЕЖНОСТЬ
Каркас стула выполнен из металла. Надежный металлический каркас окрашен порошковой краской, устойчивой
к механическому воздействию.
Сидение и спинка выполнены из полипропилена с армирующими добавками, что обеспечивает долговечность
и износостойкость.
5. БЕЗОПАСНОСТЬ
Все стулья проходят производственные испытания по проверке качества на прочность, безопасность и выдерживают
продолжительные нагрузки.
Максимальная статическая нагрузка на стул – 200кг.
6. ШТАБЕЛИРУЕТСЯ до 5 шт, что позволяет экономить пространство и удобно хранить во время уборки.
7. СПЕЦИАЛЬНЫЕ ПОДПЯТНИКИ каркаса обеспечивают защиту покрытия от царапин и повышают устойчивость
стула. К каркасу приложен комплект крепежа и схема сборки.
8. ВНЕШНИЙ ВИД
Перфорация спинки и сидения, металлический каркас придают легкость всей конструкции стула. А современный
стиль позволит создать позитивную учебную атмосферу.
9. СТАНЬТЕ ДИЗАЙНЕРОМ СВОЕГО СТУЛА!
Вы можете выбрать любой цвет сидения, спинки или каркаса в нашем конструкторе.</t>
  </si>
  <si>
    <t>Каркас стула Sheffilton SHT-S86</t>
  </si>
  <si>
    <t>KC-86</t>
  </si>
  <si>
    <t>Классическая форма каркаса SHT-S86 позволяет использовать готовый стул в любом интерьере дома или
офиса. Если Вы хотите использовать каркас в кафе с повышенной проходимостью, то возьмите аналогичную
усиленную модель SHT-S86 HD.
- Вы можете выбрать к этому каркасу сидения SHT-ST10, SHT-ST15 и SHT-ST29 в разделе "Собери свой стул";
- Штабелируется только с сидением из гнутой фанеры ST15, что упрощает хранение нескольких штук в одной
стопке;
- Выполнен из металла, диаметр/толщина трубы: 18х1,5 мм.;
- Каркас покрыт порошковой краской, устойчивой к механическому воздействию;
- Максимальная статическая нагрузка - 200 кг.;
- Гарантия 2 года.</t>
  </si>
  <si>
    <t>Каркас стула Sheffilton SHT-S86 HD</t>
  </si>
  <si>
    <t>КС-236</t>
  </si>
  <si>
    <t>Классическая форма УСИЛЕННОГО КАРКАСА SHT-S86 HD позволяет активно использовать готовый стул в любом
интерьере кафе с большой проходимостью.
1. Металлический каркас, диаметром и толщиной 20х1,5 мм (на обычной модели стула используется каркас
18х1,5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4. Эксплуатировать в сухом помещении или на крытых летних верандах. Не использовать на улице!
Каркас SHT-S86 HD комплектовать ТОЛЬКО с сидениями SHT-ST10, SHT-ST15.
Штабелируется только с сидением из гнутой фанеры ST15, что упрощает хранение нескольких штук в одной
стопке.
Максимальная статическая нагрузка - 260 кг.
Гарантия 2 года.</t>
  </si>
  <si>
    <t>Классическая форма УСИЛЕННОГО КАРКАСА SHT-S86 HD позволяет активно использовать готовый стул в любом
интерьере кафе с большой проходимостью.
1. Металлический каркас, диаметром и толщиной 20х1,5 мм (на обычной модели стула используется каркас
18х1,5 мм)
2. Сиденье крепится к каркасу при помощи приваренных фланцев, при этом целостность трубы не нарушается
и возрастает прочность конструкции (на обычной модели стула сиденье крепится к каркасу через отверстие
в трубе).
3. НАДЕЖНЫЕ МЕТАЛЛИЧЕСКИЕ ОПОРЫ окрашены порошковой краской, устойчивой к механическому воздействию.
4. Эксплуатировать в сухом помещении или на крытых летних верандах. Не использовать на улице!
Каркас SHT-S86 HD комплектовать ТОЛЬКО с сидениями SHT-ST10 и SHT-ST15.
Штабелируется только с сидением из гнутой фанеры ST15, что упрощает хранение нескольких штук в одной
стопке.
Максимальная статическая нагрузка - 260 кг.
Гарантия 2 года.</t>
  </si>
  <si>
    <t>Каркас стула полубарный Sheffilton SHT-S92</t>
  </si>
  <si>
    <t>КС-92</t>
  </si>
  <si>
    <t>Каркас стула Sheffilton SHT-S95-1</t>
  </si>
  <si>
    <t>КС-143</t>
  </si>
  <si>
    <t>Эргономичный каркас с конусообразными ножками смотрится изящно и аккуратно. Готовый стул с таким каркасом
впишется в мягкий, уютный и тихий интерьер ресторана, кафе, или же хорошо будет смотреться возле обеденного
стола в гостиной. Хотим заметить, что эта модель впишется в любой стиль. Дело за Вашей фантазией и
вдохновением!
СТИЛЬНЫЙ ДИЗАЙН. Оригинальную нотку каркасу придают конусообразные ножки.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150 кг.
СТАНЬТЕ ДИЗАЙНЕРОМ СВОЕГО СТУЛА! Именно под этот каркас Вы можете выбрать любую модель сидения Sheffilton
в нашем конструкторе.</t>
  </si>
  <si>
    <t>Эргономичный каркас с конусообразными ножками смотрится изящно и аккуратно. Готовый стул с таким каркасом
впишется в мягкий, уютный и тихий интерьер ресторана, кафе, или же хорошо будет смотреться возле обеденного
стола в гостиной. Хотим заметить, что эта модель впишется в любой стиль. Дело за Вашей фантазией и
вдохновением!
СТИЛЬНЫЙ ДИЗАЙН. Оригинальную нотку каркасу придают конусообразные ножки с золотым напылением в нижней
части каркаса. Четкое разделение черного и золотого прекрасно гармонируют с мягкими сидениями Sheffilton
и основанием для стола в аналогичном стиле SHT-TU14 черный муар/золото.
ПРЕКРАСНАЯ ЭРГОНОМИКА. Стул с каркасом SHT-S95-1 обеспечивает удобную посадку и комфортное времяпровождение.
ПРОЧНОСТЬ И ДОЛГОВЕЧНОСТЬ. Ножки каркаса выполнены из металлической трубы диаметром 38 мм. Верхняя
крестовина каркаса с приварными фланцами выполнена из квадратной трубы 15х15 мм. Каркас не разборный
и окрашен порошковой краской, устойчивой к механическому воздействию. Максимальная статическая нагрузка
на каркас – 200 кг.
СТАНЬТЕ ДИЗАЙНЕРОМ СВОЕГО СТУЛА! Именно под этот каркас Вы можете выбрать любую модель сидения Sheffilton
в нашем конструкторе.</t>
  </si>
  <si>
    <t>Каркас стула Sheffilton SHT-S98</t>
  </si>
  <si>
    <t>КС-98</t>
  </si>
  <si>
    <t>Каркас стула с визуально тонкими линиями обладает огромным потенциалом в бытовом применении. В сочетании
с любым пластиковым сидением даст "космический эффект" вашему интерьеру! Отлично подойдет под домашние
дизайны, а так же офисы, дизайн-студии, кафе, бары и рестораны.
- Вы можете выбрать к этому каркасу любые сидения в разделе "Собери свой стул", кроме стидения из
гнутой фанеры SHT-ST10!!!
- НАДЕЖНЫЙ МЕТАЛЛИЧЕСКИЙ КАРКАС окрашен порошковой краской, устойчивой к механическому воздействию;
- Ножки каркаса дополнены САМОРЕГУЛИРУЮЩИМИСЯ пластиковыми вставками для максимальной устойчивости
стула на различных поверхностях;
- Уникальный дизайн ручек каркаса позволяет "ПОДВЕСИТЬ" ГОТОВЫЙ СТУЛ на столешницу, что обеспечивает
легкую и быструю уборку;
- ПОДЛОКТНИКИ ЗАЩИЩЕНЫ прорезиненной пластиковой накладкой для дополнительного тактильного комфорта;
- Максимальная статическая нагрузка - 200 кг.</t>
  </si>
  <si>
    <t>Каркас стула полубарного Sheffilton SHT-S29-1</t>
  </si>
  <si>
    <t>КС-29-1</t>
  </si>
  <si>
    <t>- Каркас выполнен в элегантной форме, имеет чёткие, плавные линии, прочный и устойчивый;
- Хорошо будет смотреться и дома, и в офисе, столовой, в кафе, баре или ресторане;
- Вы можете выбрать к этому каркасу любые сидения в разделе "Собери свой стул";
- НАДЕЖНЫЙ МЕТАЛЛИЧЕСКИЙ КАРКАС окрашен порошковой краской, устойчивой к механическому воздействию;
- Высота каркаса 640 мм;
- Диаметр/толщина каркаса: 20/1,5 мм;
- Каркас покрыт порошковой краской, устойчивой к механическому воздействию;
- Максимальная статическая нагрузка на стул 260 кг.</t>
  </si>
  <si>
    <t>Каркас стула полубарного Sheffilton SHT-S65-1</t>
  </si>
  <si>
    <t>КС-65-1</t>
  </si>
  <si>
    <t>Гармоничное сочетание красоты и комфорта в полубарном каркасе из натурального массива. Готовый стул
с деревянными ножками без сомнения украсит бар, ресторан, кафе, дизайн-студию, офис или стильную кухню
в квартире или загородном доме.
- Вы можете выбрать к этому каркасу любые сидения в разделе "Собери свой стул".
- Полубарный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Толщина каркаса 26 мм;
- Высота каркаса 645 мм;
- Расстояние от пола до подножки 210 мм;
- Максимальная статическая нагрузка - 260 кг;
- Гарантия 2 года.</t>
  </si>
  <si>
    <t>Гармоничное сочетание красоты и комфорта в полубарном каркасе из натурального массива. Готовый стул
с деревянными ножками без сомнения украсит бар, ресторан, кафе, дизайн-студию, офис или стильную кухню
в квартире или загородном доме.
- Вы можете выбрать к этому каркасу любые сидения в разделе "Собери свой стул".
- Полубарный каркас выполнен из МАССИВА ДРЕВЕСИНЫ с последующим тонированием и покрытием лаком;
- Специальные подпятники обеспечивают защиту каркаса от царапин, тем самым увеличивая срок службы;
- Толщина каркаса 26 мм;
- Высота каркаса 635 мм;
- Расстояние от пола до подножки 210 мм;
- Максимальная статическая нагрузка - 260 кг;
- Гарантия 2 года.</t>
  </si>
  <si>
    <t>Каркас стула полубарного Sheffilton SHT-S66-1</t>
  </si>
  <si>
    <t>КС-66-1</t>
  </si>
  <si>
    <t>Каркас табурета SHT-S36 Sheffilton</t>
  </si>
  <si>
    <t>КТ-36</t>
  </si>
  <si>
    <t>- НАДЕЖНЫЙ МЕТАЛЛИЧЕСКИЙ КАРКАС окрашен порошковой краской, устойчивой к механическому воздействию;
- Диаметр/толщина опор - 20/0,8 мм;
- Поверхность ножек не скользит на напольных покрытиях, защищает пол от царапин;
- Стул с такими опорами - отличная альтернатива массивным и громозким креслам и диванам;
- Он хорошо сочетается с любой мебелью. Широкий спектр цветов позволяет создавать интересные цветовые
сочетания;
- Подходящий вариант сидения: SHT-S36;
- Компакты и надежны, занимают мало места;
- Отличное сочетание российского качества, европейского дизайна и очень доступной цены;
- Вы можете выбрать к этому каркасу любые сидения Sheffilton в разделе "Собери свой стул";
- Максимальная статическая нагрузка - 260 кг.;
- Гарантия 2 года.</t>
  </si>
  <si>
    <t>Переходник Sheffilton SHT-A1</t>
  </si>
  <si>
    <t>П-001</t>
  </si>
  <si>
    <t>Данный комплект позволяет собрать скомбинированный журнальный столик Sheffilton из столешницы и каркаса.
В состав комплекта входят:
- два переходника, которые устанавливаются на заниженную часть каркаса;
- два типа крепежа, которые позволяют прикрутить каркас с переходниками к столешнице.
Внимательно читайте схему сборки и рекомендации, что к определенному типу каркаса подходит определенный
тип крепежа!</t>
  </si>
  <si>
    <t>Полка для обуви Sheffilton SHT-SR3-P</t>
  </si>
  <si>
    <t>ПЛТ-166</t>
  </si>
  <si>
    <t>коричневый/венге матовый</t>
  </si>
  <si>
    <t>- Хорошее сочетание функциональности и уникальности дизайна.
- Текстура натурального дерева делает её универсальной для любой комнаты.
- Можно использовать в качестве обувной полки, можно для хранения различных вещей: коробок, сумок,
рюкзаков, корзин, шарфов, шляп, шапок и даже детских игрушек.
- Полка выполнена из толстостенной пластиковой трубы 16х3 мм. с текстурой "под дерево".
- Расстояние между полками - 200 мм.
- Ширина одной полки позволяет свободно вместить до 3 пар обуви.
- Лёгкая сборка за одну минуту без единого винта!
- Максимальная распределенная статическая нагрузка на одну полку 4 кг.
- Изделие полностью разборное, что обеспечивает простоту сборки и хранения.
- Гарантия 2 года.</t>
  </si>
  <si>
    <t>коричневый/дуб светлый глянц.</t>
  </si>
  <si>
    <t>серый/темно-серый</t>
  </si>
  <si>
    <t>Каждая вещь на своём месте!
Современно. Удобно. Практично. Недорого.
- Можно использовать в качестве обувной полки, можно для хранения различных вещей: коробок, сумок,
рюкзаков, корзин, шарфов, шляп, шапок и даже детских игрушек;
- Универсальная новинка для кухни, веранды, детской, гардеробной, прихожей, для совершенно любой комнаты
дома;
- С модульными системами вы быстро приведёте дом в порядок; используйте эту или другие полки и стеллажи
из этой серии на сайте;
- Полка выполнена из толстостенной пластиковой трубы 16х3 мм;
- Расстояние между полками - 200 мм;
- Ширина одной полки позволяет свободно вместить до 3 пар обуви;
- Лёгкая сборка за одну минуту без единого винта!
- Максимальная распределенная статическая нагрузка на одну полку 4 кг;
- Изделие полностью разборное, что обеспечивает простоту сборки и хранения.
- Гарантия 2 года.</t>
  </si>
  <si>
    <t>Полка для обуви Sheffilton SHT-SR5-P</t>
  </si>
  <si>
    <t>ПЛТ-163</t>
  </si>
  <si>
    <t>Каждая вещь на своём месте!
Современно. Удобно. Практично. Недорого.
- Можно использовать в качестве обувной полки, можно для хранения различных вещей: коробок, сумок,
рюкзаков, корзин, шарфов, шляп, шапок и даже детских игрушек;
- Универсальная новинка для кухни, веранды, детской, гардеробной, прихожей, для совершенно любой комнаты
дома;
- С модульными системами вы быстро приведёте дом в порядок; используйте эту или другие полки и стеллажи
из этой серии на сайте;
- Полка выполнена из толстостенной пластиковой трубы 16х3 мм; металлическая сетка, диаметром 3 мм;
- Расстояние между полками - 200 мм;
- Ширина одной полки позволяет свободно вместить до 3 пар обуви;
- Лёгкая сборка за одну минуту без единого винта!
- Максимальная распределенная статическая нагрузка на одну полку 4 кг;
- Изделие полностью разборное, что обеспечивает простоту сборки и хранения.
- Гарантия 2 года.</t>
  </si>
  <si>
    <t>Полка для обуви Sheffilton SHT-SR6</t>
  </si>
  <si>
    <t>ПЛТ-168</t>
  </si>
  <si>
    <t>Каждая вещь на своём месте!
Современно. Удобно. Практично. Недорого.
- Жёсткая устойчивая конструкция;
- Можно использовать в качестве обувной полки, можно для хранения различных вещей: коробок, сумок,
рюкзаков, корзин, шарфов, шляп, шапок и даже детских игрушек;
- Универсальная новинка для кухни, веранды, детской, гардеробной, прихожей, для совершенно любой комнаты
дома;
- С модульными системами вы быстро приведёте дом в порядок; используйте эту или другие полки и стеллажи
из этой серии на сайте;
- Полка выполнена из металла 16х0,8 мм;
- Расстояние между полками - 200 мм;
- Ширина одной полки позволяет свободно вместить до 3 пар обуви;
- Лёгкая сборка за одну минуту без единого винта!
- Максимальная распределенная статическая нагрузка на одну полку 5 кг;
- Изделие полностью разборное, что обеспечивает простоту сборки и хранения.
- Гарантия 2 года.</t>
  </si>
  <si>
    <t>Полка для обуви Sheffilton SHT-SR6-P</t>
  </si>
  <si>
    <t>ПЛТ-164</t>
  </si>
  <si>
    <t>коричневый/орех глянц.</t>
  </si>
  <si>
    <t>- Хорошее сочетание функциональности и уникальности дизайна.
- Текстура натурального дерева делает её универсальной для любой комнаты.
- Можно использовать в качестве обувной полки, можно для хранения различных вещей: коробок, сумок,
рюкзаков, корзин, шарфов, шляп, шапок и даже детских игрушек.
- Полка выполнена из толстостенной пластиковой трубы 16х3 мм. с текстурой "под дерево".
- Расстояние между полками - 200 мм.
- Ширина одной полки позволяет свободно вместить до 3 пар обуви.
- Лёгкая сборка за одну минуту без единого винта!
- Максимальная распределенная статическая нагрузка на одну полку 5 кг.
- Изделие полностью разборное, что обеспечивает простоту сборки и хранения.
- Гарантия 2 года.</t>
  </si>
  <si>
    <t>Полка для обуви Sheffilton SHT-SR6-P/SR3-P</t>
  </si>
  <si>
    <t>ПЛТ-180</t>
  </si>
  <si>
    <t>Полка для обуви Sheffilton SHT-SR8-P</t>
  </si>
  <si>
    <t>ПЛТ-174</t>
  </si>
  <si>
    <t>Полка для обуви Sheffilton Альберо SHT-SR9</t>
  </si>
  <si>
    <t>ПЛТ-175</t>
  </si>
  <si>
    <t>беленый/алюм.металлик (+)</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</si>
  <si>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полке вы сможете разместить обувь, тапочки или сумки.
Комбинируется с другими товарами серии Альберо.
ТЕХНИЧЕСКИЕ ДАННЫЕ:
Выполнена из массива древесины, брус 34х24 мм., и металла, труба 12х0,8 мм.
Расстояние между полками: 140 мм.
Расстояние от пола до нижней полки: 100 мм.
Ширина одной полки позволяет свободно вместить до 3 пар обуви.
Полка штабелируется, что позволяет экономить место и хранить больше обуви.
Максимальная распределенная статическая нагрузка на одну полку - 10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
Гарантия - 2 года.</t>
  </si>
  <si>
    <t>венге/алюм.металлик (+)</t>
  </si>
  <si>
    <t>прозрачный лак/алюм.металлик</t>
  </si>
  <si>
    <t>Полка для обуви Sheffilton Альберо SHT-SR9-4</t>
  </si>
  <si>
    <t>ПЛТ-182</t>
  </si>
  <si>
    <t>венге/алюм.металлик</t>
  </si>
  <si>
    <t>Все товары серии Альберо выполнены из массива дерева с натуральным узором, которые создают уютную
атмосферу даже в самой маленькой прихожей дома, офиса или заведения. Прямые линии и четкие формы изделий
прекрасно будут сочетаться в интерьерах самых разных стилей.
Все необходимое всегда будет под рукой. На полке вы сможете разместить обувь, тапочки или сумки.
Комбинируется с другими товарами серии Альберо.
ТЕХНИЧЕСКИЕ ДАННЫЕ:
Полка для обуви SHT-SR9-4, это проштабелированная полка для обуви Альберо SHT-SR9! Соединительный
переходник в комплекте каждой полки.
Выполнена из массива древесины, брус 34х24 мм., и металла, труба 12х0,8 мм.
Расстояние между полками: 140 мм.
Расстояние от пола до нижней полки: 100 мм.
Ширина одной полки позволяет свободно вместить до 3 пар обуви.
Полка штабелируется, что позволяет экономить место и хранить больше обуви.
Максимальная распределенная статическая нагрузка на одну полку - 10 кг.
Деревянные детали могут немного отличаться по оттенку из-за неоднородности структуры дерева.
УПАКОВКА И ГАРАНТИЯ
Изделие полностью разборное, что обеспечивает простоту сборки и хранения.
Гарантия - 2 года.</t>
  </si>
  <si>
    <t>Рамка для столешницы Sheffilton SHT-FR17 70/70</t>
  </si>
  <si>
    <t>Р-1</t>
  </si>
  <si>
    <t>Декоративная и креативная рамка для столешницы внесет в интерьер свежести и гармонии. Вы можете скомбинировать
свое уникальное решение в конструкторе стула и стола!
Длина готовой столешницы 700 мм.
Толщина столешницы 25 мм.
Рамка выполнена из массива бука.</t>
  </si>
  <si>
    <t>масло прозрачное</t>
  </si>
  <si>
    <t>Столешница Sheffilton SHT-TT 100/120 ДУБ/OSB</t>
  </si>
  <si>
    <t>ТТ10</t>
  </si>
  <si>
    <t>дуб браш.коричневый/янтарный</t>
  </si>
  <si>
    <t>ДУБ/OSB/эпоксидная смола</t>
  </si>
  <si>
    <t>Хотите задать три желания? Уникальная столешница с золотой рыбкой обязатель их исполнит!
Столешница выполнена целиком из натурального дуба со вставкой из OSB, латунной чеканки и заливкой
из эпоксидной смолы. Ручная работа! Под заказ мы можем исполнить абсолютно любой каприз, логотип или
рисунок. Стол с такой столешницей будет уникален и долговечен, а красивая текстура кромки из натурально
дуба придает превосходный внешний вид. Природный рисунок дерева делает каждую столешницу уникальной.
Каждое изделие покрыто прозрачным лаком, что обеспечивает защиту от внешних воздействий. Столешница
отлично в пишется в интерьер стиля "лофт".
Основа столешницы - OSB - плита, толщиной 18 мм.
Столешница покрыта защитным бесцветным лаком.
Рельефное обрамление выполнено из дуба, толщиной 50 мм.
Устойчивость к впитыванию загрязнений, конденсата, жира.
Легкий и простой уход.</t>
  </si>
  <si>
    <t>ДУБ/OSB 50 мм</t>
  </si>
  <si>
    <t>ТОВАР ДОСТУПЕН ПОД ЗАКАЗ ОТ 5 ШТ.
С такой столешницей каждый стол будет уникальным - благодаря естественному рисунку натуральной древесины
и вариативности ее оттенков. Отлично будет сочетаться с подстольем SHT-TU19.
Подходит для использования в домашних и общественных помещениях, в кафе, баре, ресторане.
Основа столешницы - OSB - плита.
Столешница покрыта защитным бесцветным лаком.
Рельефное обрамление выполнено из дуба брашированного, толщиной 50 мм.
Устойчивость к впитыванию загрязнений, конденсата, жира.
Легкий и простой уход.
Гарантия 2 года.</t>
  </si>
  <si>
    <t>Столешница Sheffilton SHT-TT10 ДУБ/слэб</t>
  </si>
  <si>
    <t>ТТ17</t>
  </si>
  <si>
    <t>натуральное дерево</t>
  </si>
  <si>
    <t>Столешница выполнена целиком из натурального дуба. По краям сохранена и обработана лаком уникальная
текстура коры. Стол с такой столешницей будет долговечен, а красивая текстура натурально дуба придает
превосходный внешний вид! Природный рисунок дерева подчеркнут лаком и делает каждую столешницу еще
уникальней! Столешница отлично в пишется в интерьер ресторана, кафе или бара.
Устойчивость к впитыванию загрязнений, конденсата, жира.
Легкий и простой уход.
Выбирайте основание для столешницы в "конструкторе стола"</t>
  </si>
  <si>
    <t>Столешница Sheffilton SHT-TT11 70/70 ДУБ/OSB</t>
  </si>
  <si>
    <t>ТТ32</t>
  </si>
  <si>
    <t>Столешница выполнена целиком из натурального дуба. Такой стол будет долговечен, а красивая текстура
натурально дуба придает превосходный внешний вид! Природный рисунок дерева делает каждую столешницу
уникальной. Каждое изделие покрыто прозрачным лаком, что обеспечивает защиту от внешних воздействий.
Столешница отлично в пишется в интерьер стиля "лофт".
С такой столешницей каждый стол будет уникальным - благодаря естественному рисунку натуральной древесины
и вариативности ее оттенков.
К данной столешнице подходит абсолютно любое подстолье!
Основа столешницы - OSB - плита, толщиной 18 мм.
Столешница покрыта защитным бесцветным лаком.
Рельефное обрамление выполнено из дуба, толщиной 50 мм.
Устойчивость к впитыванию загрязнений, конденсата, жира.
Легкий и простой уход.</t>
  </si>
  <si>
    <t>Столешница Sheffilton SHT-TT 120-80 МДФ овальная</t>
  </si>
  <si>
    <t>ТТ71</t>
  </si>
  <si>
    <t>белоснежная шагрень (+)</t>
  </si>
  <si>
    <t>МДФ 22мм</t>
  </si>
  <si>
    <t>Стол со столешницей из МДФ будет гармонично и со вкусом смотреться в доме, офисе, дизайн-студии, кафе,
баре, ресторане.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</si>
  <si>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SHT-TT30 83/83</t>
  </si>
  <si>
    <t>TT73</t>
  </si>
  <si>
    <t>ДИЗАЙН В КАЖДОЙ ДЕТАЛИ!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ПЛОСКАЯ УПАКОВКА
Столешница не разборная и имеет плоскую упаковку.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
СТАНЬТЕ ДИЗАЙНЕРОМ СВОЕГО СТОЛА!! Вы можете выбрать любую модель и цвет стола в нашем конструкторе.
ПОД ЗАКАЗ
Доступны любые цветовые сочетания от 50 штук.</t>
  </si>
  <si>
    <t>ТТ73</t>
  </si>
  <si>
    <t>ТОВАР ДОСТУПЕН ПОД ЗАКАЗ ОТ 50 ШТУК!
ДИЗАЙН В КАЖДОЙ ДЕТАЛИ!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ПЛОСКАЯ УПАКОВКА
Столешница не разборная и имеет плоскую упаковку.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
СТАНЬТЕ ДИЗАЙНЕРОМ СВОЕГО СТОЛА!! Вы можете выбрать любую модель и цвет стола в нашем конструкторе.
ПОД ЗАКАЗ
Доступны любые цветовые сочетания от 50 штук.</t>
  </si>
  <si>
    <t>Столешница Sheffilton SHT-TT5 80/80 ДУБ</t>
  </si>
  <si>
    <t>ТТ18</t>
  </si>
  <si>
    <t>Столешница выполнена целиком из натурального дуба. Брашированные, обработанные бруски расположены
через промежутки между собой. Необычный эффект "прозрачности" несомненно развлечет посетителей и решит
проблему с крошками на столе. Готовый стол будет долговечен так как столешница почти не подвержена
механическим повреждениям. Природный рисунок дерева подчеркнут "брашированием" и делает каждую столешницу
еще уникальней! Столешница отлично в пишется в ресторан, кафе или бар стиля лофт.
Устойчивость к впитыванию загрязнений, конденсата, жира.
Легкий и простой уход.
Выбирайте основание к столешнице в "конструкторе стола".
Обращаем внимание, что столешница не подходит к отдельным опорам Sheffilton: SHT-TU10, SHT-TU12, SHT-TU14,
SHT-TU15, SHT-TU16, SHT-TU17</t>
  </si>
  <si>
    <t>Столешница Sheffilton SHT-TT 70/70 МДФ</t>
  </si>
  <si>
    <t>ТТ16</t>
  </si>
  <si>
    <t>акация светлая поперечная (+)</t>
  </si>
  <si>
    <t>Стол со столешницей из МДФ будет гармонично и со вкусом смотреться в доме, офисе, дизайн-студии, кафе,
баре, ресторане.
Длина/ширина столешницы 700/700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</si>
  <si>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 70 МДФ</t>
  </si>
  <si>
    <t>ТТ26</t>
  </si>
  <si>
    <t>орех светлый (+)</t>
  </si>
  <si>
    <t>Стол со столешницей из МДФ будет гармонично и со вкусом смотреться в доме, офисе, дизайн-студии, кафе,
баре, ресторане.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</si>
  <si>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 76 металл</t>
  </si>
  <si>
    <t>ТТ-4</t>
  </si>
  <si>
    <t>Столешница выполнена из металла покрыта порошковой краской, что обеспечивает защиту от механических
повреждений. Готовый стол будет гармонично и со вкусом смотреться в доме, офисе, дизайн-студии, кафе,
баре, ресторане.
Диаметр/толщина столешницы 760х16 мм.
Крепление столешницы: использовать винт самонарезающий с прессшайбой 4,2х16 мм.
Для возможности крепления столешницы к основаниям разных типов и размеров предусмотрена фанера с обратной
стороны, толщиной 10 мм, покрытая бесцветным лаком, что защищает ее от воздействия окружающей среды.
Максимальная статическая нагрузка на столешницу - 50 кг.
Вы можете выбрать к этой столешнице любое основание для стола Sheffilton в разделе "Собери свой стол".
Гарантия 2 года.</t>
  </si>
  <si>
    <t>СТОЛЕШНИЦА ДОСТУПНА ТОЛЬКО ПОД ЗАКАЗ ОТ 20 ШТУК!
Выполнена из металла, покрыта порошковой краской, что обеспечивает защиту от механических повреждений.
Готовый стол будет гармонично и со вкусом смотреться в доме, офисе, дизайн-студии, кафе, баре, ресторане.
Диаметр/толщина столешницы 760х16 мм.
Долгий срок эксплуатации, устойчивость к влаге, стойкость к механическим повреждениям.
Крепление столешницы: использовать винт самонарезающий с прессшайбой 4,2х16 мм.
Для возможности крепления столешницы к основаниям разных типов и размеров предусмотрена фанера с обратной
стороны, толщиной 10 мм, покрытая бесцветным лаком, что защищает ее от воздействия окружающей среды.
Максимальная статическая нагрузка на столешницу - 50 кг.
Вы можете выбрать к этой столешнице любое основание для стола Sheffilton в разделе "Собери свой стол".
Гарантия 2 года.</t>
  </si>
  <si>
    <t>Столешница Sheffilton SHT-TT 80/80 ДУБ/смола</t>
  </si>
  <si>
    <t>дуб брашированный / эпоксидная смола</t>
  </si>
  <si>
    <t>Столешница выполнена целиком из натурального дуба. Разноцветные вставки из окрашенного дуба залитые
эпоксидной смолой украсят любое помещение и внесут уникальности в интерьер. Вы можете заказать абсолютно
любой рисунок под заливку! Такой стол будет долговечен поверхность из смолы почти не подвержена механическим
повреждениям, а красивая текстура натурально дуба придает превосходный внешний вид! Природный рисунок
дерева подчеркнут "брашированием" и делает каждую столешницу еще уникальней! Столешница отлично в
пишется в ресторан, кафе или бар.
Рельефное обрамление выполнено из дуба, толщиной 50 мм.
Устойчивость к впитыванию загрязнений, конденсата, жира.
Легкий и простой уход.</t>
  </si>
  <si>
    <t>Столешница Sheffilton SHT-TT 80/80 МДФ</t>
  </si>
  <si>
    <t>ТТ2</t>
  </si>
  <si>
    <t>палисандр 43101 (+)</t>
  </si>
  <si>
    <t>Стол со столешницей из МДФ будет гармонично и со вкусом смотреться в доме, офисе, дизайн-студии, кафе,
баре, ресторане.
Длина/ширина столешницы 800/800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</si>
  <si>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 80 ДУБ/OSB</t>
  </si>
  <si>
    <t>TT5</t>
  </si>
  <si>
    <t>С такой столешницей каждый стол будет уникальным - благодаря естественному рисунку натуральной древесины
и вариативности ее оттенков.
Подходит для использования в домашних и общественных помещениях, в кафе, баре, ресторане.
Основа столешницы - OSB - плита, толщиной 18 мм.
Столешница покрыта защитным бесцветным лаком.
Рельефное обрамление выполнено из дуба брашированного, толщиной 50 мм.
Устойчивость к впитыванию загрязнений, конденсата, жира.
Легкий и простой уход.
Гарантия 2 года.</t>
  </si>
  <si>
    <t>Столешница Sheffilton SHT-TT 80 МДФ</t>
  </si>
  <si>
    <t>ТТ1</t>
  </si>
  <si>
    <t>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</si>
  <si>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бетон светлый (+)</t>
  </si>
  <si>
    <t>Стол с красивой столешницей из МДФ под натуральный бетон будет гармонично и со вкусом смотреться в
доме, офисе, дизайн-студии, кафе, баре, ресторане.
Диаметр столешницы 800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</si>
  <si>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дуб сонома светлый (+)</t>
  </si>
  <si>
    <t>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</si>
  <si>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дуб тортуга (+)</t>
  </si>
  <si>
    <t>лофт медь</t>
  </si>
  <si>
    <t>Стол со столешницей из МДФ будет гармонично и со вкусом смотреться в доме, офисе, дизайн-студии, кафе,
баре, ресторане.
Диаметр столешницы 800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металла.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</si>
  <si>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палисандр (+)</t>
  </si>
  <si>
    <t>Столешница Sheffilton SHT-TT 90 МДФ</t>
  </si>
  <si>
    <t>ТТ84</t>
  </si>
  <si>
    <t>дуб верона белый</t>
  </si>
  <si>
    <t>Стол с красивой столешницей из МДФ под натуральное дерево будет гармонично и со вкусом смотреться
в доме, офисе, дизайн-студии, кафе, баре, ресторане.
Диаметр столешницы 900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</si>
  <si>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мрамор премиум</t>
  </si>
  <si>
    <t>Стол с красивой столешницей из МДФ под натуральный мрамор будет гармонично и со вкусом смотреться
в доме, офисе, дизайн-студии, кафе, баре, ресторане.
Диаметр столешницы 900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</si>
  <si>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мрамор премиум светлый</t>
  </si>
  <si>
    <t>Столешница Sheffilton SHT-ТT1 140-80 МДФ овальная</t>
  </si>
  <si>
    <t>TT93</t>
  </si>
  <si>
    <t>Стол с овальной столешницей из МДФ под натуральный мрамор будет гармонично и со вкусом смотреться
в доме, офисе, дизайн-студии, кафе, баре, ресторане.
Размер столешницы 1400 на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</si>
  <si>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SHT-ТT 120-80 ДУБ овальная</t>
  </si>
  <si>
    <t>TT77</t>
  </si>
  <si>
    <t>массив дуба 50</t>
  </si>
  <si>
    <t>Столешница ПОД ЗАКАЗ
Столешница выполнена целиком из натурального дуба. Такой стол будет долговечен, а красивая текстура
натурально дуба придает превосходный внешний вид! Природный рисунок дерева делает каждую столешницу
уникальной.Каждое изделие обработано технологией "браширование" - искусственное старение и покрыто
прозрачным лаком, что обеспечивает защиту от внешних воздействий. Столешница отлично в пишется в интерьер
стиля "лофт".
- Подходит для использования в домашних и общественных помещениях, в кафе, баре, ресторане;
- Выполнена из массива дуба толщиной 25 мм.;
- Кромка из массива дуба толщиной 50 мм.;
- Диаметр столешницы 1200 мм.;
- Крепление столешницы: использовать винт самонарезающий с прессшайбой 4,2х19 мм.;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
- Гарантия 2 года.</t>
  </si>
  <si>
    <t>Столешница Sheffilton SHT-ТT 120/80 МДФ</t>
  </si>
  <si>
    <t>ТТ3</t>
  </si>
  <si>
    <t>бетон голубой (+)</t>
  </si>
  <si>
    <t>Стол с красивой столешницей из МДФ под натуральный бетон будет гармонично и со вкусом смотреться в
доме, офисе, дизайн-студии, кафе, баре, ресторане.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</si>
  <si>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 со столешницей из МДФ будет гармонично и со вкусом смотреться в доме, офисе, дизайн-студии, кафе,
баре, ресторане.
Длина/ширина столешницы 1200/800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</si>
  <si>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SHT-ТT 120-80 МДФ овальная</t>
  </si>
  <si>
    <t>ТТ68</t>
  </si>
  <si>
    <t>бетон крем (+)</t>
  </si>
  <si>
    <t>Стол с красивой овальной столешницей из МДФ под натуральный бетон будет гармонично и со вкусом смотреться
в доме, офисе, дизайн-студии, кафе, баре, ресторане.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</si>
  <si>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SHT-ТT12 120/70</t>
  </si>
  <si>
    <t>ТТ33</t>
  </si>
  <si>
    <t>коричневый браш/золото</t>
  </si>
  <si>
    <t>мдф/ламель/латунь</t>
  </si>
  <si>
    <t>Только под заказ от 5 штук.
Эксклюзивная столешница с декоративной выкладкой - латунь.
С такой столешницей каждый стол будет уникальным - благодаря естественному рисунку натуральной древесины
и вариативности ее оттенков.
Выдерживает интенсивную нагрузку, подходит для использования в домашних и общественных помещениях,
в кафе, баре, ресторане.
Столешница с покрытием из ламели дуба - 5 мм.
Основа столешницы выполнена из МДФ - 20 мм.
Боковая рельефная кромка выполнена из массива дуба - 60 мм.
Устойчивость к впитыванию загрязнений, конденсата, жира.
Легкий и простой уход.
Гарантия 2 года.</t>
  </si>
  <si>
    <t>Столешница Sheffilton SHT-ТT21-6 100/75</t>
  </si>
  <si>
    <t>ТТ66</t>
  </si>
  <si>
    <t>коричневая сепия</t>
  </si>
  <si>
    <t>керамика</t>
  </si>
  <si>
    <t>Натуральная цветовая палитра и фактура керамической столешницы открывает новые возможности для всех,
кто хочет видеть свое пространство красивым, экологически чистым и гармоничным. Столешница из керамики
преобразит любое помещение и внесет лоска в кухню, кафе, бар или ресторан.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ТЕХНИЧЕСКИЕ ХАРАКТЕРИСТИКИ:
Длина/ширина столешницы 1000/750 мм.
Толщина керамики - 5,6 мм.
Толщина столешницы с фанерной основой - 24 мм.
Максимальная нагрузка на столешницу – 50 кг.
Под заказ доступны различные виды отделки: глянцевые, цветные, древесные.</t>
  </si>
  <si>
    <t>Столешница Sheffilton SHT-ТT21-6 100-75 овальная</t>
  </si>
  <si>
    <t>ТТ65</t>
  </si>
  <si>
    <t>гранитно-серый</t>
  </si>
  <si>
    <t>Столешница Sheffilton SHT-ТT21-6 90 круглая</t>
  </si>
  <si>
    <t>ТТ67</t>
  </si>
  <si>
    <t>песчаное облако</t>
  </si>
  <si>
    <t>Натуральная цветовая палитра и фактура керамической столешницы открывает новые возможности для всех,
кто хочет видеть свое пространство красивым, экологически чистым и гармоничным. Столешница из керамики
преобразит любое помещение и внесет лоска в кухню, кафе, бар или ресторан.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ТЕХНИЧЕСКИЕ ХАРАКТЕРИСТИКИ:
Диаметр столешницы - 900 мм.
Толщина керамики - 5,6 мм.
Толщина столешницы с фанерной основой - 24 мм.
Максимальная нагрузка на столешницу – 50 кг.
Под заказ доступны различные виды отделки: глянцевые, цветные, древесные.</t>
  </si>
  <si>
    <t>Столешница Sheffilton SHT-ТT26 118/77 стекло</t>
  </si>
  <si>
    <t>ТТ90</t>
  </si>
  <si>
    <t>дымчатый</t>
  </si>
  <si>
    <t>стекло</t>
  </si>
  <si>
    <t>СТОЛЕШНИЦА ИЗ СТЕКЛА ТРИПЛЕКС – одна из современных и стильных предметов мебельной обстановки. Такая
столешница отличается своей прочностью, легкостью, долговечностью и востребована дизайнерами интерьеров.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и закругленные края, что полностью
безопасно для эксплуатации.
СТАНЬТЕ ДИЗАЙНЕРОМ СВОЕГО СТОЛА!
К столешнице подходит только пластиковое основание SHT-TU30-2. Вы можете выбрать любой цвет в нашем
конструкторе.
ДОЛГОВЕЧНОСТЬ И ИЗНОСОСТОЙКОСТЬ
Находясь в постоянной эксплуатации, стеклянная столешница будет надежным практичным спутником Ваших
трапез. Стекло триплекс толщиной 10 мм, с легкостью выдержит вес предметов сервировки и блюд.
Максимальная статическая нагрузка до 50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SHT-TU30-2, Вы создадите стол, который станет
оригинальным украшением с неповторимым и изысканным внешним видом.
ЭКОЛОГИЧНОСТЬ
Благодаря экологически чистым и натуральным компонентам, поверхность из стекла не выделяет абсолютно
никаких вредоносных веществ и не загрязняет окружающую среду.
ФУНКЦИОНАЛЬНОСТЬ
Стеклянная столешница легко крепится на основание SHT-TU30-2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ПЛОСКАЯ УПАКОВКА
Столешница не разборная и имеет плоскую упаковку.
ПОД ЗАКАЗ
Доступны любые цветовые сочетания от 50 штук.</t>
  </si>
  <si>
    <t>Столешница Sheffilton SHT-ТT26 90 стекло</t>
  </si>
  <si>
    <t>ТТ96</t>
  </si>
  <si>
    <t>СТОЛЕШНИЦА ИЗ СТЕКЛА ТРИПЛЕКС – одна из современных и стильных предметов мебельной обстановки. Такая
столешница отличается своей прочностью, легкостью, долговечностью и востребована дизайнерами интерьеров.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и закругленные края, что полностью
безопасно для эксплуатации.
СТАНЬТЕ ДИЗАЙНЕРОМ СВОЕГО СТОЛА!
К столешнице подходит только пластиковое основание SHT-TU30. Вы можете выбрать любой цвет в нашем
конструкторе.
ДОЛГОВЕЧНОСТЬ И ИЗНОСОСТОЙКОСТЬ
Находясь в постоянной эксплуатации, стеклянная столешница будет надежным практичным спутником Ваших
трапез. Стекло триплекс толщиной 10 мм, с легкостью выдержит вес предметов сервировки и блюд.
Максимальная статическая нагрузка до 50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 Вы создадите стол, который станет
оригинальным украшением с неповторимым и изысканным внешним видом.
ЭКОЛОГИЧНОСТЬ
Благодаря экологически чистым и натуральным компонентам, поверхность из стекла не выделяет абсолютно
никаких вредоносных веществ и не загрязняет окружающую среду.
ФУНКЦИОНАЛЬНОСТЬ
Стеклянная столешница легко крепится на основание SHT-TU30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ПЛОСКАЯ УПАКОВКА
Столешница не разборная и имеет плоскую упаковку.
ПОД ЗАКАЗ
Доступны любые цветовые сочетания от 50 штук.</t>
  </si>
  <si>
    <t>Столешница Sheffilton SHT-ТT4 120/80 БУК</t>
  </si>
  <si>
    <t>Столешница ПОД ЗАКАЗ
Столешница выполнена целиком из натурального бука. Такой стол будет долговечен, а красивая текстура
натурально бука придает превосходный внешний вид! Природный рисунок дерева делает каждую столешницу
уникальной. Готовое изделие покрыто прозрачным лаком, что обеспечивает защиту от внешних воздействий.
Столешница отлично в пишется в интерьер стиля "лофт" и "эко стиль".
- Подходит для использования в домашних и общественных помещениях, в кафе, баре, ресторане;
- Скошенный край придает столешнице большую виуальную невесомость и дополнительное изящество;
- К данной столешнице подходит абсолютно любое подстолье!
- Толщина столешницы 25 мм.;
- Крепеж в комплект столешницы не входит;
- При затяжке крепежа шуруповертом не стоит ставить больше третьей скорости;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</si>
  <si>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Sheffilton SHT-ТT4 70 БУК</t>
  </si>
  <si>
    <t>ТТ46</t>
  </si>
  <si>
    <t>СТОЛЕШНИЦА ДОСТУПНА ПОД ЗАКАЗ ОТ 20 ШТУК
Столешница выполнена целиком из натурального бука. Такой стол будет долговечен, а красивая текстура
натурально бука придает превосходный внешний вид! Природный рисунок дерева делает каждую столешницу
уникальной. Столешница отлично в пишется в интерьер стиля "лофт" и "эко стиль".
- Подходит для использования в домашних и общественных помещениях, в кафе, баре, ресторане;
- Скошенный край придает столешнице виpуальную невесомость и дополнительное изящество;
- К данной столешнице подходит абсолютно любое подстолье!
- Толщина столешницы 25 мм.;
- Длина/ширина столешницы 700 мм.;
- Крепеж в комплект столешницы не входит;
- При затяжке крепежа шуруповертом не стоит ставить больше третьей скорости;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</si>
  <si>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Sheffilton SHT-ТT6 80/80 ДУБ/LED</t>
  </si>
  <si>
    <t>черный белая патина/LED</t>
  </si>
  <si>
    <t>массив дерева/стекло</t>
  </si>
  <si>
    <t>ТОВАР ДОСТУПЕН ПОД ЗАКАЗ ОТ 10 ШТУК!
Невероятно стильная столешница с необычным эффектом бесконечности. Вы можете по желанию добавить свой
логотип, слоган, рисунок или картинку. Окантовка столешницы выполнена целиком из натурального массива
дерева с декоративным эффектом патинирования. Такой стол будет долговечен, а красивая текстура натуральной
древесины придает превосходный внешний вид. Центр столешницы выполнен из стекла. Благодаря светодиодной
подсветке возникает ощущение бесконечной глубины готового стола, хотя это всего-то визуальная иллюзия.
Выглядит такой стол очень эффектно, особенно в вечернее время при выключенном свете. На этот стол
хочется смотреть бесконечно!
- Подходит для использования в домашних и общественных помещениях, в кафе, баре, ресторане;
- Окантовка столешницы выполнена из массива дерева толщиной 5 мм.;
- Длина/ширина столешницы 800 мм.;
- Крепление столешницы: использовать винт самонарезающий с прессшайбой 4,2х19 мм.;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</si>
  <si>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Sheffilton SHT-ТT7 60/60 ДУБ/керамика</t>
  </si>
  <si>
    <t>ТТ12</t>
  </si>
  <si>
    <t>браш.коричневый/песочный</t>
  </si>
  <si>
    <t>массив дуба/керамика</t>
  </si>
  <si>
    <t>Столешницы со вставкой из керамики мало подвержены механическим повреждениям и царапинам, устойчивы
к ударам.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 Подходит для использования в домашних и общественных помещениях, в кафе, баре, ресторане;
- Длина/ширина столешницы 600 мм., высота 50 мм.;
- Столешница не подходит к основаниям Sheffilton SHT-TU5-BS1, SHT-TU6-BS1, SHT-TU5-BS1/H110, SHT-TU6-BS1/H110,
SHT-TU5-BS2, SHT-TU6-BS2, SHT-TU5-BS2/H110, SHT-TU6-BS2/H110, SHT-TU25, SHT-TU22, SHT-TU20;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</si>
  <si>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Sheffilton SHT-ТT 80/80 МДФ</t>
  </si>
  <si>
    <t>Стол со столешницей из МДФ будет гармонично и со вкусом смотреться в доме, офисе, дизайн-студии, кафе,
баре, ресторане.
Длина/ширина столешницы 800/800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</si>
  <si>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SHT-ТT8 60/60 ДУБ/керамика</t>
  </si>
  <si>
    <t>ТТ14</t>
  </si>
  <si>
    <t>Столешницы из керамики абсолютно не подвержены механическим повреждениям и царапинам, устойчивы к
ударам.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Обеденная
группа с использованием керамической столешницы придаст оригинальный дизайн интерьеру и непременно
украсит кухню, кафе, бар или ресторан.
- Длина/ширина столешницы 600 мм., высота 55 мм.;
- Столешница не подходит к основаниям Sheffilton SHT-TU5-BS1, SHT-TU6-BS1, SHT-TU5-BS1/H110, SHT-TU6-BS1/H110,
SHT-TU5-BS2, SHT-TU6-BS2, SHT-TU5-BS2/H110, SHT-TU6-BS2/H110, SHT-TU25, SHT-TU22, SHT-TU20;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</si>
  <si>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Sheffilton SHT-ТT8 70/70 ДУБ/керамика</t>
  </si>
  <si>
    <t>ТТ15</t>
  </si>
  <si>
    <t>Столешницы из керамики абсолютно не подвержены механическим повреждениям и царапинам, устойчивы к
ударам.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Обеденная
группа с использованием керамической столешницы придаст оригинальный дизайн интерьеру и непременно
украсит кухню, кафе, бар или ресторан.
- Длина/ширина столешницы 700 мм., высота 55 мм.;
- Инструкция по уходу: протирать влажной тканью, вытирать чистой сухой тканью, при необходимости можно
использовать слабый мыльный раствор;
- Статическая нагрузка на столешницу - 50 кг.</t>
  </si>
  <si>
    <t>Столешница без рамки Sheffilton SHT-TT17 64/64 ЛДСП</t>
  </si>
  <si>
    <t>ТТ37</t>
  </si>
  <si>
    <t>дуб нагано</t>
  </si>
  <si>
    <t>Столешница без рамки выполнена из ЛДСП.
Толщина столешницы 16 мм.
Выступы на торцевой части предназначены для рамки из массива бука.
Вы можете собрать свою столешницу в конструкторе столов и стульев.</t>
  </si>
  <si>
    <t>Стол Sheffilton SHT-STU14/TТ 83/83</t>
  </si>
  <si>
    <t>черный муар/золото/бежевый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</si>
  <si>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Рисунок под живой камень придает изделию эксклюзивный вид. Столешница
имеет безопасный плавный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СТАНЬТЕ ДИЗАЙНЕРОМ СВОЕГО СТОЛА! Именно под эти опоры Вы можете выбрать любую модель столешницы Sheffilton
в нашем конструкторе.</t>
  </si>
  <si>
    <t>Стол Sheffilton SHT-T1</t>
  </si>
  <si>
    <t>SHT-T1</t>
  </si>
  <si>
    <t>бук/алюм.металлик</t>
  </si>
  <si>
    <t>- Функциональная и компактная полубарная стойка отлично впишется в интерьер любой кухни,
придаст комфорт и удобство столовой, гостиной, балкону или даче;
- К столу идеально подходят полубарные складные стулья SHT-S61;
- Полки для хранения продуктов, напитков, посуды и других мелких принадлежностей;
- Каркас выполнен из металлической трубы;
- Диаметр/толщина трубы стола: 50х0,8 мм;
- Порошковая окраска изделия, стойкая к механическим повреждениям;
- Столешница выполнена из ЛДСП;
- Толщина столешницы: 18 мм;
- Максимальная нагрузка на стол 50 кг;
- Изделие разборное.
- Гарантия 2 года.</t>
  </si>
  <si>
    <t>Стол Sheffilton SHT-T10</t>
  </si>
  <si>
    <t>SHT-T10</t>
  </si>
  <si>
    <t>- Компактный стол прекрасно впишется в кухню любого стиля и сэкономит пространство;
- Отлично подойдет для загородного дома и дачи;
- К столу идеально подходят стулья SHT-S53;
- Каркас выполнен из металлической трубы, диаметром и толщиной 20х0,8 мм;
- Порошковая окраска изделия, стойкая к механическим повреждениям;
- Расстояние между опорами каркаса: 450 мм;
- Столешница выполнена из ЛДСП, толщиной 16 мм;
- Размеры столешницы ШхГ: 920х600 мм;
- Под столешницей предусмотрена полка для хранения продуктов, напитков и других мелких принадлежностей;
- Полка выполнена из металлической трубы, диаметром и толщиной 12х0,6 мм и прутка, диаметром 5 мм;
- Размеры полки ШхГхВ: 360х420х140 мм;
- Высота от пола до полки: 620 мм;
- Максимальная распределенная нагрузка на полку 5 кг, на стол 50 кг;
- Изделие разборное.
- Гарантия 2 года.</t>
  </si>
  <si>
    <t>Стол Sheffilton SHT-T12/80/80 ЛДСП</t>
  </si>
  <si>
    <t>SHT-T47</t>
  </si>
  <si>
    <t>черный/темный орех/орех</t>
  </si>
  <si>
    <t>металл/дерево(бук)/ЛДСП</t>
  </si>
  <si>
    <t>В комплект входит:
- столешница SHT-TT 80/80 ЛДСП
- основание SHT-TU12
Модно и современно смотрится в интерьерах кафе, баров, ресторанов и в жилых пространствах.
Столешница толщиной 25 мм., на торцевой части используется кромка из ПВХ - 2 мм.
Основание из металла, диаметр/толщина трубы 51/1 мм и массива бука, диаметром 51 мм.
Толщина верхнего фланца для крепления столешницы 3 мм.
На конце основания предусмотрен подпятник с резиновой проставкой, диаметром 22 мм., подпятник эффективно
защищает половое покрытие от царапин.
Изделие разборное.
Гарантия 2 года.</t>
  </si>
  <si>
    <t>Стол Sheffilton SHT-T13/80 ЛДСП</t>
  </si>
  <si>
    <t>черный муар/дуб беленый</t>
  </si>
  <si>
    <t>В комплект входит:
- столешница SHT-TT 80 ЛДСП
- основание SHT-TU13
Классический круглый столик.
Полностью металлическое сварное основание для стола, диаметр/толщина трубы 76х1,5 мм.
Крепится к полу, обеспечивая максимальную устойчивость стола.
Предусмотрены четыре нижних отверстия для установки крепежа в потай.
Толщина верхнего фланца для крепления столешницы 5 мм, толщина нижнего 10 мм.
Столешница из ЛДСП, диаметр/толщина 800х25 мм.
На торцевой части используется кромка из ПВХ - 2 мм.
Обратите внимание, что крепеж в комплект поставки не входит. Пожалуйста подберите соответствующий
крепеж для пола и столешницы.
Максимальная статическая нагрузка на стол 50 кг.
Гарантия 2 года.</t>
  </si>
  <si>
    <t>Стол Sheffilton SHT-T14/80 ЛДСП</t>
  </si>
  <si>
    <t>SHT-T74</t>
  </si>
  <si>
    <t>В комплект входит:
- столешница SHT-TT 80 ЛДСП
- основание SHT-TU14
Классический круглый столик cочетает в себе гармоничную форму, практичный дизайн и качественные материалы.
Основание металлическое, устанавливается под наклоном, диаметр/толщина трубы 51/1 мм.
Предусмотрен пластиковая заглушка, эффективно защищает половое покрытие от царапин.
Столешница из ЛДСП, толщиной 25 мм, диаметром 800 мм.
На торцевой части используется кромка из ПВХ - 2 мм.
Обратите внимание, что крепеж в комплект поставки не входит. Пожалуйста подберите соответствующий
крепеж для пола и столешницы.
Максимальная статическая нагрузка на стол 50 кг.
Гарантия 2 года.</t>
  </si>
  <si>
    <t>Стол Sheffilton SHT-T17</t>
  </si>
  <si>
    <t>дуб сонома/белый/пр. лак/Holland 65/черн</t>
  </si>
  <si>
    <t>Стол Sheffilton SHT-T2</t>
  </si>
  <si>
    <t>SHT-T2</t>
  </si>
  <si>
    <t>черный муар/белый</t>
  </si>
  <si>
    <t>металл/МДФ 80</t>
  </si>
  <si>
    <t>В комплект входит:
- столешница SHT-TT 80 МДФ
- основание SHT-TU2-1
Стол со столешницей из МДФ будет гармонично и со вкусом смотреться в доме, офисе, дизайн-студии, кафе,
баре, ресторане.
Основание для стола из металла, диаметр/толщина трубы 20х0,8 мм и прутка, диаметром 5 мм.
Толщина верхних кронштейнов для крепления столешницы 3 мм.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</si>
  <si>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SHT-T2/80/80 ЛДСП</t>
  </si>
  <si>
    <t>SHT-T18</t>
  </si>
  <si>
    <t>медный/венге</t>
  </si>
  <si>
    <t>В комплект входит:
- столешница SHT-TT 80/80 ЛДСП
- основание SHT-TU2-1
Изящный и элегантный!
Основание для стола из металла, диаметром/толщиной 20х1,5 мм. и пруток, диаметром 5 мм.
Столешница из ЛДСП, диаметром 800 мм.
Толщина столешницы 25 мм.
На торцевой части используется кромка из ПВХ - 2 мм.
Максимальная статическая нагрузка на стол 50 кг.
Изделие разборное.
Гарантия 2 года.</t>
  </si>
  <si>
    <t>Стол Sheffilton SHT-T2/80 ЛДСП</t>
  </si>
  <si>
    <t>SHT-Т16</t>
  </si>
  <si>
    <t>хром лак/дуб беленый</t>
  </si>
  <si>
    <t>В комплект входит:
- столешница SHT-TT 80 ЛДСП
- основание SHT-TU2-1
Изящный и элегантный!
Основание для стола из металла, диаметром/толщиной 20х1,5 мм. и пруток, диаметром 5 мм.
Столешница из ЛДСП, диаметром 800 мм.
Толщина столешницы 25 мм.
На торцевой части используется кромка из ПВХ - 2 мм.
Максимальная статическая нагрузка на стол 50 кг.
Изделие разборное.
Гарантия 2 года.</t>
  </si>
  <si>
    <t>Стол Sheffilton SHT-T35 100/50</t>
  </si>
  <si>
    <t>SHT-T103</t>
  </si>
  <si>
    <t>белый матовый/хром лак</t>
  </si>
  <si>
    <t>МОДУЛЬНЫЙ СТОЛ ДЛЯ УЧЕБЫ ИЛИ РАБОТЫ
Стол, который штабелируется и позволяет трансформировать учебное или рабочее пространство максимально
функционально!
1. ШТАБЕЛИРОВАНИЕ
Опоры стола сконструированы таким образом, что на одной из сторон стола опоры немного выходят за пределы
столешницы. Это позволяет штабелировать до 8 столов один на один и хранить не занимая много места.
2. ФУНКЦИОНАЛЬНОСТЬ
Такая конструкция позволяет без зазоров "соединять" столешницы между собой в единую плоскость. Возможно
быстро и удобно формировать различные комбинации столов в зависимости от задач: совещание, круглый
стол, семинар.
3. ПРОЧНОСТЬ
Надежный металлический каркас окрашен порошковой краской, устойчивой к механическому воздействию.
Столешница из ЛДСП с закругленными краями (толщина столешницы 25мм)
4. РАЗНЫЕ ЦВЕТА
Вы можете выбрать опоры и столешницу любого цвета:
- однотонные: белый, серый, бежевый и т.д.
- под дерево: дуб беленый, дуб сонома, венге, орех, бук, сосна лофт, морское дерево и т.д.
- металлик цветной: желтый, голубой, синий, красный, зеленый и т.д.
5. Рекомендуем стол для Точка Роста</t>
  </si>
  <si>
    <t>Стол Sheffilton SHT-T35 120/50</t>
  </si>
  <si>
    <t>SHT-T99</t>
  </si>
  <si>
    <t>Стол Sheffilton SHT-T35 70/50</t>
  </si>
  <si>
    <t>SHT-T109</t>
  </si>
  <si>
    <t>МОДУЛЬНЫЙ СТОЛ ДЛЯ УЧЕБЫ ИЛИ РАБОТЫ
Стол, который штабелируется и позволяет трансформировать учебное или рабочее пространство максимально
функционально!
1. ШТАБЕЛИРОВАНИЕ
Опоры стола сконструированы таким образом, что на одной из сторон стола опоры немного выходят за пределы
столешницы. Это позволяет штабелировать до 8 столов один на один и хранить не занимая много места.
2. ФУНКЦИОНАЛЬНОСТЬ
Такая конструкция позволяет без зазоров "соединять" столешницы между собой в единую плоскость. Возможно
быстро и удобно формировать различные комбинации столов в зависимости от задач: совещание, круглый
стол, семинар.
3. ПРОЧНОСТЬ
Надежный металлический каркас окрашен порошковой краской, устойчивой к механическому воздействию.
Столешница из ЛДСП с закругленными краями (толщина столешницы 25мм)
4. РАЗНЫЕ ЦВЕТА
Вы можете выбрать опоры и столешницу любого цвета:
- однотонные: белый, серый, бежевый и т.д.
- под дерево: дуб беленый, дуб сонома, венге, орех, бук, сосна лофт, морское дерево и т.д.
- металлик цветной: желтый, голубой, синий, красный, зеленый и т.д.</t>
  </si>
  <si>
    <t>Стол Sheffilton SHT-T5</t>
  </si>
  <si>
    <t>SHT-T5</t>
  </si>
  <si>
    <t>В комплект входит:
- столешница SHT-TT 80 ЛДСП
- основание SHT-TU10
Изящный и элегантный!
Опоры устанавливаются под наклоном; высота под наклоном одной опоры - 730 мм.
Выполнено из металла, диаметр 8 и 5 мм и пластины, толщиной 3 мм.
Толщина верхних кронштейнов для крепления столешницы 3 мм.
На конце основания предусмотрен подпятник с резиновой проставкой, диаметром 22 мм. подпятник эффективно
защищает половое покрытие от царапин.
На торцевой части используется кромка из ПВХ - 2 мм.
Долгий срок эксплуатации, устойчивость к влаге, стойкость к механическим повреждениям.
Изделие разборное.
Гарантия 2 года.</t>
  </si>
  <si>
    <t>Стол Sheffilton SHT-T9 ЛДСП</t>
  </si>
  <si>
    <t>SHT-T9</t>
  </si>
  <si>
    <t>венге/белый</t>
  </si>
  <si>
    <t>дерево/ЛДСП 80/80</t>
  </si>
  <si>
    <t>В комплект входит:
- столешница SHT-TT 80/80 ЛДСП
- основание SHT-TU9
Красивая комбинация белого цвета и темного дерева делает столик универсальным для любого помещения.
Столешница из ЛДСП, толщиной 25 мм.
На торцевой части используется кромка из ПВХ - 2 мм.
Подстолье из натуральной древесины.
Подстолье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Максимальная статическая нагрузка на стол 50 кг.
Гарантия 2 года.</t>
  </si>
  <si>
    <t>Стол Sheffilton SHT-TTU14/ЛДСП 80</t>
  </si>
  <si>
    <t>черный муар/золото/орех</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</si>
  <si>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t>
  </si>
  <si>
    <t>Стол Sheffilton SHT-TU10/120/80 ЛДСП</t>
  </si>
  <si>
    <t>SHT-T97</t>
  </si>
  <si>
    <t>хром лак/венге</t>
  </si>
  <si>
    <t>- Столик с выразительными утонченными опорами.
- В комплект входит: столешница SHT-TT 120/80 ЛДСП; основание SHT-TU10 металл.
- Ножки сделаны из металла, диаметром 8 и 5 мм.
- Толщина верхних кронштейнов для крепления столешницы 3 мм.
- Предусмотрен подпятник с резиновой проставкой, диаметром 22 мм., подпятник эффективно защищает половое
покрытие от царапин.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</si>
  <si>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Стол Sheffilton SHT-TU10/120-80 МДФ</t>
  </si>
  <si>
    <t>SHT-T136</t>
  </si>
  <si>
    <t>черный муар/бетон крем</t>
  </si>
  <si>
    <t>В комплект входит:
- столешница SHT-TT 120-80 МДФ овальная
- основание SHT-TU10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51/1 мм.
Толщина верхних кронштейнов для крепления столешницы 3 мм.
Предусмотрена пластиковая заглушка, эффективно защищает половое покрытие от царапин.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</si>
  <si>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SHT-TU10/120/80 МДФ</t>
  </si>
  <si>
    <t>SHT-T104</t>
  </si>
  <si>
    <t>хром лак/дуб сонома светлый</t>
  </si>
  <si>
    <t>В комплект входит:
- столешница SHT-TT 120/80 МДФ
- основание SHT-TU10 металл
Стол со столешницей из МДФ будет гармонично и со вкусом смотреться в доме, офисе, дизайн-студии, кафе,
баре, ресторане.
Основание из металла, диаметром 8 и 5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</si>
  <si>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черный муар/бетон голубой</t>
  </si>
  <si>
    <t>Стол Sheffilton SHT-TU10/140/80 ЛДСП</t>
  </si>
  <si>
    <t>белый/хромикс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</si>
  <si>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Максимальная нагрузка на одну опору 12,5 кг.
ДИЗАЙН И ЭСТЕТИКА
Столешница из ЛДСП смотрится аккуратно и привлекательно. Цвет каждой столешницы имитирует модную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</si>
  <si>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черный/хромикс белый</t>
  </si>
  <si>
    <t>Стол Sheffilton SHT-TU10/140/80 МДФ овальная</t>
  </si>
  <si>
    <t>белый/мрамор премиум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</si>
  <si>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Максимальная нагрузка на одну опору 12,5 кг.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</si>
  <si>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черный/мрамор премиум светлый</t>
  </si>
  <si>
    <t>Стол Sheffilton SHT-TU10/70 МДФ</t>
  </si>
  <si>
    <t>SHT-T73</t>
  </si>
  <si>
    <t>черный/акация светлая поперечная</t>
  </si>
  <si>
    <t>В комплект входит:
- столешница SHT-TT 70 МДФ
- основание SHT-TU10 металл
Стол со столешницей из МДФ будет гармонично и со вкусом смотреться в доме, офисе, дизайн-студии, кафе,
баре, ресторане.
Основание из металла, диаметром 8 и 5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</si>
  <si>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SHT-TU10/80/80 ЛДСП</t>
  </si>
  <si>
    <t>SHT-T48</t>
  </si>
  <si>
    <t>- В комплект входит: столешница SHT-TT 80/80 ЛДСП; основание SHT-TU10 металл.
- Элегантный и красивый столик.
- Ножки сделаны из металла, диаметром 8 и 5 мм и пластины, толщиной 3 мм.
- Опора устанавливается под наклоном.
- Предусмотрен подпятник с резиновой проставкой, диаметром 22 мм., подпятник эффективно защищает половое
покрытие от царапин.
- Столешница выполнена из ЛДСП.
- Толщина столешницы 25 мм.
- На торцевой части используется кромка из ПВХ - 2 мм.
- Максимальная статическая нагрузка на стол 50 кг.</t>
  </si>
  <si>
    <t>Стол Sheffilton SHT-TU10/80 ЛДСП</t>
  </si>
  <si>
    <t>SHT-T22</t>
  </si>
  <si>
    <t>- В комплект входит: столешница SHT-TT 80 ЛДСП дуб беленый; основание SHT-TU10 хром лак.
- Изящный и элегантный столик.
- Ножки сделаны из металла, столешница из ЛДСП.
- Опоры устанавливаются под наклоном; высота под наклоном одной опоры - 730 мм.
- Диаметр/толщина столешницы 800х25 мм.
- Максимальная статическая нагрузка на стол 50 кг.</t>
  </si>
  <si>
    <t>Стол Sheffilton SHT-TU10/80 МДФ</t>
  </si>
  <si>
    <t>SHT-T64</t>
  </si>
  <si>
    <t>черный/белый</t>
  </si>
  <si>
    <t>В комплект входит:
- столешница SHT-TT 80 МДФ
- основание SHT-TU10 металл
Стол со столешницей из МДФ будет гармонично и со вкусом смотреться в доме, офисе, дизайн-студии, кафе,
баре, ресторане.
Основание из металла, диаметром 8 и 5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</si>
  <si>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SHT-TU10/90 ЛДСП</t>
  </si>
  <si>
    <t>черный муар/дуб галифакс табак</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</si>
  <si>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Выразительное утонченное основание для стола.
Максимальная нагрузка на одну опору 12,5 кг.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</si>
  <si>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SHT-TU10/90 МДФ</t>
  </si>
  <si>
    <t>черный муар/дуб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</si>
  <si>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t>
  </si>
  <si>
    <t>черный муар/мрамор премиум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</si>
  <si>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ДОЛГОВЕЧНОСТЬ.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СТАНЬТЕ ДИЗАЙНЕРОМ СВОЕГО СТОЛА!
Вы можете выбрать к этой столешнице любое основание для стола Sheffilton в разделе "Собери свой стол".</t>
  </si>
  <si>
    <t>SHT-T154</t>
  </si>
  <si>
    <t>хром лак/дуб верона белый</t>
  </si>
  <si>
    <t>хром лак/мрамор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</si>
  <si>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наклоном.Предусмотрен подпятник с резиновой проставкой, диаметром 22 мм.,
подпятник эффективно защищает половое покрытие от царапин.</t>
  </si>
  <si>
    <t>хром лак/мрамор премиум светлый</t>
  </si>
  <si>
    <t>черный/мрамор премиум</t>
  </si>
  <si>
    <t>Стол Sheffilton SHT-TU10/TT21-6 100/75 керамика</t>
  </si>
  <si>
    <t>SHT-Т168</t>
  </si>
  <si>
    <t>черный/гранитно-серый</t>
  </si>
  <si>
    <t>металл/керамика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</si>
  <si>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Опора устанавливается под наклоном.
Предусмотрен подпятник с резиновой проставкой, диаметром 22 мм., подпятник эффективно защищает половое
покрытие от царапин.</t>
  </si>
  <si>
    <t>Стол Sheffilton SHT-TU10/TT21-6 90 керамика</t>
  </si>
  <si>
    <t>хром лак/песчаное облако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</si>
  <si>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Опора устанавливается под наклоном.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t>
  </si>
  <si>
    <t>Стол Sheffilton SHT-TU10/TU21-6 100/75  керамика</t>
  </si>
  <si>
    <t>черный муар/коричневая сепия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</si>
  <si>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Максимальная
нагрузка на столешницу – 50 кг.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НАДЁЖНЫЙ КАРКАС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t>
  </si>
  <si>
    <t>Стол Sheffilton SHT-TU10/ТT4 70 БУК</t>
  </si>
  <si>
    <t>хром лак/прозрачный лак</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</si>
  <si>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целиком из натурального бука (толщина столешницы 25 мм). Металлическое подстолье
покрыто порошковой краской, устойчивой к механическому воздействию (диаметр трубы 8 и 5 мм)
Максимальная статическая нагрузка на стол 50 кг.
СПЕЦИАЛЬНЫЕ ПОДПЯТНИКИ подстолья обеспечивают защиту покрытия от царапин и повышают устойчивость стола.
К подстолью приложен комплект крепежа и схема сборки.
РЕКОМЕНДАЦИЯ ПО УХОДУ И СБОРКЕ
Протирать влажной или сухой тканью, при необходимости можно использовать слабый мыльный раствор. При
затяжке крепежа шуруповертом не стоит ставить больше третьей скорости.
СТАНЬТЕ ДИЗАЙНЕРОМ СВОЕГО СТОЛА!
Стол состоит из столешницы SHT-TT4 70 БУК и подстолья SHT-TU10. Вы можете выбрать любую модель и цвет
стола в нашем конструкторе.
ГАРАНТИЯ 2 ГОДА.</t>
  </si>
  <si>
    <t>Стол Sheffilton SHT-TU12/120/80 ЛДСП</t>
  </si>
  <si>
    <t>SHT-T87</t>
  </si>
  <si>
    <t>черный муар/темный орех/орех</t>
  </si>
  <si>
    <t>металл/дерево/ЛДСП</t>
  </si>
  <si>
    <t>- В комплект входит: столешница SHT-TT 120/80 ЛДСП; основание SHT-TU12 металл.
- Элегантный и красивый столик.
- Ножки сделаны из металла, диаметр/толщина трубы 51/1 мм, дерева 51 мм.
- Предусмотрен подпятник с резиновой проставкой, диаметром 22 мм., подпятник эффективно защищает половое
покрытие от царапин.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</si>
  <si>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Стол Sheffilton SHT-TU12/80 ЛДСП</t>
  </si>
  <si>
    <t>SHT-T88</t>
  </si>
  <si>
    <t>- В комплект входит: столешница SHT-TT 80 ЛДСП орех и основание SHT-TU12 темный орех/черный муар.
- Сочетает в себе гармоничную форму, практичный дизайн и качественные материалы.
- Основание выполнено из металла, диаметр/толщина трубы 51/1 мм и массива бука, диаметром 51 мм.
- Предусмотрен подпятник с резиновой проставкой, диаметром 22 мм., подпятник эффективно защищает половое
покрытие от царапин.
- Опора устанавливается под наклоном.
- Столешница из ЛДСП, диаметр/толщина столешницы 800х25 мм.
- Максимальная статическая нагрузка на стол 50 кг.</t>
  </si>
  <si>
    <t>Стол Sheffilton SHT-TU12/90 МДФ</t>
  </si>
  <si>
    <t>черный/темный орех/мрамор премиум</t>
  </si>
  <si>
    <t>металл/дерево/МДФ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</si>
  <si>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
Предусмотрен подпятник с резиновой проставкой, диаметром 22 мм., подпятник эффективно защищает половое
покрытие от царапин.
Толщина верхнего фланца для крепления столешницы 3 мм.</t>
  </si>
  <si>
    <t>SHT-T156</t>
  </si>
  <si>
    <t>черный/темный орех/дуб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</si>
  <si>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Выполнено из металла, диаметр/толщина трубы 51/1 мм и массива бука, диаметром 51 мм.
Толщина верхнего фланца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t>
  </si>
  <si>
    <t>Стол Sheffilton SHT-TU13/TT30 83/83</t>
  </si>
  <si>
    <t>ДИЗАЙН В КАЖДОЙ ДЕТАЛИ!
СОВРЕМЕННЫЙ СТОЛ СО СТОЛЕШНИЦЕЙ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Главный плюс основания возможность КРЕПЛЕНИЯ К ПОЛУ. Диаметр/толщина трубы 76х1,5 мм.
Предусмотрены четыре нижних отверстия для установки крепежа в потай. Толщина верхнего фланца для крепления
столешницы 5 мм, толщина нижнего 10 мм.
ВНИМАНИЕ! Крепеж в комплект поставки не входит. Пожалуйста, подберите соответствующий крепеж для пола
и столешницы!
Выдерживает продолжительные нагрузки - максимальная статическая нагрузка до 50 кг.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ПЛОСКАЯ УПАКОВКА
Стол разборный и имеет плоскую упаковку.
ЛЕГКИЙ И ПРОСТОЙ УХОД
Возникшие загрязнения на столешнице протрите влажной, а после чистой сухой тканью, при необходимости
можно использовать слабый мыльный раствор.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</si>
  <si>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Стол Sheffilton SHT-TU13/TT 60 ЛДСП</t>
  </si>
  <si>
    <t>- Главный плюс основания для стола - возможность КРЕПЛЕНИЯ К ПОЛУ, что обеспечивает максимальную устойчивость.
- Предусмотрены четыре нижних отверстия для установки крепежа в потай;
- Основание выполнено из металла, диаметр/толщина трубы 76х1,5 мм.;
- Толщина верхнего фланца для крепления столешницы 5 мм, толщина нижнего 10 мм.;
- Столешница выполнена из ЛДСП.
- Диаметр столешницы 600 мм.
- Толщина столешницы 25 мм.
- На торцевой части используется кромка из ПВХ - 2 мм.
- Максимальная статическая нагрузка на стол 50 кг.;
- Гарантия 2 года.</t>
  </si>
  <si>
    <t>Стол Sheffilton SHT-TU14/100/75 керамика</t>
  </si>
  <si>
    <t>коричневая сепия/черный муар/золото</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</si>
  <si>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t>
  </si>
  <si>
    <t>Стол Sheffilton SHT-TU14/120/80 ЛДСП</t>
  </si>
  <si>
    <t>белый муар/дуб выбеленный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</si>
  <si>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ДИЗАЙН И СТИЛЬ.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ПРООЧНОСТЬ И НАЖЕЖНОСТЬ.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</si>
  <si>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черный муар/золото/дуб сонома</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</si>
  <si>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t>
  </si>
  <si>
    <t>SHT-T105</t>
  </si>
  <si>
    <t>- В комплект входит: столешница SHT-TT 120/80 ЛДСП; основание SHT-TU14 металл.
- Элегантный и красивый столик.
- Ножки сделаны из металла, диаметр/толщина трубы 51/1 мм.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</si>
  <si>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черный муар/золото/белый шагрень</t>
  </si>
  <si>
    <t>Стол Sheffilton SHT-TU14/120-80 МДФ</t>
  </si>
  <si>
    <t>белый муар/белая шагрень</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</si>
  <si>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</si>
  <si>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Стол Sheffilton SHT-TU14/120/80 МДФ</t>
  </si>
  <si>
    <t>белый муар/бетон голубой</t>
  </si>
  <si>
    <t>белый муар/бетон крем</t>
  </si>
  <si>
    <t>белый муар/дуб сонома светлый</t>
  </si>
  <si>
    <t>белый муар/золото/белый шагрень</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</si>
  <si>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</si>
  <si>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белый муар/золото/голубой бетон</t>
  </si>
  <si>
    <t>белый муар/золото/дуб сонома светлый</t>
  </si>
  <si>
    <t>SHT-T126</t>
  </si>
  <si>
    <t>В комплект входит:
- столешница SHT-TT 120/80 МДФ
- основание SHT-TU14 металл
Стол со столешницей из МДФ будет гармонично и со вкусом смотреться в доме, офисе, дизайн-студии, кафе,
баре, ресторане.
Выполнено из металла, диаметр/толщина трубы 51/1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</si>
  <si>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черный муар/золото/бетон голубой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</si>
  <si>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t>
  </si>
  <si>
    <t>черный муар/золото/дуб сонома светлый</t>
  </si>
  <si>
    <t>черный муар/палисандр</t>
  </si>
  <si>
    <t>В комплект входит:
- столешница SHT-TT 120/80 МДФ
- основание SHT-TU14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51/1 мм.
Толщина верхних кронштейнов для крепления столешницы 3 мм.
Предусмотрена пластиковая заглушка, эффективно защищает половое покрытие от царапин.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</si>
  <si>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чёрный муар/золото/белый шагрень</t>
  </si>
  <si>
    <t>чёрный муар/золото/палисандр</t>
  </si>
  <si>
    <t>Стол Sheffilton SHT-TU14/120/80 МДФ овальная</t>
  </si>
  <si>
    <t>SHT-T163</t>
  </si>
  <si>
    <t>белый муар/золото/бетон крем</t>
  </si>
  <si>
    <t>Стол Sheffilton SHT-TU14/120-80 МДФ овальный</t>
  </si>
  <si>
    <t>В комплект входит:
- столешница SHT-TT 120-80 МДФ овальная
- основание SHT-TU14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51/1 мм.
Толщина верхних кронштейнов для крепления столешницы 3 мм.
Предусмотрена пластиковая заглушка, эффективно защищает половое покрытие от царапин.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</si>
  <si>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SHT-TU14/140/80 ЛДСП</t>
  </si>
  <si>
    <t>белый муар/золото/хромикс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</si>
  <si>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
ДИЗАЙН И ЭСТЕТИКА
Столешница из ЛДСП смотрится аккуратно и привлекательно. Цвет каждой столешницы имитирует модную текстуру
натурального камня.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</si>
  <si>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белый муар/хромикс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</si>
  <si>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
ДИЗАЙН И ЭСТЕТИКА
Столешница из ЛДСП смотрится аккуратно и привлекательно. Цвет каждой столешницы имитирует модную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</si>
  <si>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SHT-TU14/140/80 МДФ овальная</t>
  </si>
  <si>
    <t>белый муар/мрамор премиум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</si>
  <si>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Опора устанавливается под наклоном.
Выполнено из металла, диаметр/толщина трубы 51/1 мм.
Толщина верхнего фланца для крепления столешницы 3 мм.
Предусмотрен пластиковая заглушка, эффективно защищает половое покрытие от царапин.
Максимальная нагрузка на одну опору 12,5 кг.
Гарантия 2 года.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</si>
  <si>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черный муар/золото/мрамор премиум светл.</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</si>
  <si>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Максимальная нагрузка на
одну опору 12,5 кг.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</si>
  <si>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SHT-Т166</t>
  </si>
  <si>
    <t>белый муар/золото/мрамор премиум светл.</t>
  </si>
  <si>
    <t>Стол Sheffilton SHT-TU14/60/60 ЛДСП</t>
  </si>
  <si>
    <t>белый муар/дуб сонома</t>
  </si>
  <si>
    <t>SHT-T118</t>
  </si>
  <si>
    <t>белый муар/золото/дуб сонома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</si>
  <si>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СТАНЬТЕ ДИЗАЙНЕРОМ СВОЕГО СТОЛА!
Вы можете выбрать к этой столешнице любое основание для стола Sheffilton в разделе "Собери свой стол".</t>
  </si>
  <si>
    <t>ваниль/дуб сонома</t>
  </si>
  <si>
    <t>- В комплект входит: столешница SHT-TT 60/60 ЛДСП; основание SHT-TU14.
- Элегантный и красивый столик.
- Такой стол будет долговечен, а красивая текстура натурально дуба придает превосходный внешний вид!
- Ножки сделаны из металла, диаметр/толщина трубы 51/1 мм.
- Опора устанавливается под наклоном.
-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Готовый стол будет гармонично и со вкусом смотреться
в доме, офисе, дизайн-студии, кафе, баре, ресторане.
- Длина/ширина столешницы 600/600 мм.
- Толщина столешницы 25 мм.
- На торцевой части используется кромка из ПВХ - 2 мм.
- Легкий и простой уход за изделием.
- Максимальная статическая нагрузка на стол 50 кг.</t>
  </si>
  <si>
    <t>Стол Sheffilton SHT-TU14/70/70 МДФ</t>
  </si>
  <si>
    <t>белый муар/акация светлая поперечная</t>
  </si>
  <si>
    <t>Стол Sheffilton SHT-TU14/70 МДФ</t>
  </si>
  <si>
    <t>белый муар/золото/акация светл. попер.</t>
  </si>
  <si>
    <t>черный муар/золото/орех светлый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</si>
  <si>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t>
  </si>
  <si>
    <t>SHT-T159</t>
  </si>
  <si>
    <t>белый муар/орех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</si>
  <si>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</si>
  <si>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Стол Sheffilton SHT-TU14/80/80 ЛДСП</t>
  </si>
  <si>
    <t>белый муар/белый</t>
  </si>
  <si>
    <t>белый муар/золото/белый снег</t>
  </si>
  <si>
    <t>черный муар/золото/венге</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</si>
  <si>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Рисунок под живой камень придает изделию эксклюзивный вид. Столешница
имеет безопасный плавный</t>
  </si>
  <si>
    <t>черный муар/золото/дуб беленый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</si>
  <si>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Рисунок под живой камень придает изделию эксклюзивный вид. Столешница
имеет безопасный плавный
ПРЕКРАСНАЯ ЭРГОНОМИКА. Стол с опорами SHT-TU14 обеспечивает удобство и комфорт при использовании.</t>
  </si>
  <si>
    <t>Стол Sheffilton SHT-TU14/80/80 МДФ</t>
  </si>
  <si>
    <t>черный муар/золото/палисандр</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</si>
  <si>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Именно под этот каркас Вы можете выбрать любую модель столешницы
Sheffilton в нашем конструкторе.</t>
  </si>
  <si>
    <t>SHT-T145</t>
  </si>
  <si>
    <t>Стол Sheffilton SHT-TU14/80 ЛДСП</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</si>
  <si>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ДИЗАЙН И СТИЛЬ.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ПРООЧНОСТЬ И НАЖЕЖНОСТЬ.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</si>
  <si>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SHT-T144</t>
  </si>
  <si>
    <t>Стол Sheffilton SHT-TU14/80 МДФ</t>
  </si>
  <si>
    <t>белый муар/бетон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</si>
  <si>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</si>
  <si>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белый муар/золото/бетон светлый</t>
  </si>
  <si>
    <t>белый муар/лофт медь</t>
  </si>
  <si>
    <t>SHT-T49</t>
  </si>
  <si>
    <t>белый муар/золото/белоснежная шагрень</t>
  </si>
  <si>
    <t>ваниль/дуб сонома светлый</t>
  </si>
  <si>
    <t>В комплект входит:
- столешница SHT-TT 80 МДФ
- основание SHT-TU14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51/1 мм.
Толщина верхних кронштейнов для крепления столешницы 3 мм.
Предусмотрена пластиковая заглушка, эффективно защищает половое покрытие от царапин.
Опора устанавливается под наклоном.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</si>
  <si>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черный муар/золото/белоснежная шагрень</t>
  </si>
  <si>
    <t>черный муар/золото/бетон светлый</t>
  </si>
  <si>
    <t>чёрный муар/золото/дуб сонома светлый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</si>
  <si>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t>
  </si>
  <si>
    <t>чёрный муар/золото/лофт медь</t>
  </si>
  <si>
    <t>Стол Sheffilton SHT-TU14/90 ЛДСП</t>
  </si>
  <si>
    <t>ваниль/дуб галифакс табак</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</si>
  <si>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напольное покрытие от царапин.
Максимальная нагрузка на одну опору 12,5 кг.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</si>
  <si>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SHT-T171</t>
  </si>
  <si>
    <t>Стол Sheffilton SHT-TU14/90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</si>
  <si>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СТАНЬТЕ ДИЗАЙНЕРОМ СВОЕГО СТОЛА!
Вы можете выбрать к этой столешнице любое основание для стола Sheffilton в разделе "Собери свой стол".</t>
  </si>
  <si>
    <t>белый муар/дуб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</si>
  <si>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t>
  </si>
  <si>
    <t>белый муар/золото/мрамор премиум темн.</t>
  </si>
  <si>
    <t>белый муар/мрамор премиум</t>
  </si>
  <si>
    <t>черный муар/золото/дуб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</si>
  <si>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t>
  </si>
  <si>
    <t>SHT-T162</t>
  </si>
  <si>
    <t>черный муар/золото/мрамор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</si>
  <si>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t>
  </si>
  <si>
    <t>черный муар/мрамор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</si>
  <si>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Опора устанавливается под наклоном.
Выполнено из металла, диаметр/толщина трубы 51/1 мм.
Толщина верхнего фланца для крепления столешницы 3 мм.</t>
  </si>
  <si>
    <t>Стол Sheffilton SHT-TU14/TT21-6 100/75 керамика</t>
  </si>
  <si>
    <t>черный муар/гранитно-серый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</si>
  <si>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Опора устанавливается под наклоном.
Предусмотрена пластиковая заглушка, эффективно защищает напольное покрытие от царапин.</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</si>
  <si>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напольное покрытие от царапин.</t>
  </si>
  <si>
    <t>чёрный/тёмный орех/гранитно-серый</t>
  </si>
  <si>
    <t>Стол Sheffilton SHT-TU14/TT21-6 90 керамика</t>
  </si>
  <si>
    <t>ваниль/песчаное облако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</si>
  <si>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 пластиковая заглушка, эффективно защищает половое покрытие от царапин.</t>
  </si>
  <si>
    <t>Стол Sheffilton SHT-TU14/TT30</t>
  </si>
  <si>
    <t>белый муар/золото/белый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</si>
  <si>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столешница хорошо переносит воздействие погодных
условий. Не деформируется и имеет более устойчивое сопротивление к изменению цвета.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СТАНЬТЕ ДИЗАЙНЕРОМ СВОЕГО СТОЛА!
Вы можете выбрать к этой столешнице любое основание для стола Sheffilton в разделе "Собери свой стол".</t>
  </si>
  <si>
    <t>Стол Sheffilton SHT-TU14/TT30 83/83</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</si>
  <si>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ПРООЧНОСТЬ И НАЖЕЖНОСТЬ.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Опора устанавливается под наклоном.
Выполнено из металла, диаметр/толщина трубы 51/1 мм.
Толщина верхнего фланца для крепления столешницы 3 мм.
Предусмотрена пластиковая заглушка, эффективно защищает половое покрытие от царапин.
Максимальная нагрузка на одну опору 12,5 кг.</t>
  </si>
  <si>
    <t>Стол Sheffilton SHT-TU14/TТ 83/83</t>
  </si>
  <si>
    <t>SHT-T158</t>
  </si>
  <si>
    <t>черный муар/золото/черный</t>
  </si>
  <si>
    <t>Стол Sheffilton SHT-TU14/БУК 70</t>
  </si>
  <si>
    <t>черный муар/золото/прозрачный лак</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</si>
  <si>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 Столешница выполнена целиком из натурального бука. Такой стол
будет долговечен, а красивая текстура натурально бука придает превосходный внешний вид! Природный
рисунок дерева делает каждую столешницу уникальной. Столешница отлично в пишется в интерьер стиля
"лофт" и "эко стиль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t>
  </si>
  <si>
    <t>Стол Sheffilton SHT-TU14/ДУБ 70/70 / КЕРАМИКА</t>
  </si>
  <si>
    <t>черн.муар/золото/прозр.лак/корич.сепия</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</si>
  <si>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Максимальная нагрузка на одну опору 12,5 кг.
СТАНЬТЕ ДИЗАЙНЕРОМ СВОЕГО СТОЛА! Именно под эти опоры Вы можете выбрать любую модель столешницы Sheffilton
в нашем конструкторе.</t>
  </si>
  <si>
    <t>Стол Sheffilton SHT-TU14/ДУБ 80/80</t>
  </si>
  <si>
    <t>SHT-T175</t>
  </si>
  <si>
    <t>черный муар/золото/дуб браш.коричневый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</si>
  <si>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Столешница выполнена целиком из натурального дуба. Брашированные,
обработанные бруски расположены через промежутки между собой. Необычный эффект "прозрачности" несомненно
развлечет посетителей и решит проблему с крошками на столе. Готовый стол будет долговечен так как
столешница почти не подвержена механическим повреждениям. Природный рисунок дерева подчеркнут "брашированием"
и делает каждую столешницу еще уникальней!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Максимальная нагрузка на одну опору 12,5 кг.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t>
  </si>
  <si>
    <t>Стол Sheffilton SHT-TU15/120/80 ЛДСП</t>
  </si>
  <si>
    <t>медный металлик/орех</t>
  </si>
  <si>
    <t>- В комплект входит: столешница SHT-TT 120/80 ЛДСП; основание SHT-TU15 металл.
- Элегантный и красивый столик.
- Ножки сделаны из металла, диаметр/толщина трубы 51/1 мм.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</si>
  <si>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SHT-T106</t>
  </si>
  <si>
    <t>медный металлик/венге</t>
  </si>
  <si>
    <t>Стол Sheffilton SHT-TU15/140/80 МДФ овальная</t>
  </si>
  <si>
    <t>медный металлик/мрамор премиум светлый</t>
  </si>
  <si>
    <t>Стол Sheffilton SHT-TU15/70 МДФ</t>
  </si>
  <si>
    <t>SHT-T77</t>
  </si>
  <si>
    <t>медный металлик/орех светлый</t>
  </si>
  <si>
    <t>В комплект входит:
- столешница SHT-TT 70 МДФ
- основание SHT-TU15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51/1 мм.
Толщина верхних кронштейнов для крепления столешницы 3 мм.
Предусмотрена пластиковая заглушка, эффективно защищает половое покрытие от царапин.
Опора устанавливается под наклоном.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
Для разных столешниц требуются различные крепежные приспособления. Подберите подходящие шурупы, дюбели,
саморезы и т.п. (не прилагаются).</t>
  </si>
  <si>
    <t>Стол Sheffilton SHT-TU15/90 ЛДСП</t>
  </si>
  <si>
    <t>медный металлик/дуб галифакс табак</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</si>
  <si>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Опора устанавливается под наклоном.
Максимальная нагрузка на одну опору 12,5 кг.
Гарантия 2 года.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</si>
  <si>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SHT-TU15/90 МДФ</t>
  </si>
  <si>
    <t>медный металлик/дуб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</si>
  <si>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Опора устанавливается под наклоном.
Выполнено из металла, диаметр/толщина трубы 51/1 мм.
Толщина верхнего фланца для крепления столешницы 3 мм.
Предусмотрен пластиковая заглушка, эффективно защищает половое покрытие от царапин.</t>
  </si>
  <si>
    <t>медный металлик/мрамор премиум</t>
  </si>
  <si>
    <t>Стол Sheffilton SHT-TU15/TT21-6 100/75 керамика</t>
  </si>
  <si>
    <t>медный металлик/коричневая сепия</t>
  </si>
  <si>
    <t>Стол Sheffilton SHT-TU16/120/80 ЛДСП</t>
  </si>
  <si>
    <t>темный орех/орех</t>
  </si>
  <si>
    <t>- Столик сочетает в себе гармоничную форму и качественные материалы.
- В комплект входит: столешница SHT-TT 120/80 ЛДСП; основание SHT-TU16 дерево.
- Ножки выполнены из массива дуба, толщиной 40 мм.
- Толщина верхних кронштейнов для крепления столешницы 3 мм.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Для разных столешниц требуются различные крепежные приспособления. Подберите подходящие шурупы,
дюбели, саморезы и т.п. (не прилагаются).
- Гарантия 2 года.</t>
  </si>
  <si>
    <t>SHT-T89</t>
  </si>
  <si>
    <t>прозрачный лак/дуб беленный</t>
  </si>
  <si>
    <t>Стол Sheffilton SHT-TU16/120/80 МДФ</t>
  </si>
  <si>
    <t>прозрачный лак/дуб сонома светлый</t>
  </si>
  <si>
    <t>В комплект входит:
- столешница SHT-TT 120/80 МДФ
- основание SHT-TU16 дерево
Стол со столешницей из МДФ будет гармонично и со вкусом смотреться в доме, офисе, дизайн-студии, кафе,
баре, ресторане.
Опоры сделаны из массива дуба, толщиной 40 мм.
Опора устанавливается под наклоном.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
Для разных столешниц требуются различные крепежные приспособления. Подберите подходящие шурупы, дюбели,
саморезы и т.п. (не прилагаются).</t>
  </si>
  <si>
    <t>Стол Sheffilton SHT-TU16/80 ЛДСП</t>
  </si>
  <si>
    <t>SHT-T100</t>
  </si>
  <si>
    <t>прозрачный лак/дуб беленый</t>
  </si>
  <si>
    <t>- В комплект входит: столешница SHT-TT 80 ЛДСП дуб беленый; основание SHT-TU16 прозрачный лак.
- Уютный и красивый столик.
- Ножки сделаны из массива дуба, толщиной 40 мм.,столешница из ЛДСП.
- Диаметр/толщина столешницы 800х25 мм, основания 60х25 мм.
- Опора крепится к столешнице под наклоном. Обработка "прозрачным лаком" позволяет сохранить уникальную
текстуру и рисунок массива дуба.
- Для разных столешниц требуются различные крепежные приспособления. Подберите подходящие шурупы,
дюбели, саморезы и т.п. (не прилагаются).
- Максимальная статическая нагрузка на стол 50 кг.</t>
  </si>
  <si>
    <t>Стол Sheffilton SHT-TU16/90 МДФ</t>
  </si>
  <si>
    <t>венге/дуб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</si>
  <si>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Выполнено из массива дуба, толщиной 40 мм.
- Толщина верхнего фланца для крепления столешницы 3 мм.</t>
  </si>
  <si>
    <t>венге/мрамор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</si>
  <si>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Опора крепится
к столешнице под наклоном. Обработка "прозрачным лаком" позволяет сохранить уникальную текстуру и
рисунок массива дуба. Стол с такими опорами будет гармонично смотреться в интерьере с эко-стилем!
- Выполнено из массива дуба, толщиной 40 мм.
- Толщина верхнего фланца для крепления столешницы 3 мм.
- Можно использовать круглые, овальные, квадратные, прямоугольные столешницы.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</si>
  <si>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SHT-TU16/TT21-6 100/75 керамика</t>
  </si>
  <si>
    <t>темный орех/коричневая сепия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</si>
  <si>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 Выполнено из массива дуба, толщиной 40 мм.
- Толщина верхнего фланца для крепления столешницы 3 мм.</t>
  </si>
  <si>
    <t>Стол Sheffilton SHT-TU17/120/80 ЛДСП</t>
  </si>
  <si>
    <t>SHT-T117</t>
  </si>
  <si>
    <t>"Плавные фигурные линии подстолья внесут элегантность в облик стола".
- В комплект входит: столешница SHT-TT 120/80 ЛДСП; основание SHT-TU17 металл.
- Ножки сделаны из металла, диаметр/толщина трубы 20x1,5 мм.
- Толщина верхних кронштейнов для крепления столешницы 3 мм.
- Предусмотрен подпятник с резиновой проставкой, диаметром 22 мм., подпятник эффективно защищает половое
покрытие от царапин.
- Опора устанавливается под наклоном.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</si>
  <si>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Стол Sheffilton SHT-TU17/80 МДФ</t>
  </si>
  <si>
    <t>SHT-T59</t>
  </si>
  <si>
    <t>В комплект входит:
- столешница SHT-TT 80 МДФ
- основание SHT-TU17 металл
Стол со столешницей из МДФ будет гармонично и со вкусом смотреться в доме, офисе, дизайн-студии, кафе,
баре, ресторане.
Основание из металла, диаметр/толщина 20х1,5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Опора устанавливается под наклоном.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
Для разных столешниц требуются различные крепежные приспособления. Подберите подходящие шурупы, дюбели,
саморезы и т.п. (не прилагаются).</t>
  </si>
  <si>
    <t>Стол Sheffilton SHT-TU20/120/80 ЛДСП</t>
  </si>
  <si>
    <t>- Дизайн подстолья вдохновлен помещениями 18 века, решетками каминов и уютным потрескиванием огня.
- В комплект входит: столешница SHT-TT 120/80 ЛДСП; основание SHT-TU20 металл.
- Подстолье выполнено из формованной металлической трубы, диаметром 51 мм.
- На основании предусмотрены опоры, регулируемые по высоте. Они позволяют использовать основание даже
на неровной поверхности.
- Столешница из ЛДСП.
- Толщина столешницы 25 мм.
- На торцевой части используется кромка из ПВХ - 2 мм.
- Максимальная статическая нагрузка на стол 50 кг.
- Гарантия 2 года.</t>
  </si>
  <si>
    <t>Стол Sheffilton SHT-TU20/120/80 МДФ</t>
  </si>
  <si>
    <t>черный муар/дуб сонома светлый</t>
  </si>
  <si>
    <t>В комплект входит:
- столешница SHT-TT 120/80 МДФ
- основание SHT-TU20 металл
Стол со столешницей из МДФ будет гармонично и со вкусом смотреться в доме, офисе, дизайн-студии, кафе,
баре, ресторане.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</si>
  <si>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SHT-TU2-1/70/70 ДУБ/OSB</t>
  </si>
  <si>
    <t>SHT-T75</t>
  </si>
  <si>
    <t>медный/прозрачный лак</t>
  </si>
  <si>
    <t>металл/дуб/osb 50 мм</t>
  </si>
  <si>
    <t>- В комплект входит:
столешница SHT-TT 70/70 ДУБ/OSB прозрачный лак
основание для стола SHT-TU2-1 медный
Столешница выполнена целиком из натурального дуба. Такой стол будет долговечен, а красивая текстура
натурально дуба придает превосходный внешний вид! Природный рисунок дерева делает каждую столешницу
уникальной. Каждое изделие покрыто прозрачным лаком, что обеспечивает защиту от внешних воздействий.
Столешница отлично в пишется в интерьер стиля "лофт".
С такой столешницей каждый стол будет уникальным - благодаря естественному рисунку натуральной древесины
и вариативности ее оттенков.
Основа столешницы - OSB - плита, толщиной 18 мм.
Столешница покрыта защитным бесцветным лаком.
Рельефное обрамление выполнено из дуба, толщиной 50 мм.
Устойчивость к впитыванию загрязнений, конденсата, жира.
Легкий и простой уход.
Изящные ножки соединены металлическими прутьями, которые вносят в образ утонченность и обеспечивают
его прочность.
Металлическая труба, диаметром/толщиной 20х1,5 мм. и пруток, диаметром 5 мм.
Толщина верхних кронштейнов для крепления столешницы 3 мм.
- Максимальная статическая нагрузка на стол 50 кг.</t>
  </si>
  <si>
    <t>Стол Sheffilton SHT-TU2-1/70 МДФ</t>
  </si>
  <si>
    <t>SHT-T84</t>
  </si>
  <si>
    <t>медный/орех светлый</t>
  </si>
  <si>
    <t>В комплект входит:
- столешница SHT-TT 70 МДФ
- основание SHT-TU2-1
Стол со столешницей из МДФ будет гармонично и со вкусом смотреться в доме, офисе, дизайн-студии, кафе,
баре, ресторане.
Основание для стола из металла, диаметр/толщина трубы 20х0,8 мм и прутка, диаметром 5 мм.
Толщина верхних кронштейнов для крепления столешницы 3 мм.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</si>
  <si>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SHT-TU2-1/76</t>
  </si>
  <si>
    <t>SHT-T27</t>
  </si>
  <si>
    <t>металл/металл</t>
  </si>
  <si>
    <t>В комплект входит:
- столешница SHT-TT 70 металл
- основание SHT-TU2-1
Стол со столешницей из металла будет гармонично и со вкусом смотреться в доме, офисе, дизайн-студии,
кафе, баре, ресторане.
Основание для стола из металла, диаметр/толщина трубы 20х0,8 мм и прутка, диаметром 5 мм.
Толщина верхних кронштейнов для крепления столешницы 3 мм.
Диаметр столешницы 800 мм.
Толщина столешницы 22 мм.
ПРОЧНОСТЬ
Столешница выполнена из металла покрыта порошковой краской, что обеспечивает защиту от механических
повреждений.
ДИЗАЙН И ЭСТЕТИКА
Столешница из металла смотрится аккуратно и привлекательно, поскольку имеет плавный закругленный переход
от лицевой поверхности к нижней.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цветные и под дерево.
Гарантия 2 года.</t>
  </si>
  <si>
    <t>Стол Sheffilton SHT-TU2-1/80 МДФ</t>
  </si>
  <si>
    <t>SHT-T78</t>
  </si>
  <si>
    <t>хром лак/бетон светлый</t>
  </si>
  <si>
    <t>хром лак/дуб тортуга</t>
  </si>
  <si>
    <t>черный/дуб тортуга</t>
  </si>
  <si>
    <t>SHT-Т78</t>
  </si>
  <si>
    <t>хром лак/белый</t>
  </si>
  <si>
    <t>Стол Sheffilton SHT-TU2-1/90 ЛДСП</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</si>
  <si>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Изящные ножки соединены металлическими прутьями, которые вносят в образ утонченность и обеспечивают
его прочность.
Максимальная статическая нагрузка на стол 50 кг.
Гарантия 2 года.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</si>
  <si>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SHT-TU2-1/90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</si>
  <si>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Металлическая труба, диаметром/толщиной 20х1,5 мм. и пруток, диаметром 5 мм.
Толщина верхних кронштейнов для крепления столешницы 3 мм.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</si>
  <si>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ДОЛГОВЕЧНОСТЬ.
Металлическая труба, диаметром/толщиной 20х1,5 мм. и пруток, диаметром 5 мм.
Толщина верхних кронштейнов для крепления столешницы 3 мм.
Максимальная статическая нагрузка на стол 50 кг
СТАНЬТЕ ДИЗАЙНЕРОМ СВОЕГО СТОЛА!
Вы можете выбрать к этой столешнице любое основание для стола Sheffilton в разделе "Собери свой стол".</t>
  </si>
  <si>
    <t>SHT-T142</t>
  </si>
  <si>
    <t>Стол Sheffilton SHT-TU2-1/TT21-6 100/75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</si>
  <si>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Металлическая труба, диаметром/толщиной 20х1,5 мм. и пруток, диаметром 5 мм.
Толщина верхних кронштейнов для крепления столешницы 3 мм.</t>
  </si>
  <si>
    <t>Стол Sheffilton SHT-TU2-1/TT30 83/83</t>
  </si>
  <si>
    <t>SHT-T123</t>
  </si>
  <si>
    <t>ДИЗАЙН В КАЖДОЙ ДЕТАЛИ!
СОВРЕМЕННЫЙ СТОЛ СО СТОЛЕШНИЦЕЙ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Основание из металлической труба, диаметром/толщиной 20х1,5 мм. и пруток, диаметром
5 мм.
Выдерживает продолжительные нагрузки - максимальная статическая нагрузка до 50 кг.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ПЛОСКАЯ УПАКОВКА
Стол разборный и имеет плоскую упаковку.
ЛЕГКИЙ И ПРОСТОЙ УХОД
Возникшие загрязнения на столешнице протрите влажной, а после чистой сухой тканью, при необходимости
можно использовать слабый мыльный раствор.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</si>
  <si>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медный мет./коричневый</t>
  </si>
  <si>
    <t>черный муар/бежевый ral1013</t>
  </si>
  <si>
    <t>Стол Sheffilton SHT-TU2-1/ТT4 70 БУК</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</si>
  <si>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целиком из натурального бука (толщина столешницы 25 мм). Металлическое подстолье
покрыто порошковой краской, устойчивой к механическому воздействию (диаметр/толщина трубы 20/1,5 мм,
прутка 5 мм)
Максимальная статическая нагрузка на стол 50 кг.
СПЕЦИАЛЬНЫЕ ПОДПЯТНИКИ подстолья обеспечивают защиту покрытия от царапин и повышают устойчивость стола.
К подстолью приложен комплект крепежа и схема сборки.
РЕКОМЕНДАЦИЯ ПО УХОДУ И СБОРКЕ
Протирать влажной или сухой тканью, при необходимости можно использовать слабый мыльный раствор. При
затяжке крепежа шуруповертом не стоит ставить больше третьей скорости.
СТАНЬТЕ ДИЗАЙНЕРОМ СВОЕГО СТОЛА!
Стол состоит из столешницы SHT-TT4 70 БУК и подстолья SHT-TU2-1. Вы можете выбрать любую модель и
цвет стола в нашем конструкторе.
ГАРАНТИЯ 2 ГОДА.</t>
  </si>
  <si>
    <t>Стол Sheffilton SHT-TU2-1/ТT7 60/60 ДУБ/керамика</t>
  </si>
  <si>
    <t>SHT-T128</t>
  </si>
  <si>
    <t>металл/керамика/массив дерева</t>
  </si>
  <si>
    <t>- В комплект входит: столешница SHT-ТT7 60/60 ДУБ/керамика и основание SHT-TU2-1 черный муар.
- Идеальный вариант для пространств в стиле лофт.
- Столешницы со вставкой из керамики мало подвержены механическим повреждениям и царапинам, устойчивы
к ударам.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 Подходит для использования в домашних и общественных помещениях, в кафе, баре, ресторане;
- Длина/ширина столешницы 600 мм., высота 50 мм.;
- Инструкция по уходу: протирать влажной тканью, вытирать чистой сухой тканью, при необходимости можно
использовать слабый мыльный раствор;
- Изящные ножки соединены металлическими прутьями, которые вносят в образ утонченность и обеспечивают
его прочность.
- Металлическая труба, диаметром/толщиной 20х1,5 мм. и пруток, диаметром 5 мм.
- Толщина верхних кронштейнов для крепления столешницы 3 мм.
- Максимальная статическая нагрузка на стол 50 кг.</t>
  </si>
  <si>
    <t>Стол Sheffilton SHT-TU2-1/ТT8 60/60 ДУБ/керамика</t>
  </si>
  <si>
    <t>SHT-T76</t>
  </si>
  <si>
    <t>медный/прозрачный лак/коричневая сепия</t>
  </si>
  <si>
    <t>- В комплект входит: столешница SHT-TT8 60/60 прозрачный лак/коричневая сепия; основание SHT-TU2-1
медный.
- Столешницы из керамики абсолютно не подвержены механическим повреждениям и царапинам, устойчивы
к ударам.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 Длина/ширина столешницы 600 мм., высота 55 мм.;
- Инструкция по уходу: протирать влажной тканью, вытирать чистой сухой тканью, при необходимости можно
использовать слабый мыльный раствор;
- Изящные ножки соединены металлическими прутьями, которые вносят в образ утонченность и обеспечивают
его прочность.
- Металлическая труба, диаметром/толщиной 20х1,5 мм. и пруток, диаметром 5 мм.
- Толщина верхних кронштейнов для крепления столешницы 3 мм.
- Максимальная статическая нагрузка на стол 50 кг.</t>
  </si>
  <si>
    <t>Стол Sheffilton SHT-TU22/TT10 ДУБ/слэб</t>
  </si>
  <si>
    <t>натуральное дерево/металл</t>
  </si>
  <si>
    <t>- В комплект входит: столешница SHT-TT10 ДУБ/слэб; основание для стола SHT-TU22 дуб рашированный коричневый/черный
муар.
- Такой стол будет долговечен, а красивая текстура натурально дуба придает превосходный внешний вид!
- Уютно смотрится в интерьерах кафе, баров, ресторанов и в жилых пространствах.
- Основание выполнено из металла и отдекорированно пластинами из натурального "брашированного" дуба
(эффект искусственного старения).
- Жесткость и прочность конструкции обеспечивается массивной металлической трубой из которой выполнена
стойка.
- Усиленная крестовина из металла под столешницу.
- Столешница выполнена целиком из натурального дуба. По краям сохранена и обработана лаком уникальная
текстура коры. Стол с такой столешницей будет долговечен, а красивая текстура натурально дуба придает
превосходный внешний вид! Природный рисунок дерева подчеркнут лаком и делает каждую столешницу еще
уникальней! Столешница отлично в пишется в интерьер ресторана, кафе или бара.
- Устойчивость к впитыванию загрязнений, конденсата, жира.
- Легкий и простой уход.
- Максимальная статическая нагрузка на стол 50 кг.</t>
  </si>
  <si>
    <t>Стол Sheffilton SHT-TU22/TT5 ДУБ</t>
  </si>
  <si>
    <t>SHT-T116</t>
  </si>
  <si>
    <t>массив дуба/металл</t>
  </si>
  <si>
    <t>- В комплект входит: столешница со втавкой из керамики SHT-TT5 ДУБ; основание для стола SHT-TU22 дуб
рашированный коричневый/черный муар.
- Такой стол будет долговечен, а красивая текстура натурально дуба придает превосходный внешний вид!
- Уютно смотрится в интерьерах кафе, баров, ресторанов и в жилых пространствах.
- Основание выполнено из металла и отдекорированно пластинами из натурального "брашированного" дуба
(эффект искусственного старения).
- Жесткость и прочность конструкции обеспечивается массивной металлической трубой из которой выполнена
стойка.
- Усиленная крестовина из металла под столешницу.
- Столешница выполнена целиком из натурального дуба. Брашированные, обработанные бруски расположены
через промежутки между собой. Необычный эффект "прозрачности" несомненно, развлечет посетителей и
решит проблему с крошками на столе. Готовый стол будет долговечен, так как столешница почти не подвержена
механическим повреждениям. Природный рисунок дерева подчеркнут "брашированием" и делает каждую столешницу
еще уникальней!
- Устойчивость к впитыванию загрязнений, конденсата, жира.
- Максимальная статическая нагрузка на стол 50 кг.</t>
  </si>
  <si>
    <t>Стол Sheffilton SHT-TU23/H71/80 МДФ</t>
  </si>
  <si>
    <t>SHT-T81</t>
  </si>
  <si>
    <t>темно-серый RAL70/дуб тортуга</t>
  </si>
  <si>
    <t>В комплект входит:
- столешница SHT-TT 80 МДФ
- основание SHT-TU23_H71
Стол со столешницей из МДФ будет гармонично и со вкусом смотреться в доме, офисе, дизайн-студии, кафе,
баре, ресторане.
Подстолье выполнено из металлического прутка диаметром 10 мм.
Верхний фланец изготовлен из металлического листа толщиной 5 мм.
Надежный металлический каркас и фланец окрашены порошковой краской, устойчивой к механическому воздействию.
На основании предусмотрены шарнирные опоры, регулируемые по высоте. Они позволяют использовать основание
даже на неровной поверхности.
На опоры наклеены подпятники из полипропилена.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</si>
  <si>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SHT-TU23/H71/ЛДСП 80/80</t>
  </si>
  <si>
    <t>темно-серый RAL70/белый</t>
  </si>
  <si>
    <t>В комплект входит:
- столешница SHT-TT 80/80 ЛДСП белый
- основание SHT-TU23_H71 темно-серый RAL7021
- Стильный, одновременно изящный и надежный стол, непременно украсит Ваш интерьер.
- Стол с таким подстольем будет прекрасно смотреться в интерьерах кафе, баров, ресторанов и в жилых
пространствах.
-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
- На опоры наклеены подпятники из полипропилена;
- Столешница выполнена из ЛДСП.
- Толщина столешницы - 25 мм.
- На торцевой части используется кромка из ПВХ - 2 мм.
- Максимальная статическая нагрузка на стол 50 кг.</t>
  </si>
  <si>
    <t>Стол Sheffilton SHT-TU23/Н21/TT21-6 100/75 керамика</t>
  </si>
  <si>
    <t>темно-серый ral7021/коричневая сепия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</si>
  <si>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t>
  </si>
  <si>
    <t>Стол Sheffilton SHT-TU23/Н71/90 МДФ</t>
  </si>
  <si>
    <t>темно-серый/мрамор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</si>
  <si>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Подстолье выполнено из металлического прутка диаметром 10 мм.;
- Верхний фланец изготовлен из металлического листа толщиной 5 мм.;
- Надежный металлический каркас и фланец окрашены порошковой краской, устойчивой к механическому воздействию;
- На основании предусмотрены шарнирные опоры, регулируемые по высоте. Они позволяют использовать основание
даже на неровной поверхности.</t>
  </si>
  <si>
    <t>Стол Sheffilton SHT-TU25/70 МДФ</t>
  </si>
  <si>
    <t>черный муар/орех светлый</t>
  </si>
  <si>
    <t>В комплект входит:
- столешница SHT-TT 70 МДФ
- основание SHT-TU25
Стол со столешницей из МДФ будет гармонично и со вкусом смотреться в доме, офисе, дизайн-студии, кафе,
баре, ресторане.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</si>
  <si>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SHT-TU25/80 МДФ</t>
  </si>
  <si>
    <t>SHT-T72</t>
  </si>
  <si>
    <t>В комплект входит:
- столешница SHT-TT 80 МДФ
- основание SHT-TU25
Стол со столешницей из МДФ будет гармонично и со вкусом смотреться в доме, офисе, дизайн-студии, кафе,
баре, ресторане.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</si>
  <si>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SHT-TU25/90 ЛДСП</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</si>
  <si>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Подстолье выполнено из формованной металлической трубы, диаметром 51 мм.
Можно использовать круглые и квадратные столешницы от 600 - 800 мм.
На основании предусмотрены опоры, регулируемые по высоте. Они позволяют использовать основание даже
на неровной поверхности.
Максимальная статическая нагрузка - 50 кг.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</si>
  <si>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SHT-TU25/90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</si>
  <si>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Подстолье выполнено из формованной металлической трубы, диаметром 51 мм.
Можно использовать круглые и квадратные столешницы от 600 - 800 мм.</t>
  </si>
  <si>
    <t>SHT-T161</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</si>
  <si>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t>
  </si>
  <si>
    <t>Стол Sheffilton SHT-TU25/TT21-6 90 керамика</t>
  </si>
  <si>
    <t>черный муар/песчаное облако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</si>
  <si>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t>
  </si>
  <si>
    <t>Стол Sheffilton SHT-TU25/TT30 83/83</t>
  </si>
  <si>
    <t>ДИЗАЙН В КАЖДОЙ ДЕТАЛИ!
СОВРЕМЕННЫЙ СТОЛ СО СТОЛЕШНИЦЕЙ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Основание из формованной металлической трубы, диаметром 51 мм.
Выдерживает продолжительные нагрузки - максимальная статическая нагрузка до 50 кг.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ПЛОСКАЯ УПАКОВКА
Стол разборный и имеет плоскую упаковку.
ЛЕГКИЙ И ПРОСТОЙ УХОД
Возникшие загрязнения на столешнице протрите влажной, а после чистой сухой тканью, при необходимости
можно использовать слабый мыльный раствор.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</si>
  <si>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Стол Sheffilton SHT-TU25/TU21-6 100-75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</si>
  <si>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Дизайн подстолья вдохновлен помещениями
18 века, решетками каминов и уютным потрескиванием огня. Вы можете выбрать столешницу по своему вкусу
в конструкторе столов.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t>
  </si>
  <si>
    <t>Стол Sheffilton SHT-TU28/120-80 МДФ</t>
  </si>
  <si>
    <t>В комплект входит:
- столешница SHT-TT 120/80 МДФ
- основание SHT-TU28 металл
Стол со столешницей из МДФ будет гармонично и со вкусом смотреться в доме, офисе, дизайн-студии, кафе,
баре, ресторане.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</si>
  <si>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SHT-TU28/120/80 МДФ</t>
  </si>
  <si>
    <t>Стол Sheffilton SHT-TU28/TT21-6 100/75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</si>
  <si>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В КОМПЛЕКТ ВХОДИТ ДВЕ ОПОРЫ;
- Подстолье выполнено из формованной металлической трубы, диаметром 51 мм.
- На основании предусмотрены опоры, регулируемые по высоте. Они позволяют использовать основание даже
на неровной поверхности.</t>
  </si>
  <si>
    <t>Стол Sheffilton SHT-TU30-2/120/80 ЛДСП</t>
  </si>
  <si>
    <t>SHT-T164</t>
  </si>
  <si>
    <t>бежевый/дуб беленый</t>
  </si>
  <si>
    <t>пластик/ЛДСП</t>
  </si>
  <si>
    <t>ДИЗАЙН В КАЖДОЙ ДЕТАЛИ!
СОВРЕМЕННЫЙ СТОЛ С ОСНОВАНИЕМ ИЗ АРМИРОВАННОГО ПЛАСТИКА - один из инновационных и стильных предметов
мебельной обстановки. Стол с таким основанием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Основание из полипропилена с армирующими добавками, благодаря которым повышается жесткость и надежность.
Столешница выполнена из ЛДСП и покрыта специальной пленкой, которая формирует защитный слой от внешнего
воздействия. На торцевой части используется кромка из ПВХ - 2 мм.
Выдерживает продолжительные нагрузки - максимальная статическая нагрузка до 100 кг.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Цвет каждой столешницы имитирует текстуру ценного сорта древесины.
ПЛОСКАЯ УПАКОВКА
Стол разборный и имеет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ФУНКЦИОНАЛЬНОСТЬ
Специальная дополнительная вставка позволяет увеличить базу подстолья и использовать его для столешниц
больших размеров (800*1200). При желании можно убрать вставку и использовать основание для квадратных
или круглых столешниц.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</si>
  <si>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Стол Sheffilton SHT-TU30-2/140/80 ЛДСП</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</si>
  <si>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модную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СТАНЬТЕ ДИЗАЙНЕРОМ СВОЕГО СТОЛА!
Вы можете выбрать к этой столешнице любое основание для стола Sheffilton в разделе "Собери свой стол".</t>
  </si>
  <si>
    <t>Стол Sheffilton SHT-TU30-2/140/80 МДФ овальная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</si>
  <si>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</si>
  <si>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SHT-TU30-2/TT 120/80</t>
  </si>
  <si>
    <t>SHT-CП07</t>
  </si>
  <si>
    <t>белый/бетон голубой</t>
  </si>
  <si>
    <t>ДИЗАЙН В КАЖДОЙ ДЕТАЛИ!
СОВРЕМЕННЫЙ СТОЛ С ОСНОВАНИЕМ ИЗ АРМИРОВАННОГО ПЛАСТИКА - один из инновационных и стильных предметов
мебельной обстановки. Стол с таким основанием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Основание из полипропилена с армирующими добавками, благодаря которым повышается жесткость и надежность.
Столешница из МДФ отличается повышенной жесткостью и устойчива к воздействию влаги. Не подвержены
химическим и механическим воздействиям – процарапыванию, истиранию и растрескиванию.
Выдерживает продолжительные нагрузки - максимальная статическая нагрузка до 100 кг.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ПЛОСКАЯ УПАКОВКА
Стол разборный и имеет плоскую упаковку.
ЛЕГКИЙ И ПРОСТОЙ УХОД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ФУНКЦИОНАЛЬНОСТЬ
Специальная дополнительная вставка позволяет увеличить базу подстолья и использовать его для столешниц
больших размеров (800*1200). При желании можно убрать вставку и использовать основание для квадратных
или круглых столешниц.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</si>
  <si>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SHT-СП07</t>
  </si>
  <si>
    <t>коричневый/бетон крем</t>
  </si>
  <si>
    <t>коричневый/палисандр</t>
  </si>
  <si>
    <t>Стол Sheffilton SHT-TU30-2/TT21-6 100/75 керамика</t>
  </si>
  <si>
    <t>черный/коричневая сепия</t>
  </si>
  <si>
    <t>пластик/керамика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</si>
  <si>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Изящные перекрещивающиеся ножки повторяют натуральные изгибы деревьев.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ПЕРЕНОСИТ ВОЗДЕЙСТВИЕ ЛЮБЫХ ПОГОДНЫХ УСЛОВИЙ
Подстолье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t>
  </si>
  <si>
    <t>Стол Sheffilton SHT-TU30-2/TT26 118/77 стекло</t>
  </si>
  <si>
    <t>бежевый/дымчатый</t>
  </si>
  <si>
    <t>пластик/стекло</t>
  </si>
  <si>
    <t>ДИЗАЙН И ЭСТЕТИКА
С помощью стола со стеклянной столешницей Вы добавите интерьеру легкости, воздушности, света, а также
визуально увеличите пространство. В сочетании с основанием SHT-TU30-2 стол станет оригинальным украшением
с неповторимым внешним видом.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что полностью безопасно для
эксплуатации.
ДОЛГОВЕЧНОСТЬ И ИЗНОСОСТОЙКОСТЬ
Находясь в постоянной эксплуатации, стеклянная столешница по истечении длительного времени не деформируется
и не сотрётся. Стекло триплекс толщиной от 10 мм, с легкостью выдержит вес предметов сервировки и
блюд.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Стол выдерживает продолжительные нагрузки - максимальная статическая нагрузка до 50 кг.
Благодаря повышенным АТМОСФЕРОСТОЙКИМ СВОЙСТВАМ, стол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t>
  </si>
  <si>
    <t>коричневый/дымчатый</t>
  </si>
  <si>
    <t>SHT-Т167</t>
  </si>
  <si>
    <t>белый/дымчатый</t>
  </si>
  <si>
    <t>черный/дымчатый</t>
  </si>
  <si>
    <t>Стол Sheffilton SHT-TU30-2/TT26 118/77 СТЕКЛО</t>
  </si>
  <si>
    <t>серый/дымчатый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</si>
  <si>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СТОЛЕШНИЦА ИЗ СТЕКЛА ТРИПЛЕКС – одна из современных и стильных предметов мебельной обстановки. Такая
столешница отличается своей прочностью, легкостью, долговечностью и востребована дизайнерами интерьеров.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и закругленные края, что полностью
безопасно для эксплуатации.
СТАНЬТЕ ДИЗАЙНЕРОМ СВОЕГО СТОЛА!
К столешнице подходит только пластиковое основание SHT-TU30-2. Вы можете выбрать любой цвет в нашем
конструкторе.
ДОЛГОВЕЧНОСТЬ И ИЗНОСОСТОЙКОСТЬ
Находясь в постоянной эксплуатации, стеклянная столешница будет надежным практичным спутником Ваших
трапез. Стекло триплекс толщиной 10 мм, с легкостью выдержит вес предметов сервировки и блюд.
Максимальная статическая нагрузка до 50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 Вы создадите стол, который станет
оригинальным украшением с неповторимым и изысканным внешним видом.
ФУНКЦИОНАЛЬНОСТЬ
Стеклянная столешница легко крепится на основание SHT-TU30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t>
  </si>
  <si>
    <t>Стол Sheffilton SHT-TU30/90 ЛДСП</t>
  </si>
  <si>
    <t>коричневый/дуб галифакс табак</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</si>
  <si>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ДИЗАЙН И ЭСТЕТИКА
Столешница из ЛДСП смотрится аккуратно и привлекательно. Цвет каждой столешницы имитирует текстуру
ценного сорта древесины. Изящные перекрещивающиеся ножки повторяют натуральные изгибы деревьев.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ФУНКЦИОНАЛЬНОСТЬ
Специальная дополнительная вставка позволяет увеличить базу подстолья и использовать его для столешниц
больших размеров (800*1200). Приобретается отдельно!
СТАНЬТЕ ДИЗАЙНЕРОМ СВОЕГО СТОЛА!
Вы можете выбрать к этой столешнице любое основание для стола Sheffilton в разделе "Собери свой стол".</t>
  </si>
  <si>
    <t>SHT-T165</t>
  </si>
  <si>
    <t>черный/дуб галифакс табак</t>
  </si>
  <si>
    <t>Стол Sheffilton SHT-TU30/90 МДФ</t>
  </si>
  <si>
    <t>белый/дуб верона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</si>
  <si>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t>
  </si>
  <si>
    <t>SHT-CП16</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</si>
  <si>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СТАНЬТЕ ДИЗАЙНЕРОМ СВОЕГО СТОЛА!
Вы можете выбрать к этой столешнице любое основание для стола Sheffilton в разделе "Собери свой стол".</t>
  </si>
  <si>
    <t>черный/дуб верона белый</t>
  </si>
  <si>
    <t>SHT-СП16</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</si>
  <si>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Столешница из
МДФ отличается повышенной жесткостью и устойчива к воздействию влаги.
Благодаря повышенным АТМОСФЕРОСТОЙКИМ СВОЙСТВАМ, сидение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t>
  </si>
  <si>
    <t>Стол Sheffilton SHT-TU30/TT21-6 100/75 керамика</t>
  </si>
  <si>
    <t>коричневый/коричневая сепия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</si>
  <si>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Изящные перекрещивающиеся ножки
повторяют натуральные изгибы деревьев.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ПЕРЕНОСИТ ВОЗДЕЙСТВИЕ ЛЮБЫХ ПОГОДНЫХ УСЛОВИЙ
Подстолье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ФУНКЦИОНАЛЬНОСТЬ
Специальная дополнительная вставка позволяет увеличить базу подстолья и использовать его для столешниц
больших размеров (800*1200). Приобретается отдельно!</t>
  </si>
  <si>
    <t>Стол Sheffilton SHT-TU30/TT26 90 СТЕКЛО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</si>
  <si>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СТОЛЕШНИЦА ИЗ СТЕКЛА ТРИПЛЕКС – одна из современных и стильных предметов мебельной обстановки. Такая
столешница отличается своей прочностью, легкостью, долговечностью и востребована дизайнерами интерьеров.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ТЕХНОЛОГИЯ ТРИПЛЕКС, КАК БЕЗОПАСНОСТЬ
Стеклянная столешница триплекс от Sheffilton состоит из двух стекол, склеенных между собой специальной
полимерной пленкой. Благодаря такой структуре, при разрушении стекло остается приклеенным к плёнке,
что сильно повышает уровень безопасности. Кромка столешницы обработана и закругленные края, что полностью
безопасно для эксплуатации.
СТАНЬТЕ ДИЗАЙНЕРОМ СВОЕГО СТОЛА!
К столешнице подходит только пластиковое основание SHT-TU30. Вы можете выбрать любой цвет в нашем
конструкторе.
ДОЛГОВЕЧНОСТЬ И ИЗНОСОСТОЙКОСТЬ
Находясь в постоянной эксплуатации, стеклянная столешница будет надежным практичным спутником Ваших
трапез. Стекло триплекс толщиной 10 мм, с легкостью выдержит вес предметов сервировки и блюд.
Максимальная статическая нагрузка до 50 кг.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ДИЗАЙН И ЭСТЕТИКА
С помощью стеклянной столешницы Вы добавите интерьеру легкости, воздушности, света, а также визуально
увеличите пространство. Прикрепив к столешнице основание SHT-TU30, Вы создадите стол, который станет
оригинальным украшением с неповторимым и изысканным внешним видом.
ФУНКЦИОНАЛЬНОСТЬ
Стеклянная столешница легко крепится на основание SHT-TU30 с помощью прилагающегося крепежа в виде
резиновых прозрачных "липучек". Благодаря своему весу столешница прочно фиксируется на "липучках"
и позволяет пользоваться с максимальным комфортом.
ЛЕГКИЙ УХОД
Стеклянная столешница для кухни неприхотлива в уходе. Возникшие загрязнения протрите влажной тканью
и вытрите чистой сухой тканью, при необходимости можно использовать специальное чистящее средство
для стекол. Для хранения и содержания столешницы не требуются особые условия.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t>
  </si>
  <si>
    <t>Стол Sheffilton SHT-TU30/TT30 83/83</t>
  </si>
  <si>
    <t>серый/серый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</si>
  <si>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подстолье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ЛЕГКИЙ И ПРОСТОЙ УХОД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
ПРОСТОЙ УХОД: глубина "канавки" - 1 мм, что позволяет удалять загрязнения и пыль с поверхности без
лишних проблем."
ПЛОСКАЯ УПАКОВКА
Столешница не разборная и имеет плоскую упаковку.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t>
  </si>
  <si>
    <t>SHT-СП01</t>
  </si>
  <si>
    <t>ДИЗАЙН В КАЖДОЙ ДЕТАЛИ!
СОВРЕМЕННЫЙ СТОЛ ИЗ АРМИРОВАННОГО ПЛАСТИКА - один из инновационных и стильных предметов мебельной
обстановки. Такой стол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 выполнен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Изящные перекрещивающиеся ножки повторяют натуральные изгибы деревьев. 
ПРОСТОЙ УХОД: глубина "канавки" - 1 мм, что позволяет удалять загрязнения и пыль с поверхности без
лишних проблем."
ПЛОСКАЯ УПАКОВКА
Стол разборный и имеет плоскую упаковку.
ЛЕГКИЙ И ПРОСТОЙ УХОД
Пластиковый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</si>
  <si>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коричневый/коричневый</t>
  </si>
  <si>
    <t>Стол Sheffilton SHT-TU30/TT76</t>
  </si>
  <si>
    <t>SHT-СП09</t>
  </si>
  <si>
    <t>ДИЗАЙН В КАЖДОЙ ДЕТАЛИ!
СОВРЕМЕННЫЙ СТОЛ С ОСНОВАНИЕМ ИЗ АРМИРОВАННОГО ПЛАСТИКА - один из инновационных и стильных предметов
мебельной обстановки. Стол с таким основанием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Основание из полипропилена с армирующими добавками, благодаря которым повышается жесткость и надежность.
Столешница выполнена из металла покрыта порошковой краской, что обеспечивает защиту от механических
повреждений. Диаметр/толщина столешницы 760х16 мм.
Крепление столешницы: использовать винт самонарезающий с прессшайбой 4,2х16 мм.
Для возможности крепления столешницы к основаниям разных типов и размеров предусмотрена фанера с обратной
стороны, толщиной 10 мм, покрытая бесцветным лаком, что защищает ее от воздействия окружающей среды.
Выдерживает продолжительные нагрузки - максимальная статическая нагрузка до 100 кг.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ПЛОСКАЯ УПАКОВКА
Стол разборный и имеет плоскую упаковку.
ЛЕГКИЙ И ПРОСТОЙ УХОД
Пластиковый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</si>
  <si>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Стол Sheffilton SHT-TU30/TT80</t>
  </si>
  <si>
    <t>SHT-СП10</t>
  </si>
  <si>
    <t>ваниль/дуб беленый</t>
  </si>
  <si>
    <t>ДИЗАЙН В КАЖДОЙ ДЕТАЛИ!
СОВРЕМЕННЫЙ СТОЛ С ОСНОВАНИЕМ ИЗ АРМИРОВАННОГО ПЛАСТИКА - один из инновационных и стильных предметов
мебельной обстановки. Стол с таким основанием отличается своей прочностью, легкостью, долговечностью
и считается самой востребованной мебелью среди современных потребителей. Современный стиль позволяет
добавить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Основание из полипропилена с армирующими добавками, благодаря которым повышается жесткость и надежность.
Столешница выполнена из ЛДСП и покрыта специальной пленкой, которая формирует защитный слой от внешнего
воздействия. На торцевой части используется кромка из ПВХ - 2 мм.
Выдерживает продолжительные нагрузки - максимальная статическая нагрузка до 100 кг.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ДИЗАЙН И ЭСТЕТИКА
Изящные перекрещивающиеся ножки повторяют натуральные изгибы деревьев.
ПЛОСКАЯ УПАКОВКА
Стол разборный и имеет плоскую упаковку.
ЛЕГКИЙ И ПРОСТОЙ УХОД
Пластиковый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СТАНЬТЕ ДИЗАЙНЕРОМ СВОЕГО СТОЛА!
Стол состоит из отдельных частей: основание и столешница. Вы можете выбрать любую модель и цвет стола
в нашем конструкторе.
ПОД ЗАКАЗ
Доступны любые цветовые сочетания от 50 штук.</t>
  </si>
  <si>
    <t>Стол Sheffilton SHT-TU30/TT80/80</t>
  </si>
  <si>
    <t>SHT-СП08</t>
  </si>
  <si>
    <t>ваниль/белый</t>
  </si>
  <si>
    <t>Стол Sheffilton SHT-TU30/TU21-6 90 керамика</t>
  </si>
  <si>
    <t>белый/песчаное облако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</si>
  <si>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Изящные перекрещивающиеся ножки
повторяют натуральные изгибы деревьев.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СОВРЕМЕННОЕ ОСНОВАНИЕ ИЗ АРМИРОВАННОГО ПЛАСТИКА - один из инновационных и стильных предметов мебельной
обстановки. Такое подстолье отличается своей прочностью, легкостью и долговечностью и считается самой
востребованной мебелью среди современных потребителей. Современный стиль основания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ПЕРЕНОСИТ ВОЗДЕЙСТВИЕ ЛЮБЫХ ПОГОДНЫХ УСЛОВИЙ
Подстолье выполнено из атмосферостойкого пластика. Устойчиво к прямым солнечным лучам, не деформируется
и не изменяет цвет. Можно использовать на открытом воздухе при температуре от -15 С до +40С.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t>
  </si>
  <si>
    <t>Стол Sheffilton SHT-TU3-1/80/80 ЛДСП</t>
  </si>
  <si>
    <t>SHT-T58</t>
  </si>
  <si>
    <t>- В комплект входит: столешница SHT-TT 80/80 ЛДСП венге; основание SHT-TU3-1 медный металлик.
- Роскошно смотрится в интерьерах кафе, баров, ресторанов и в жилых пространствах.
- Основание выполнено из металлического листа, толщиной 5 мм и прутка, диаметром 5 мм.
- Опоры подстолья регулируются по высоте, что позволяет использовать подстолье даже на неровных поверхностях,
без каких-либо последствий для устойчивости.
- Столешница из ЛДСП, толщиной 25 мм.
- Максимальная статическая нагрузка на стол 50 кг.</t>
  </si>
  <si>
    <t>- В комплект входит: столешница SHT-TT 80/80 ЛДСП белый; основание SHT-TU3-1 черный.
- Роскошно смотрится в интерьерах кафе, баров, ресторанов и в жилых пространствах.
- Основание выполнено из металлического листа, толщиной 5 мм и прутка, диаметром 5 мм.
- Опоры подстолья регулируются по высоте, что позволяет использовать подстолье даже на неровных поверхностях,
без каких-либо последствий для устойчивости.
- Столешница из ЛДСП, толщиной 25 мм.
- Максимальная статическая нагрузка на стол 50 кг.</t>
  </si>
  <si>
    <t>Стол Sheffilton SHT-TU3-1/80 МДФ</t>
  </si>
  <si>
    <t>SHT-T50</t>
  </si>
  <si>
    <t>В комплект входит:
- столешница SHT-TT 80 МДФ
- основание SHT-TU3-1
Стол со столешницей из МДФ будет гармонично и со вкусом смотреться в доме, офисе, дизайн-студии, кафе,
баре, ресторане.
Основание выполнено из металлического листа, толщиной 5 мм и прутка, диаметром 5 мм.
Опоры подстолья регулируются по высоте, что позволяет использовать подстолье даже на неровных поверхностях,
без каких-либо последствий для устойчивости.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</si>
  <si>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SHT-TU3-1/90 ЛДСП</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</si>
  <si>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Максимальная статическая нагрузка на стол 50 кг.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</si>
  <si>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SHT-TU3-1/90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</si>
  <si>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</si>
  <si>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ДОЛГОВЕЧНОСТЬ.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
Максимальная статическая нагрузка на стол 50 кг
СТАНЬТЕ ДИЗАЙНЕРОМ СВОЕГО СТОЛА!
Вы можете выбрать к этой столешнице любое основание для стола Sheffilton в разделе "Собери свой стол".</t>
  </si>
  <si>
    <t>SHT-T139</t>
  </si>
  <si>
    <t>Стол Sheffilton SHT-TU3-1/TT21-6 100/75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</si>
  <si>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Крестовина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t>
  </si>
  <si>
    <t>Стол Sheffilton SHT-TU3-1/TT21-6 90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</si>
  <si>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рестовина подстолья сделана из трубы, что делает несущую конструкцию существенно жестче и позволяет
устанавливать столешницы размером до 900мм без изменений жесткости стола.
Опоры регулируются по высоте, что позволяет использовать подстолье даже на неровных поверхностях,
без каких-либо последствий для устойчивости.
Основание выполнено из металлического листа, толщиной 5 мм и прутка, диаметром 5 мм.
Толщина верхних кронштейнов для крепления столешницы 5 мм.</t>
  </si>
  <si>
    <t>Стол Sheffilton SHT-TU34-P/70/70 МДФ</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</si>
  <si>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изящных ножках, соединенных дугообразными металлическими прутьями, которые
вносят в образ готового стола утонченность.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Столешница из МДФ отличается
повышенной жесткостью и устойчива к воздействию влаги.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</si>
  <si>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Стол Sheffilton SHT-TU34-P/70 БУК</t>
  </si>
  <si>
    <t>черный муар/прозрачный лак</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</si>
  <si>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изящных ножках, соединенных дугообразными металлическими прутьями, которые
вносят в образ готового стола утонченность. Столешница выполнена целиком из натурального бука. Такой
стол будет долговечен, а красивая текстура натурально бука придает превосходный внешний вид! Природный
рисунок дерева делает каждую столешницу уникальной.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</si>
  <si>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Стол Sheffilton SHT-TU34-P/80/80 ДУБ</t>
  </si>
  <si>
    <t>SHT-T174</t>
  </si>
  <si>
    <t>черный муар/дуб браш.коричневый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</si>
  <si>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изящных ножках, соединенных дугообразными металлическими прутьями, которые
вносят в образ готового стола утонченность. Столешница выполнена целиком из натурального дуба. Брашированные,
обработанные бруски расположены через промежутки между собой. Необычный эффект "прозрачности" несомненно
развлечет посетителей и решит проблему с крошками на столе.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</si>
  <si>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Стол Sheffilton SHT-TU34-P/80/80 ЛДСП</t>
  </si>
  <si>
    <t>SHT-T146</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</si>
  <si>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изящных ножках, соединенных дугообразными металлическими прутьями, которые
вносят в образ готового стола утонченность. Цвет каждой столешницы имитирует текстуру ценного сорта
древесины.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Столешница
выполнена из ЛДСП и покрыта специальной пленкой, которая формирует защитный слой от внешнего воздействия.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</si>
  <si>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Стол Sheffilton SHT-TU34-P/80/80 МДФ</t>
  </si>
  <si>
    <t>Стол Sheffilton SHT-TU34-P/80 ЛДСП</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</si>
  <si>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заключен в изящных ножках, соединенных дугообразными металлическими прутьями, которые
вносят в образ готового стола утонченность. Цвет каждой столешницы имитирует текстуру ценного сорта
древесины.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Столешница
выполнена из ЛДСП и покрыта специальной пленкой, которая формирует защитный слой от внешнего воздействия.
ПОЛНОСТЬЮ РАЗБОРНОЕ основание позволяет хранить и транспортировать в плоской картонной упаковке.
СТАНЬТЕ ДИЗАЙНЕРОМ СВОЕГО СТОЛА!
Вы можете выбрать любой цвет, размер и форму столешницы в нашем конструкторе.</t>
  </si>
  <si>
    <t>Стол Sheffilton SHT-TU34-P/80 МДФ</t>
  </si>
  <si>
    <t>SHT-T143</t>
  </si>
  <si>
    <t>черный муар/белоснежная шагрень</t>
  </si>
  <si>
    <t>черный муар/бетон светлый</t>
  </si>
  <si>
    <t>Стол Sheffilton SHT-TU34-P/TT21-6 100/75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</si>
  <si>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t>
  </si>
  <si>
    <t>Стол Sheffilton SHT-TU34-P/TT30 83/83</t>
  </si>
  <si>
    <t>черный муар/коричневый</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</si>
  <si>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ДИЗАЙН И ЭСТЕТИКА
Графика и геометрия рисунка столешницы вдохновлена легендарной каменной кладкой из Перу. Они придают
изделию эксклюзивный вид. Столешница имеет безопасный плавный закругленный переход от лицевой поверхности
к боковым кромкам.
ПРОСТОЙ УХОД: глубина "канавки" - 1 мм, что позволяет удалять загрязнения и пыль с поверхности без
лишних проблем."
НАДЕЖНОЕ металлическое основание окрашено порошковой краской, устойчивой к механическому воздействию.
Металлическая труба, диаметром/толщиной 20х1,5 мм. и пруток диаметром 5 мм.
БЕЗОПАСНОСТЬ. Все основания проходят производственные испытания по проверке качества на прочность
и выдерживают продолжительные нагрузки. Максимальная статическая нагрузка на основание – 50 кг.
СТОЛЕШНИЦЫ можно использовать круглые и квадратные от 600 - 900 мм.
Для столешниц больших размеров 1100х700 и 1200х800 используйте ДВА основания для стола.
ПОЛНОСТЬЮ РАЗБОРНОЕ основание позволяет хранить и транспортировать в плоской картонной упаковке.
СОВРЕМЕННАЯ СТОЛЕШНИЦА ИЗ АРМИРОВАННОГО ПЛАСТИКА - один из инновационных и стильных предметов мебельной
обстановки. Такая столешница отличается своей прочностью, легкостью, долговечностью и считается самой
востребованной мебелью среди современных потребителей. Современный стиль столешницы позволяет добавить
готовый стол в любой дизайн дома, сада,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Столешница выполнена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ПЕРЕНОСИТ ВОЗДЕЙСТВИЕ ЛЮБЫХ ПОГОДНЫХ УСЛОВИЙ
Столешница выполнена из атмосферостойкого пластика. Устойчива к прямым солнечным лучам, не деформируется
и не изменяет цвет. Можно использовать на открытом воздухе при температуре от -15 С до +40С
ФУНКЦИОНАЛЬНОСТЬ
На обратной стороне имеется вставка из фанеры, которая позволяет использовать с пластиковой столешницей
абсолютно любые подстолья. Крепление при помощи саморезов, приложенных в комплекте.
ЛЕГКИЙ И ПРОСТОЙ УХОД
Пластиковый стол для кухни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столешницы не требуются особые условия.
СТАНЬТЕ ДИЗАЙНЕРОМ СВОЕГО СТОЛА!
Вы можете выбрать любой цвет, размер и форму столешницы в нашем конструкторе.</t>
  </si>
  <si>
    <t>Стол Sheffilton SHT-TU4-1/80/80 ЛДСП</t>
  </si>
  <si>
    <t>SHT-T79</t>
  </si>
  <si>
    <t>- В комплект входит: столешница SHT-TT 80/80 ЛДСП белый и основание для стола SHT-TU4-1 металл черный.
- Классический столик без лишних деталей.
- Основание для стола выполнено полностью из металлической трубы, диаметром 20 мм.
- Предусмотрены регулируемые опоры в основании подстолья.
- Столешница из ЛДСП, толщиной 25 мм.
- На торцевой части используется кромка из ПВХ - 2 мм.
- Максимальная статическая нагрузка на стол 50 кг.</t>
  </si>
  <si>
    <t>Стол Sheffilton SHT-TU4-1/80 МДФ</t>
  </si>
  <si>
    <t>SHT-T86</t>
  </si>
  <si>
    <t>медный/дуб тортуга</t>
  </si>
  <si>
    <t>В комплект входит:
- столешница SHT-TT 80 МДФ
- основание SHT-TU4-1
Стол со столешницей из МДФ будет гармонично и со вкусом смотреться в доме, офисе, дизайн-студии, кафе,
баре, ресторане.
Основание для стола выполнено полностью из металлической трубы, диаметром 20 мм.
Предусмотрены регулируемые опоры в основании подстолья.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</si>
  <si>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SHT-TU4-1/90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</si>
  <si>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Плавные линии
придают ему эстетичность и стиль.
Прекрасно будет смотреться в интерьерах кафе, баров, ресторанов и в жилых пространствах.
Выполнено полностью из металлической трубы, диаметром 20 мм.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</si>
  <si>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SHT-T153</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</si>
  <si>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t>
  </si>
  <si>
    <t>SHT-T157</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</si>
  <si>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ДОЛГОВЕЧНОСТЬ.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мм.Максимальная статическая нагрузка
на стол 50 кг
СТАНЬТЕ ДИЗАЙНЕРОМ СВОЕГО СТОЛА!
Вы можете выбрать к этой столешнице любое основание для стола Sheffilton в разделе "Собери свой стол".</t>
  </si>
  <si>
    <t>Стол Sheffilton SHT-TU4-1/TT21-6 100/75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</si>
  <si>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t>
  </si>
  <si>
    <t>Стол Sheffilton SHT-TU4-1/TT21-6 90 керамика</t>
  </si>
  <si>
    <t>SHT-Т169</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</si>
  <si>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t>
  </si>
  <si>
    <t>Стол Sheffilton SHT-TU4-1/ТT7 60/60 ДУБ/керамика</t>
  </si>
  <si>
    <t>медный/браш.коричневый/песочный</t>
  </si>
  <si>
    <t>- В комплект входит: столешница SHT-ТT7 60/60 ДУБ/керамика и основание SHT-TU4-1 медный.
- Столешницы со вставкой из керамики мало подвержены механическим повреждениям и царапинам, устойчивы
к ударам. Шероховатая фактура керамической вставки добавит изысканности и уникальности любому обеденному
комплекту. Окантовка столешницы выполнена из натурально массива дуба. Природный рисунок дерева подчеркнут
"брашированием", что делает каждую столешницу уникальной!
- Подходит для использования в домашних и общественных помещениях, в кафе, баре, ресторане;
- Длина/ширина столешницы 600 мм., высота 50 мм.;
- Инструкция по уходу: протирать влажной тканью, вытирать чистой сухой тканью, при необходимости можно
использовать слабый мыльный раствор;
- Подстолье выполнено полностью из металлической трубы, диаметром 20 мм.
- Предусмотрены регулируемые опоры в основании подстолья.
- Толщина основания и верхнего кронштейна для крепления столешницы 3 мм.
- Максимальная статическая нагрузка на стол 50 кг.</t>
  </si>
  <si>
    <t>Стол Sheffilton SHT-TU5-BS1/120/80 ЛДСП</t>
  </si>
  <si>
    <t>SHT-T60</t>
  </si>
  <si>
    <t>черный/дуб беленый</t>
  </si>
  <si>
    <t>- В комплект входит: столешница SHT-TT 120/80 ЛДСП дуб беленый; основание SHT-BS1 черный муар; стойка
SHT-TU5 черный муар.
- Идеальный вариант для пространств в стиле лофт, где приветствуются четкие формы.
- Основание и стойка из металла, толщина стенки трубы/прутка/основания:1,5х5х5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резиновые проставки для защиты полового покрытия от царапин.
- Столешница из ЛДСП.
- Диаметр/толщина столешницы 800х25 мм, основания 60х25 мм.
- Максимальная статическая нагрузка на стол 50 кг.</t>
  </si>
  <si>
    <t>Стол Sheffilton SHT-TU5-BS1/90 МДФ</t>
  </si>
  <si>
    <t>SHT-T155</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</si>
  <si>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Комплект состоит из стойки TU5 и плоского основания BS1;
- Выполнено из металла, толщина стенки трубы/прутка/основания:1,5х5х5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резиновые проставки для защиты полового покрытия от царапин.</t>
  </si>
  <si>
    <t>Стол Sheffilton SHT-TU5-BS2/70/70 МДФ</t>
  </si>
  <si>
    <t>Идеальный стол для пространств в стиле лофт, где приветствуются четкие формы.
В комплект входит столешница 70/70 МДФ, стойка SHT-TU5, крестовина для крепления столешницы и объемное
основание SHT-BS2.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Длина/ширина столешницы 700/700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любое основание для стола или столешницу Sheffilton в разделе "Собери свой стол".
Под заказ доступны различные виды отделки: глянцевые, цветные, древесные.
Максимальная статическая нагрузка на стол 50 кг.
Гарантия 2 года.</t>
  </si>
  <si>
    <t>Стол Sheffilton SHT-TU5-BS2/TT21-6 100/75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</si>
  <si>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Комплект состоит из стойки TU5 и плоского основания BS2;
- Выполнено из металла, толщина стенки трубы/прутка/основания:1,5х5х5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резиновые проставки для защиты полового покрытия от царапин.</t>
  </si>
  <si>
    <t>Стол Sheffilton SHT-TU6-BS1/120/80 МДФ</t>
  </si>
  <si>
    <t>SHT-T24</t>
  </si>
  <si>
    <t>В комплект входит:
- столешница SHT-TT 120/80 МДФ
- основание SHT-BS1 металл
- стойка SHT-TU6 металл
Стол со столешницей из МДФ будет гармонично и со вкусом смотреться в доме, офисе, дизайн-студии, кафе,
баре, ресторане.
Основание и стойка выполнены из металла, толщина стенки трубы/прутка/основания: 1,5х5х5 мм.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На основании предусмотрены резиновые проставки для защиты полового покрытия от царапин.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</si>
  <si>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SHT-TU6-BS1/80/80 ЛДСП</t>
  </si>
  <si>
    <t>- В комплект входит: столешница SHT-TT 80/80 ЛДСП дуб беленый; основание SHT-BS1 черный, стойка SHT-TU6
черный.
- Стильный столик. Соединил в себе практичность и эстетику.
- Ножки сделаны из металла, столешница из ЛДСП, толщиной 25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Максимальная статическая нагрузка на стол 50 кг.
- Гарантия 2 года.</t>
  </si>
  <si>
    <t>Стол Sheffilton SHT-TU6-BS1/80 МДФ</t>
  </si>
  <si>
    <t>SHT-T149</t>
  </si>
  <si>
    <t>В комплект входит:
- столешница SHT-TT 80 МДФ
- основание SHT-BS1 металл
- стойка SHT-TU6 металл
Стол со столешницей из МДФ будет гармонично и со вкусом смотреться в доме, офисе, дизайн-студии, кафе,
баре, ресторане.
Основание и стойка выполнены из металла, толщина стенки трубы/прутка/основания: 1,5х5х5 мм.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На основании предусмотрены резиновые проставки для защиты полового покрытия от царапин.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</si>
  <si>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SHT-TU6-BS1/90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</si>
  <si>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ДОЛГОВЕЧНОСТЬ.
В комплект входит стойка TU6 и плоское основание BS1;
- Выполнено из металла, толщина стенки трубы/прутка/основания: 1,5х5х5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резиновые проставки для защиты полового покрытия от царапин;
- Максимальная статическая распределенная нагрузка 50 кг.</t>
  </si>
  <si>
    <t>Стол Sheffilton SHT-TU6-BS2/80/80 ЛДСП</t>
  </si>
  <si>
    <t>SHT-T61</t>
  </si>
  <si>
    <t>черный/венге</t>
  </si>
  <si>
    <t>- В комплект входит: столешница SHT-TT 80/80 ЛДСП дуб беленый; основание SHT-BS2 черный, стойка SHT-TU6
черный.
- Ножки сделаны из металла, столешница из ЛДСП, толщиной 25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 Максимальная статическая нагрузка на стол 50 кг.</t>
  </si>
  <si>
    <t>Стол Sheffilton SHT-TU6-BS2/80 МДФ</t>
  </si>
  <si>
    <t>черный муар/белый шагрень</t>
  </si>
  <si>
    <t>В комплект входит:
- столешница SHT-TT 80 МДФ
- основание SHT-BS2 металл
- стойка SHT-TU6 металл
Стол со столешницей из МДФ будет гармонично и со вкусом смотреться в доме, офисе, дизайн-студии, кафе,
баре, ресторане.
Основание и стойка выполнены из металла.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Усиленная крестовина под столешницу из металла 25х25х1,5 мм.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</si>
  <si>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SHT-TU6-BS2/TT21-6 100/75 керамика</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</si>
  <si>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Комплект состоит из стойки TU6 и плоского основания BS2;
- Выполнено из металла, толщина стенки трубы/прутка/основания:1,5х5х5 мм;
- Жесткость и прочность конструкции обеспечивается массивной металлической трубой 80х80 мм, из которой
выполнена стойка, толщина стенки трубы 1,5 мм;
- Усиленная крестовина под столешницу из металла 25х25х1,5 мм;
- На основании предусмотрены резиновые проставки для защиты полового покрытия от царапин.</t>
  </si>
  <si>
    <t>SHT-T172</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</si>
  <si>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 В комплект входит стойка TU6, крестовина для крепления столешницы и объемное основание BS2.
- Выполнено из металла, толщина стенки трубы/прутка/основания: 1,5х5х5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t>
  </si>
  <si>
    <t>Стол Sheffilton SHT-TU6-ВS1/90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</si>
  <si>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В комплект входит
стойка TU6 и плоское основание BS1;
- Выполнено из металла, толщина стенки трубы/прутка/основания: 1,5х5х5 мм;
-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 Усиленная крестовина под столешницу из металла 25х25х1,5 мм;
- На основании предусмотрены резиновые проставки для защиты полового покрытия от царапин;
- Максимальная статическая распределенная нагрузка 50 кг.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</si>
  <si>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Стол Sheffilton SHT-TU7/76 Металл</t>
  </si>
  <si>
    <t>SHT-T25</t>
  </si>
  <si>
    <t>коричневый (цинк) / коричневый (цинк)</t>
  </si>
  <si>
    <t>- В комплект входит: столешница SHT-TT76 металл (цинк) и основание SHT-TU7 металл (цинк)
- Классический столик без лишних деталей.
- Основание из металла, диаметр/толщина трубы 28х1,5 мм, оцинковано и окрашено порошковой краской,
что обеспечивает долгую службу и защиту от коррозийных процессов при использовании на улице.
- Столешница из металла, оцинкована и окрашена порошковой краской, что обеспечивает долгую службу
и защиту от коррозийных процессов при использовании на улице.
- Диаметр/толщина столешницы 760х16 мм.
- Крепление столешницы: использовать винт самонарезающий с прессшайбой 4,2х16 мм.
- Для возможности крепления столешницы к основаниям разных типов и размеров предусмотрена фанера с
обратной стороны, толщиной 10 мм, покрытая бесцветным лаком, что защищает ее от воздействия окружающей
среды.
- Максимальная нагрузка на стол 50 кг.</t>
  </si>
  <si>
    <t>Стол Sheffilton SHT-TU7/80 ЛДСП</t>
  </si>
  <si>
    <t>SHT-Т26</t>
  </si>
  <si>
    <t>- В комплект входит: столешница SHT-TT 80 ЛДСП дуб беленый; основание SHT-TU7 хром лак.
- Классический столик без лишних деталей.
- Основание для стола выполнено из металла, диаметр/толщина трубы 28х1,5 мм.
- Столешница из ЛДСП, диаметр/толщина столешницы 800х25 мм.
- Максимальная статическая нагрузка на стол 50 кг.</t>
  </si>
  <si>
    <t>Стол Sheffilton SHT-TU9-2/120/80</t>
  </si>
  <si>
    <t>- Уютный и красивый столик.
- В комплект входит: столешница SHT-TT 120/80 дерево; основание SHT-TU9-2 дерево.
- Ножки сделаны из массива древесины, 60х25 мм.
-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Столешница выполнена целиком из натурального бука. Такой стол будет долговечен, а красивая текстура
натурально бука придает превосходный внешний вид! Природный рисунок дерева делает каждую столешницу
уникальной. Готовое изделие покрыто прозрачным лаком, что обеспечивает защиту от внешних воздействий.
Столешница отлично в пишется в интерьер стиля "лофт" и "эко стиль".
- Подходит для использования в домашних и общественных помещениях, в кафе, баре, ресторане;
- Скошенный край придает столешнице большую виуальную невесомость и дополнительное изящество;
- К данной столешнице подходит абсолютно любое подстолье!
- Толщина столешницы 25 мм.;
- Крепеж в комплект столешницы не входит;
- При затяжке крепежа шуруповертом не стоит ставить больше третьей скорости;
- Инструкция по уходу: протирать влажной тканью, вытирать чистой сухой тканью, при необходимости можно
использовать слабый мыльный раствор;
- Максимальная статическая нагрузка на стол 50 кг.
- Гарантия 2 года.</t>
  </si>
  <si>
    <t>Стол Sheffilton SHT-TU9-2/120/80 ЛДСП</t>
  </si>
  <si>
    <t>венге/венге</t>
  </si>
  <si>
    <t>- В комплект входит: столешница SHT-TT 120/80 ЛДСП венге; основание SHT-TU9-2 венге.
- Уютный и красивый столик.
- Ножки сделаны из массива дерева, столешница из ЛДСП.
- Диаметр/толщина столешницы 800х25 мм, основания 60х25 мм.
- Основание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 Максимальная статическая нагрузка на стол 50 кг.
- Гарантия 2 года.</t>
  </si>
  <si>
    <t>Стол Sheffilton SHT-TU9-2/120/80 МДФ</t>
  </si>
  <si>
    <t>светлый орех/дуб сонома светлый</t>
  </si>
  <si>
    <t>В комплект входит:
- столешница SHT-TT 120/80 МДФ
- основание SHT-TU9-2 дерево
Стол со столешницей из МДФ будет гармонично и со вкусом смотреться в доме, офисе, дизайн-студии, кафе,
баре, ресторане.
Основание из массива древесины,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</si>
  <si>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темный орех/бетон голубой</t>
  </si>
  <si>
    <t>В комплект входит:
- столешница SHT-TT 120/80 МДФ
- основание SHT-TU9-2
Стол со столешницей из МДФ будет гармонично и со вкусом смотреться в доме, офисе, дизайн-студии, кафе,
баре, ресторане.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</si>
  <si>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SHT-T125</t>
  </si>
  <si>
    <t>Стол Sheffilton SHT-TU9-2/120-80 МДФ овальный</t>
  </si>
  <si>
    <t>прозрачный лак/белый шагрень</t>
  </si>
  <si>
    <t>В комплект входит:
- столешница SHT-TT 120-80 МДФ овальный
- основание SHT-TU9-2 дерево
Стол со столешницей из МДФ будет гармонично и со вкусом смотреться в доме, офисе, дизайн-студии, кафе,
баре, ресторане.
Основание из массива древесины,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Длина/ширина столешницы 1200/800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</si>
  <si>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SHT-TU9-2/140/80 ЛДСП</t>
  </si>
  <si>
    <t>темный орех/хромикс белый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</si>
  <si>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модную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НАДЕЖНЫЙ КАРКАС
Вполнено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прямоугольные, овальные столешницы 1100х700 и 1200х800.
Максимальная статическая нагрузка на стол 50 кг.</t>
  </si>
  <si>
    <t>Стол Sheffilton SHT-TU9-2/140/80 МДФ овальная</t>
  </si>
  <si>
    <t>венги/мрамор премиум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</si>
  <si>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Каркас выполнен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прямоугольные, овальные
столешницы 1100х700 и 1200х800.
Максимальная статическая нагрузка на стол 50 кг.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</si>
  <si>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темный орех/мрамор премиум светлый</t>
  </si>
  <si>
    <t>Стол Sheffilton SHT-TU9-2/TT21-6 100/75 керамика</t>
  </si>
  <si>
    <t>венге/коричневая сепия</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</si>
  <si>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t>
  </si>
  <si>
    <t>Стол Sheffilton SHT-TU9/70 МДФ</t>
  </si>
  <si>
    <t>SHT-T127</t>
  </si>
  <si>
    <t>темный орех/орех светлый</t>
  </si>
  <si>
    <t>В комплект входит:
- столешница SHT-TT 70 МДФ
- основание SHT-TU9 дерево
Стол со столешницей из МДФ будет гармонично и со вкусом смотреться в доме, офисе, дизайн-студии, кафе,
баре, ресторане.
Основание выполнено из массива дерева.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Диаметр столешницы 700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</si>
  <si>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SHT-TU9/76 Металл</t>
  </si>
  <si>
    <t>SHT-T62</t>
  </si>
  <si>
    <t>прозрачный лак/белый</t>
  </si>
  <si>
    <t>В комплект входит:
- столешница SHT-TT 80 металл
- основание SHT-TU9
Уютно смотрится в интерьерах кафе, баров, ресторанов и в жилых пространствах.
Столешница из металла смотрится аккуратно и привлекательно, поскольку имеет плавный закругленный переход
от лицевой поверхности к боковым кромкам.
Диаметр/толщина столешницы 760х16 мм.
Основание стола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Максимальная статическая нагрузка на стол 50 кг.
Изделие разборное.
Гарантия 2 года.</t>
  </si>
  <si>
    <t>Стол Sheffilton SHT-TU9/80/80 МДФ</t>
  </si>
  <si>
    <t>SHT-T141</t>
  </si>
  <si>
    <t>венге/палисандр</t>
  </si>
  <si>
    <t>В комплект входит:
- столешница SHT-TT 80/80 МДФ
- основание SHT-TU9 дерево
Стол со столешницей из МДФ будет гармонично и со вкусом смотреться в доме, офисе, дизайн-студии, кафе,
баре, ресторане.
Основание выполнено из массива дерева.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</si>
  <si>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Стол Sheffilton SHT-TU9/80 ЛДСП</t>
  </si>
  <si>
    <t>SHT-T140</t>
  </si>
  <si>
    <t>- В комплект входит: столешница SHT-TT 80 ЛДСП орех; основание SHT-TU9 темный орех.
- Уютный и красивый столик.
- Ножки сделаны из прочной древесины, столешница из ЛДСП.
- Диаметр/толщина столешницы 800х25 мм, основания 60х25 мм.
- Максимальная статическая нагрузка на стол 50 кг.
- Гарантия 2 года.</t>
  </si>
  <si>
    <t>Стол Sheffilton SHT-TU9/80 МДФ</t>
  </si>
  <si>
    <t>выбеленный/бетон светлый</t>
  </si>
  <si>
    <t>В комплект входит:
- столешница SHT-TT 80 МДФ
- основание SHT-TU9 дерево
Стол со столешницей из МДФ будет гармонично и со вкусом смотреться в доме, офисе, дизайн-студии, кафе,
баре, ресторане.
Основание выполнено из массива дерева.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Диаметр столешницы 800 мм.
Толщина столешницы 22 мм.
ПРОЧНОСТЬ И ВЛАГОСТОЙКОСТЬ
Столешница из МДФ отличается повышенной жесткостью и устойчива к воздействию влаги.
УСТОЙЧИВОСТЬ
Столешница из МДФ не подвержена химическим и механическим воздействиям – процарапыванию, истиранию
и растрескиванию.
ЭКОЛОГИЧЕСКАЯ ЧИСТОТА
Материалы не содержат и не выделяют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другое основание для стола или столешницу Sheffilton в разделе "Собери свой стол".
Под заказ доступны различные виды отделки столешницы: глянцевые, цветные, древесные.
Гарантия 2 года.</t>
  </si>
  <si>
    <t>SHT-T71</t>
  </si>
  <si>
    <t>светлый орех/белый</t>
  </si>
  <si>
    <t>Стол Sheffilton SHT-TU9/90 ЛДСП</t>
  </si>
  <si>
    <t>венге/дуб галифакс табак</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</si>
  <si>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Выполнено из массива дерева, 60х25 мм.
Максимальная статическая нагрузка на стол 50 кг.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</si>
  <si>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темный орех/дуб галифакс табак</t>
  </si>
  <si>
    <t>Стол Sheffilton SHT-TU9/90 МДФ</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</si>
  <si>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ПРОЧНОСТЬ И НАДЕЖНОСТЬ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t>
  </si>
  <si>
    <t>венге/мрамор премиум светлый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</si>
  <si>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ПРОЧНОСТЬ И ДОЛГОВЕЧНОСТЬ.
Основание выполнено из массива дерева.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Максимальная статическая нагрузка на стол 50 кг.
СТАНЬТЕ ДИЗАЙНЕРОМ СВОЕГО СТОЛА!
Вы можете выбрать к этой столешнице любое основание для стола Sheffilton в разделе "Собери свой стол".</t>
  </si>
  <si>
    <t>выбеленный/дуб верона белый</t>
  </si>
  <si>
    <t>прозрачный лак/мрамор премиум светлый</t>
  </si>
  <si>
    <t>темный орех/дуб верона белый</t>
  </si>
  <si>
    <t>темный орех/мрамор премиум</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</si>
  <si>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ПРОЧНОСТЬ И ВЛАГОСТОЙКОСТЬ
Столешница из МДФ отличается повышенной жесткостью и устойчива к воздействию влаги.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УСТОЙЧИВОСТЬ
Не подвержена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Рельефные и структурные формы, которые визуально неотличимы
от натурального мрамора.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t>
  </si>
  <si>
    <t>SHT-T147</t>
  </si>
  <si>
    <t>прозрачный лак/мрамор премиум</t>
  </si>
  <si>
    <t>Стол Sheffilton SHT-TU9/TT10 ДУБ/слэб</t>
  </si>
  <si>
    <t>натуральное дерево/темный орех</t>
  </si>
  <si>
    <t>- В комплект входит: столешница SHT-TT10 ДУБ/слэб; основание для стола SHT-TU9 темный орех
- Такой стол будет долговечен, а красивая текстура натурально дуба придает превосходный внешний вид!
- Уютно смотрится в интерьерах кафе, баров, ресторанов и в жилых пространствах.
- Основание для стола из массива дерева, 60х25 мм.
-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Столешница выполнена целиком из натурального дуба. По краям сохранена и обработана лаком уникальная
текстура коры. Стол с такой столешницей будет долговечен, а красивая текстура натурально дуба придает
превосходный внешний вид! Природный рисунок дерева подчеркнут лаком и делает каждую столешницу еще
уникальней! Столешница отлично в пишется в интерьер ресторана, кафе или бара.
Устойчивость к впитыванию загрязнений, конденсата, жира.
Легкий и простой уход.
- Максимальная статическая нагрузка на стол 50 кг.</t>
  </si>
  <si>
    <t>Стол Sheffilton SHT-TU9/TT21-6 100/75 керамика</t>
  </si>
  <si>
    <t>венге/гранитно-серый</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</si>
  <si>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ДОЛГОВЕЧНОСТЬ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t>
  </si>
  <si>
    <t>прозрачный лак/гранитно-серый</t>
  </si>
  <si>
    <t>светлый орех/гранитно-серый</t>
  </si>
  <si>
    <t>светлый орех/коричневая сепия</t>
  </si>
  <si>
    <t>Стол Sheffilton SHT-TU9/TT21-6 90 керамика</t>
  </si>
  <si>
    <t>выбеленный/песчаное облако</t>
  </si>
  <si>
    <t>Лаконичный дизайн cтола позволяет добавить его в любой дизайн кафе, бара, ресторана, офиса, общественных
учреждений, залов ожидания или домашних интерьеров.
Вы произведете впечатление на любого, кто посетит Ваше заведение или дом.
ЭКОЛОГИЯ И ГАРМОНИЯ
Столешница выполнена из уникального материала – керамики. Керамика – экологически чистый материал
нового поколения, созданный из натуральных компонентов, подаренных природой и обработанных человеком
с помощью уникальных технологий – кварцевого песка и глины, полевого шпата и минеральных красителей.
ДИЗАЙНЕРСКИЙ СТИЛЬ
Столешница из керамики смотрится изящно и невесомо, поскольку имеет по краям толщину 5.6 мм. Рельефная
поверхность столешницы визуально неотличима от натурального камня.
БЕЗОПАСНОСТЬ
Закругленные углы и обработка кромки - делают ее безопасной для использования.
ЭКСПЛУАТАЦИОННЫЕ СВОЙСТВА И КАЧЕСТВО
Столешницы из керамики прочны и долговечны. Они влагонепроницаемы и морозоустойчивы. Сохраняют первозданный
цвет и текстуру даже под воздействием высоких температур или яркого солнца. Все это позволяет Вам
смело эксплуатировать и с успехом ставить стол с керамической столешницей напротив окна.
СТАНЬТЕ ДИЗАЙНЕРОМ СВОЕГО СТОЛА
В основе лежит фанерная плита, к которой Вы можете прикрепить любое подстолье Sheffilton в разделе
"Собери свой стол".
ИНСТРУКЦИЯ ПО УХОДУ
Керамика - гигиеничный материал, за которым легко и приятно ухаживать. На нем не остаются пятна, он
не впитывает грязь. Керамику можно мыть с применением различных средств санитарной обработки, что
делает столешницу идеальной для приготовления и приема пищи.
Не рекомендуется:
- ставить горячее без специальных подставок
- резать на поверхности без использования доски
- использовать на улице под открытым небом.
ПРОЧНОСТЬ И НАДЁЖНОСТЬ
Выполнено из массива дерева, 60х25 мм.
Обладает повышенной прочностью, благодаря жесткой усиленной конструкции из металлического листа, толщиной
2 мм и металлических стяжек из прутка, диаметром 8 мм.
Можно использовать круглые, квадратные столешницы от 600 - 900 мм.</t>
  </si>
  <si>
    <t>прозрачный лак/песчаное облако</t>
  </si>
  <si>
    <t>Стол Sheffilton SHT-TU9/ТT8 70/70 ДУБ/керамика</t>
  </si>
  <si>
    <t>- В комплект входит: столешница SHT-ТT8 70/70 ДУБ/керамика; основание SHT-TU9 прозрачный лак.
- Основание обладает повышенной прочностью, благодаря жесткой усиленной конструкции из металлического
листа, толщиной 1.5 мм и металлических стяжек из прутка, диаметром 8 мм.
- Основание столешницы выполнено из массива дуба толщиной 25 мм.;
- Столешницы из керамики абсолютно не подвержены механическим повреждениям и царапинам, устойчивы
к ударам. Окантовка столешницы выполнена из натурального массива дуба. В основе лежит OSB плита, на
которую прикреплена керамическая столешница с потрясающим эффектом коричневая сепия! Природный рисунок
дерева подчеркнут покрытием из прозрачного лака, что делает каждую столешницу уникальной. Обеденная
группа с использованием керамической столешницы придаст оригинальный дизайн интерьеру и непременно
украсит кухню, кафе, бар или ресторан.
- Длина/ширина столешницы 700 мм., высота 55 мм.;
- Инструкция по уходу: протирать влажной тканью, вытирать чистой сухой тканью, при необходимости можно
использовать слабый мыльный раствор;
- Максимальная статическая нагрузка на стол 50 кг.</t>
  </si>
  <si>
    <t>Стол Sheffilton SHT-ТU14/60/60 ЛДСП</t>
  </si>
  <si>
    <t>Лаконичный дизайн стола позволяет добавить его в любой дизайн обеденной группы: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СТИЛЬНЫЙ ДИЗАЙН. Оригинальную нотку придает золотое напыление в нижней части опоры. Четкое разделение
черного и золотого прекрасно гармонируют со столешницами Sheffilton и каркасом стула в аналогичном
стиле SHT-S85-1 черный муар/золото.
ПРЕКРАСНАЯ ЭРГОНОМИКА. Стол с опорами SHT-TU14 обеспечивает удобство и комфорт при использовании.
ПРОЧНОСТЬ И ДОЛГОВЕЧНОСТЬ. Опора выполнена из металлической трубы диаметром 51 мм. Толщина верхнего
фланца для крепления столешницы 2 мм. Предусмотрена пластиковая заглушка, эффективно защищает напольное
покрытие от царапин.
Опора окрашена порошковой краской, устойчивой к механическому воздействию. Рекомендуем использовать
для круглых столешниц от 3-х оснований, для квадратных, овальных и прямоугольных - от 4-х. Опора устанавливается
под наклоном.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Максимальная нагрузка на одну опору 12,5 кг.
СТАНЬТЕ ДИЗАЙНЕРОМ СВОЕГО СТОЛА! Именно под эти опоры Вы можете выбрать любую модель столешницы Sheffilton
в нашем конструкторе.</t>
  </si>
  <si>
    <t>Стол SHT-TU10/80 МДФ</t>
  </si>
  <si>
    <t>хром лак/лофт медь</t>
  </si>
  <si>
    <t>Cтолешница SHT-ТT 80 МДФ в сочетании с основанием SHT-TU10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МЕТАЛЛИЧЕСКИЙ КАРКАС
Выполнено из металла, диаметром 8 и 5 мм и пластины, толщиной 3 мм.
Толщина верхних кронштейнов для крепления столешницы 3 мм.
Предусмотрен подпятник с резиновой проставкой, диаметром 22 мм., подпятник эффективно защищает половое
покрытие от царапин.
Максимальная нагрузка на одну опору 12,5 кг.</t>
  </si>
  <si>
    <t>Стол SHT-TU14/80 МДФ</t>
  </si>
  <si>
    <t>Cтолешница SHT-ТT 80 МДФ в сочетании с основанием SHT-TU14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МЕТАЛЛИЧЕСКИЙ КАРКАС
Предусмотрена пластиковая заглушка, эффективно защищает напольное покрытие от царапин.
Максимальная нагрузка на одну опору 12,5 кг.</t>
  </si>
  <si>
    <t>Стол SHT-TU16/80 МДФ</t>
  </si>
  <si>
    <t>венге/лофт медь</t>
  </si>
  <si>
    <t>Cтолешница SHT-ТT 80 МДФ в сочетании с основанием SHT-TU16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КАРКАС
- Выполнено из массива дуба, толщиной 40 мм.
- Толщина верхнего фланца для крепления столешницы 3 мм.
 -Опора крепится к столешнице под наклоном.
-Обработка "прозрачным лаком" позволяет сохранить уникальную текстуру и рисунок массива дуба.
-Максимальная нагрузка на одну опору 12,5 кг.</t>
  </si>
  <si>
    <t>Стол SHT-TU17/80 МДФ</t>
  </si>
  <si>
    <t>Cтолешница SHT-ТT 80 МДФ в сочетании с основанием SHT-TU17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КАРКАС
Выполнено из металла, диаметр/толщина трубы 20х1,5 мм. Предусмотрен подпятник с резиновой проставкой,
диаметром 22 мм., подпятник эффективно защищает половое покрытие от царапин.
Максимальная нагрузка на одну опору 12,5 кг.</t>
  </si>
  <si>
    <t>Стол SHT-TU2-1/80 МДФ</t>
  </si>
  <si>
    <t>медный металлик/лофт медь</t>
  </si>
  <si>
    <t>Cтолешница SHT-ТT 80 МДФ в сочетании с основанием SHT-TU2-1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ПРОЧНЫЙ КАРКАС
Изящные ножки соединены металлическими прутьями, которые вносят в образ утонченность и обеспечивают
его прочность.
Максимальная статическая нагрузка на стол 50 кг.</t>
  </si>
  <si>
    <t>Стол SHT-TU23/80 МДФ</t>
  </si>
  <si>
    <t>темно-серый/лофт медь</t>
  </si>
  <si>
    <t>Cтолешница SHT-ТT 80 МДФ в сочетании с основанием SHT-TU23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КАРКАС
Металлический каркас и фланец окрашены порошковой краской, устойчивой к механическому воздействию.
На основании предусмотрены шарнирные опоры, регулируемые по высоте. Они позволяют использовать основание
даже на неровной поверхности.
На опоры наклеены подпятники из полипропилена;
Максимальная статическая нагрузка - 50 кг.</t>
  </si>
  <si>
    <t>Стол SHT-TU25/80 МДФ</t>
  </si>
  <si>
    <t>Cтолешница SHT-ТT 80 МДФ в сочетании с основанием SHT-TU25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КАРКАС
Подстолье выполнено из формованной металлической трубы, диаметром 51 мм. На основании предусмотрены
опоры, регулируемые по высоте. Они позволяют использовать основание даже на неровной поверхности.
 Максимальная статическая нагрузка - 50 кг.</t>
  </si>
  <si>
    <t>Стол SHT-TU30/80 МДФ</t>
  </si>
  <si>
    <t>белый/лофт медь</t>
  </si>
  <si>
    <t>Cтолешница SHT-ТT 80 МДФ в сочетании с основанием SHT-TU30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-стол для кухни с пластиковым покрытием неприхотлив в уходе. Возникшие загрязнения протрите влажной
тканью и вытрите чистой сухой тканью, при необходимости можно использовать слабый мыльный раствор.
Для хранения и содержания основания не требуются особые условия.
ПРОЧНОСТЬ И ДОЛГОВЕЧНОСТЬ
Подстолье выполнено из полипропилена с армирующими добавками, благодаря которым повышается жесткость
и надежность. Изделие устойчиво к ударным воздействиям, негативным воздействиям окружающей среды и
появлению царапин.
Выдерживает продолжительные нагрузки - максимальная статическая нагрузка до 100 кг.
Благодаря повышенным АТМОСФЕРОСТОЙКИМ СВОЙСТВАМ, стол хорошо переносит воздействие различных погодных
условий. Не деформируется и имеет более устойчивое сопротивление к изменению цвета и прочностных характеристик
на открытом воздухе при температуре от -15 С до +40 С; При этом, важно отметить, что насыщенность
цвета  во многом будет определяться интенсивностью солнечного света и продолжительностью нахождения
под ним.
РЕГУЛИРУЕМЫЕ ОПОРЫ
На шарнирах позволяют комфортно использовать основание на неровной поверхности. На опорах имеются
подпятники из эластичной резины, что придает основанию антискользящие свойства. При желании основание
можно использовать без регулируемых опор.
  </t>
  </si>
  <si>
    <t>черный/лофт медь</t>
  </si>
  <si>
    <t>Стол SHT-TU4-1/80 МДФ</t>
  </si>
  <si>
    <t>Cтолешница SHT-ТT 80 МДФ в сочетании с основанием SHT-TU4-1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ПОВЫШЕННАЯ ПРОЧНОСТЬ
Выполнено полностью из металлической трубы, диаметром 20 мм.
Предусмотрены регулируемые опоры в основании подстолья.
Толщина основания и верхнего кронштейна для крепления столешницы 3 мм.
Максимальная нагрузка 50 кг.</t>
  </si>
  <si>
    <t>Стол SHT-TU6-BS1/80 МДФ</t>
  </si>
  <si>
    <t>Cтолешница SHT-ТT 80 МДФ в сочетании с основанием SHT-TU6-BS1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ПОВЫШЕННАЯ ПРОЧНОСТЬ
Выполнено из металла, толщина стенки трубы/прутка/основания: 1,5х5х5 мм;
Жесткость и прочность конструкции обеспечивается массивной металлической трубой 25х25 мм, из которой
выполнена стойка, и металлического прутка, диаметром 5 мм;
На основании предусмотрены резиновые проставки для защиты полового покрытия от царапин;
Максимальная статическая распределенная нагрузка 50 кг;</t>
  </si>
  <si>
    <t>Стол SHT-TU7/80 МДФ</t>
  </si>
  <si>
    <t>Cтолешница SHT-ТT 80 МДФ в сочетании с основанием SHT-TU7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НАДЁЖНЫЙ МЕТАЛЛИЧЕСКИЙ КАРКАС
Выполнено из металла, диаметр/толщина трубы 28х1,5 мм.
Максимальная статическая нагрузка на стол 50 кг.</t>
  </si>
  <si>
    <t>Стол SHT-TU9/80 МДФ</t>
  </si>
  <si>
    <t>выбеленный/лофт медь</t>
  </si>
  <si>
    <t>Cтолешница SHT-ТT 80 МДФ в сочетании с основанием SHT-TU9 уютно смотрится в интерьерах кафе, баров,
ресторанов и в жилых пространствах. Такой стол подходит для использования в домашних и общественных
помещениях, в кафе, баре, ресторане
ПРОЧНОСТЬ И ВЛАГОСТОЙКОСТЬ
Столешница из МДФ отличается повышенной жесткостью и устойчива к воздействию влаги.
УСТОЙЧИВОСТЬ
Не подвержены химическим и механическим воздействиям –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ПОВЫШЕННАЯ ПРОЧНОСТЬ
Благодаря жесткой усиленной конструкции из металлического листа, толщиной 2 мм и металлических стяжек
из прутка, диаметром 8 мм.
Максимальная статическая нагрузка на стол 50 кг.
КАРСАС ВЫПОЛНЕН ИЗ МАСИВА ДРЕВЕСИНЫ
Выполнено из массива дерева, 60х25 мм.</t>
  </si>
  <si>
    <t>темный орех/лофт медь</t>
  </si>
  <si>
    <t>Стол барный Sheffilton SHT-TU13/H110/80 ЛДСП</t>
  </si>
  <si>
    <t>SHT-T130</t>
  </si>
  <si>
    <t>Классический барный стол с прочным полностью сварным основанием. Главный плюс TU13/H110 - возможность
КРЕПЛЕНИЯ К ПОЛУ, что обеспечивает максимальную устойчивость.
- Предусмотрены четыре нижних отверстия для установки крепежа в потай;
- Основание выполнено из металла, диаметр/толщина трубы 76х1,5 мм.;
- Толщина верхнего фланца для крепления столешницы 5 мм, толщина нижнего 10 мм.;
- Столешница выполнена из ЛДСП.
- Диаметр столешницы 800 мм.
- Толщина столешницы 25 мм.
- На торцевой части используется кромка из ПВХ - 2 мм.
- Максимальная статическая нагрузка на стол 50 кг.;
- Гарантия 2 года.</t>
  </si>
  <si>
    <t>Стол барный Sheffilton SHT-TU5-BS2/H110/80 ЛДСП</t>
  </si>
  <si>
    <t>SHT-T137</t>
  </si>
  <si>
    <t>Идеальный барный стол вариант для пространств в стиле лофт, где приветствуются четкие формы.
В комплект входит столешница, барная стойка, крестовина для крепления столешницы и объемное основание.
Жесткость и прочность конструкции обеспечивается массивной металлической трубой 80х80 мм, из которой
выполнена стойка, толщина стенки трубы 1,5 мм.
Усиленная крестовина под столешницу из металла 25х25х1,5 мм.
На основании предусмотрены опоры, регулируемые по высоте. Они позволяют использовать основание даже
на неровной поверхности; а также предусмотрены резиновые проставки для защиты полового покрытия от
царапин.
Столешница выполнена из ЛДСП.
Диаметр столешницы 800 мм.
Толщина столешницы 25 мм.
На торцевой части используется кромка из ПВХ - 2 мм.
Максимальная статическая нагрузка на стол 50 кг.
Гарантия 2 года.</t>
  </si>
  <si>
    <t>Кресло-реклайнер Sheffilton SHT-AMS32</t>
  </si>
  <si>
    <t>SHT-КР01</t>
  </si>
  <si>
    <t>какао/темный орех</t>
  </si>
  <si>
    <t>Кресло-реклайнер – потрясающе комфортная модель для полного релакса. Специальный механизм трансформации
с регулировкой наклона спинки позволяет занять оптимальное положение тела и снять усталость с мышц
и суставов. Такое кресло отлично впишется в деловой интерьер офиса, в гостеприимный уют гостиницы,
отеля, зала ожидания. Так же хорошо будет смотреться в кафе, ресторане или напротив телевизора в домашней
гостиной.
ВОЛШЕБНАЯ ТРАНСФОРМАЦИЯ
Устройство реклайнер позволяет сдвигать спинку в полулежачее положение. Простой пружинный механизм
приводится в действие под весом тела. Достаточно немного надавить спиной на спинку кресла, как оно
отклонится назад и зафиксируется в удобном вам положении. Максимальное отклонение спинки от крайнего
вертикального положения - 45 градусов.
КОМФОРТНЫЙ ДИЗАЙН
Модель выполнена в лучших традициях кресел для релакса. Спинка и подлокотники имеют необычную скругленную
форму, которая подчеркивает форму всего кресла. Плавная линия подлокотников визуально соединяет спинку
кресла с основанием. Сиденье в форме подушки помогает занять удобное положение. Кресло имеет слегка
приподнятое массивное основание на регулируемых ножках.
КАЧЕСТВО НА ВЫСОТЕ
Кресло-реклайнер изготовлено из материалов высокого качества: механизм – металл, подлокотники – гнутая
фанера со шпоном из натурального дуба, массив дерева и каркас - мебельная фанера, наполнитель – высокоэластичный
ППУ, не теряющих своих упругих свойств на протяжении долгих лет. Кресло обито микровелюром с гладким
ворсом, приятным на ощупь, который роскошно смотрится как при естественном, так и при искусственном
освещении. Кроме того, микровелюр чрезвычайно практичен – легко чистится и моется.
ПРИЯТНОГО ПРОСМОТРА!
Кресла-реклайнеры – настоящая находка для домашнего кинотеатра, они обладают сверхвысокой функциональностью
и комфортом. Ощущение присутствия в настоящем кинозале помогает создать специальное кресло, на котором
можно удобно сидеть, лежать, принимать любую позу. Каждый по-разному привык смотреть фильмы: кто-то
напряженно следит за сюжетом в позе сидя, кто-то привык вальяжно опрокидываться на спинку, а кто-то
вообще предпочитает наслаждаться кино лежа. Во всех этих случаях идеальным вариантом станет кресло-реклайнер.
СТАНЬТЕ ДИЗАЙНЕРОМ СВОЕГО КРЕСЛА
Вы можете комбинировать разные цвета боковин и спинку-сидение между собой. Отгрузка отдельных частей
кресла не осуществляется.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</si>
  <si>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крем-брюле/темный орех</t>
  </si>
  <si>
    <t>иск.замша/дерево</t>
  </si>
  <si>
    <t>Кресло-реклайнер – потрясающе комфортная модель для полного релакса. Специальный механизм трансформации
с регулировкой наклона спинки позволяет занять оптимальное положение тела и снять усталость с мышц
и суставов. Такое кресло отлично впишется в деловой интерьер офиса, в гостеприимный уют гостиницы,
отеля, зала ожидания. Так же хорошо будет смотреться в кафе, ресторане или напротив телевизора в домашней
гостиной.
ВОЛШЕБНАЯ ТРАНСФОРМАЦИЯ
Устройство реклайнер позволяет сдвигать спинку в полулежачее положение. Простой пружинный механизм
приводится в действие под весом тела. Достаточно немного надавить спиной на спинку кресла, как оно
отклонится назад и зафиксируется в удобном вам положении. Максимальное отклонение спинки от крайнего
вертикального положения - 45 градусов.
КОМФОРТНЫЙ ДИЗАЙН
Модель выполнена в лучших традициях кресел для релакса. Спинка и подлокотники имеют необычную скругленную
форму, которая подчеркивает форму всего кресла. Плавная линия подлокотников визуально соединяет спинку
кресла с основанием. Сиденье в форме подушки помогает занять удобное положение. Кресло имеет слегка
приподнятое массивное основание на регулируемых ножках.
КАЧЕСТВО НА ВЫСОТЕ
Кресло-реклайнер изготовлено из материалов высокого качества: механизм – металл, подлокотники – гнутая
фанера со шпоном из натурального дуба, массив дерева и каркас - мебельная фанера, наполнитель – высокоэластичный
ППУ, не теряющих своих упругих свойств на протяжении долгих лет. Кресло обито искусственной замшей
приятной на ощупь, роскошно смотрится как при естественном, так и при искусственном освещении.
ПРИЯТНОГО ПРОСМОТРА!
Кресла-реклайнеры – настоящая находка для домашнего кинотеатра, они обладают сверхвысокой функциональностью
и комфортом. Ощущение присутствия в настоящем кинозале помогает создать специальное кресло, на котором
можно удобно сидеть, лежать, принимать любую позу. Каждый по-разному привык смотреть фильмы: кто-то
напряженно следит за сюжетом в позе сидя, кто-то привык вальяжно опрокидываться на спинку, а кто-то
вообще предпочитает наслаждаться кино лежа. Во всех этих случаях идеальным вариантом станет кресло-реклайнер.
СТАНЬТЕ ДИЗАЙНЕРОМ СВОЕГО КРЕСЛА
Вы можете комбинировать разные цвета боковин и спинку-сидение между собой. Отгрузка отдельных частей
кресла не осуществляется.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</si>
  <si>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кож.зам/дерево</t>
  </si>
  <si>
    <t>Кресло-реклайнер – потрясающе комфортная модель для полного релакса. Специальный механизм трансформации
с регулировкой наклона спинки позволяет занять оптимальное положение тела и снять усталость с мышц
и суставов. Такое кресло отлично впишется в деловой интерьер офиса, в гостеприимный уют гостиницы,
отеля, зала ожидания. Так же хорошо будет смотреться в кафе, ресторане или напротив телевизора в домашней
гостиной.
ВОЛШЕБНАЯ ТРАНСФОРМАЦИЯ
Устройство реклайнер позволяет сдвигать спинку в полулежачее положение. Простой пружинный механизм
приводится в действие под весом тела. Достаточно немного надавить спиной на спинку кресла, как оно
отклонится назад и зафиксируется в удобном вам положении. Максимальное отклонение спинки от крайнего
вертикального положения - 45 градусов.
КОМФОРТНЫЙ ДИЗАЙН
Модель выполнена в лучших традициях кресел для релакса. Спинка и подлокотники имеют необычную скругленную
форму, которая подчеркивает форму всего кресла. Плавная линия подлокотников визуально соединяет спинку
кресла с основанием. Сиденье в форме подушки помогает занять удобное положение. Кресло имеет слегка
приподнятое массивное основание на регулируемых ножках.
КАЧЕСТВО НА ВЫСОТЕ
Кресло-реклайнер изготовлено из материалов высокого качества: механизм – металл, подлокотники – гнутая
фанера со шпоном из натурального дуба, массив дерева и каркас - мебельная фанера, наполнитель – высокоэластичный
ППУ, не теряющих своих упругих свойств на протяжении долгих лет. Использование фактурного кож. зама
в качестве обивки делает модель не только красивой, но и практичной.
ПРИЯТНОГО ПРОСМОТРА!
Кресла-реклайнеры – настоящая находка для домашнего кинотеатра, они обладают сверхвысокой функциональностью
и комфортом. Ощущение присутствия в настоящем кинозале помогает создать специальное кресло, на котором
можно удобно сидеть, лежать, принимать любую позу. Каждый по-разному привык смотреть фильмы: кто-то
напряженно следит за сюжетом в позе сидя, кто-то привык вальяжно опрокидываться на спинку, а кто-то
вообще предпочитает наслаждаться кино лежа. Во всех этих случаях идеальным вариантом станет кресло-реклайнер.
СТАНЬТЕ ДИЗАЙНЕРОМ СВОЕГО КРЕСЛА
Вы можете комбинировать разные цвета боковин и спинку-сидение между собой. Отгрузка отдельных частей
кресла не осуществляется.
РЕКОМЕНДАЦИЯ ПО УХОДУ
Используйте чистку пылесосом, а для трудновыводимых пятен специальные пятновыводители, в соответствии
с инструкцией.
*Оттенок ткани может меняться в зависимости от партии.</t>
  </si>
  <si>
    <t>Корзина Sheffilton</t>
  </si>
  <si>
    <t>ОТГРУЖАЕТСЯ ТОЛЬКО ПО 3 ШТУКИ!
Помощники порядка.
И красиво, и полезно. Хорошее решение для хранения вещей, игрушек, тапочек, книжек.
Полностью выполнена из металла в белом цвете.
Жесткая прочная конструкция.
Изделие неразборное.
Упаковка - полиэтилен.</t>
  </si>
  <si>
    <t>Вешалка Sheffilton SHT-CR22</t>
  </si>
  <si>
    <t>В-04</t>
  </si>
  <si>
    <t>орех/черный</t>
  </si>
  <si>
    <t>Прочность металла и природная красота дерева гармонично сочетаются в напольной вешалке SHT-CR22! Она
поможет навести порядок в доме и сэкономить место в помещении.
СТИЛЬНЫЙ ДИЗАЙН
Металлическая стойка отделана PVC пленкой под дерево. Одежду можно вешать на плечиках цепляя за отверстия
в стильных крючках. Все это создает ощущение натуральной деревянной вешалки, способной задать незабываемое
настроение и уют дому, офису или кафе.
ПРОЧНОСТЬ И ДОЛГОВЕЧНОСТЬ.
Вешалка выполнена из металлической трубы (диаметр 32 мм) и 4-х надежных металлических крючков. Максимальная
статическая нагрузка на каждый крючок 2 кг.
СТОЙКОСТЬ.
Металлическое основание диаметром 270 мм, позволяет "не заваливаться" под весом одежды.
ПРОСТАЯ СБОРКА.
Изделие полностью разборное, что обеспечивает простоту сборки и хранения.</t>
  </si>
  <si>
    <t>Вешалка Sheffilton CH-4043</t>
  </si>
  <si>
    <t>CH-4043</t>
  </si>
  <si>
    <t>хром/светлый орех (+)</t>
  </si>
  <si>
    <t>- Замечательное решение для хранения деловой одежды;
- Гармонично смотрится в любом интерьере;
- Предусмотрены перекладины для пиджака и брюк;
- Вешалка выполнена из хромированной трубы, диаметром 32 мм и натурального дерева, диаметром 28 мм;
- Ширина плечиков 455 мм;
- Ширина маленькой перекладины 122 мм;
- Ширина большой перекладины (для брюк) 415 мм;
- Максимальная нагрузка на перекладину 2 кг, на вешалку 4 кг;
- Изделие полностью разборное, что обеспечивает простоту сборки и хранения.
- Гарантия 2 года.</t>
  </si>
  <si>
    <t>Вешалка Sheffilton CH-4089-W</t>
  </si>
  <si>
    <t>CH-4089-W</t>
  </si>
  <si>
    <t>серебро/темный орех (+)</t>
  </si>
  <si>
    <t>- Прекрасное решение для хранения деловой одежды;
- Элегантная функциональная костюмная вешалка, в которой нет лишних деталей;
- Предусмотрены вешалка для пиджака, перекладина для брюк и подставка для аксессуаров;
- Размер перекладины для пиджака - 45 см;
- Выполнена из металла, диаметром 22 мм;
- Устойчивое основание выполнено из МДФ, диаметром 18 мм;
- Максимальная нагрузка на перекладину 2 кг, на вешалку 4 кг;
- Изделие полностью разборное, что обеспечивает простоту сборки и хранения;
- Гарантия 2 года.</t>
  </si>
  <si>
    <t>Вешалка Sheffilton SHT-SUR8</t>
  </si>
  <si>
    <t>В-03</t>
  </si>
  <si>
    <t>Замечательное решение для хранения деловой одежды. Элегантная функциональная костюмная вешалка, в
которой нет лишних деталей.
ПРАКТИЧНОСТЬ
Предусмотрены перекладины для пиджака и брюк.
ПРОЧНОСТЬ И ДОЛГОВЕЧНОСТЬ
Вешалка выполнена из хромированной трубы и МДФ. Металлическая стойка отделана PVC пленкой под дерево.
Максимальная нагрузка на плечики – 3 кг.
Максимальная нагрузка на перекладину – 2 кг.
ПРОСТАЯ СБОРКА
Изделие полностью разборное, что обеспечивает простоту сборки и хранения.</t>
  </si>
  <si>
    <t>Вешалка Sheffilton SHT-SUR9</t>
  </si>
  <si>
    <t>В-02</t>
  </si>
  <si>
    <t>ПРАКТИЧНОСТЬ
Предусмотрены перекладины для пиджака и брюк.
ПРОЧНОСТЬ И ДОЛГОВЕЧНОСТЬ
Вешалка выполнена из хромированной трубы, диаметром 28,5 мм и 13 мм и МДФ.
Максимальная нагрузка на плечики – 3 кг.
Максимальная нагрузка на перекладину – 2 кг.
ПРОСТАЯ СБОРКА
Изделие полностью разборное, что обеспечивает простоту сборки и хранения.</t>
  </si>
  <si>
    <t>Столик журнальный Sheffilton SHT-CT16</t>
  </si>
  <si>
    <t>SHT-СТЖ4</t>
  </si>
  <si>
    <t>светлый мрамор/латунь/черный</t>
  </si>
  <si>
    <t>стекло/металл</t>
  </si>
  <si>
    <t>Модный и стильный журнальный столик от Sheffilton с золотыми акцентными металлическими полосками гармонично
впишется в интерьер дома, дачи, кафе, гостиницы и остальных зон отдыха.
ДИЗАЙН И ЭСТЕТИКА
Столешница из закаленного стекла с рисунком под натуральный камень смотрится очень привлекательно
(толщина стекла 5 мм). Красивый золотой оттенок металла сделает красивый акцент в помещении. Продуманный
дизайн ножек делает столешницу визуально невесомой.
ПРОЧНЫЙ И НАДЕЖНЫЙ
металлический каркас окрашен золотой краской, устойчивой к механическому воздействию. Столешница выполнена
из толстого закаленного стекла с рисунком.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</si>
  <si>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SHT-CT18</t>
  </si>
  <si>
    <t>SHT-СТЖ6</t>
  </si>
  <si>
    <t>орех неаполь/хром</t>
  </si>
  <si>
    <t>Простая арифметика, одна покупка – два столика! Модные и стильные журнальные столики от Sheffilton
гармонично впишутся в интерьер дома, дачи, кафе, гостиницы и остальных зон отдыха.
ДВА В ОДНОМ
Вы можете использовать два столика в комплекте, красиво перекрыв один другим. Или в качестве отдельных
столиков в каждой комнате своего дома. За ненадобностью можно полностью один задвинуть за другой.
Диаметр большего столика 458 мм, высота 500 мм. Диаметр меньшего столика 400 мм, высота 420 мм.
ДИЗАЙН И ЭСТЕТИКА
Столешницы из гнутой фанеры МДФ смотрятся тонкими и невесомыми, поскольку имеют скошенный переход
от лицевой поверхности к обратной. Рисунок под натуральное дерево добавит естественности и натуральности
в интерьер. Бортик по краю столешниц позволяет бокалам и тарелкам не упасть во время использования.
Толщина бортика 8 мм, высота бортика внутри 30 мм, а снаружи 40 мм. Хромированные ножки сделают красивый
акцент в помещении.
ПРОЧНОСТЬ
Столешницы выполнены из высоскокачественной гнутой фанеры. Металлические хромированные каркасы устойчивы
к механическому воздействию.
МОБИЛЬНОСТЬ
Столики легко поднять и перенести в любое место дома или офиса.
ЛЕГКАЯ СБОРКА
Столики полностью разборные. Легко собрать и разобрать обратно.</t>
  </si>
  <si>
    <t>Вешалка Sheffilton CH-4004-1</t>
  </si>
  <si>
    <t>CH-4004-1</t>
  </si>
  <si>
    <t>хром/черный (+)</t>
  </si>
  <si>
    <t>- Компактная, аккуратная вешалка для гардеробной, ванной и кладовой;
- Помогает поддерживать порядок, занимая при этом минимум места;
- Предусмотрена штанга для вешалок-плечиков и боковые крючки для сумок, зонтов и пакетов;
- Выполнена из хромированной трубы, диаметром 22 и 19 мм; толщина трубы 1 мм;
- Высота вешалки регулируется в пределах 810-1500 мм;
- Колесные опоры позволяют с легкостью передвигать вешалку;
- Ширина штанги позволяет вместить до 25 вешалок-плечиков;
- Полезная длина штанги 715 мм;
- Максимальная распределенная нагрузка на вешалку 6 кг;
- Изделие полностью разборное, что обеспечивает простоту сборки и хранения.
- Гарантия 2 года.</t>
  </si>
  <si>
    <t>Вешалка Sheffilton SHT-4150B2-1</t>
  </si>
  <si>
    <t>SHT-4150B2-1</t>
  </si>
  <si>
    <t>- Многофункциональная вешалка с полкой и ящичками для гардеробной, прихожей, кладовой комнаты или
складского помещения, магазина, дачи;
- Позволяет легко разместить большое количество одежды, сумок, аксессуаров и других вещей; - Колесики
позволяют без труда передвигать вешалку;
- Выполена из металла и пластика;
- Диаметр трубы 32/28/32/19; толщина труб 1 мм;
- Размеры ящика ШхГхВ: 300х130х390 мм; Полка: 310х785 мм;
- Можно использовать без ящиков;
- Ящики полностью выдвигаются;
- Телескопическая система раздвижения по высоте 870-1400 мм;
- Расстояние между штангами 320 мм; от пола до полки 90 мм;
- Ширина штанги позволяет вместить до 26 вешалок-плечиков;
- Максимальная распределенная нагрузка на штангу 7 кг, полку 4 кг, ящик 1 кг, на вешалку 20 кг;
- Изделие полностью разборное, что обеспечивает простоту сборки и хранения.
- Гарантия 2 года.</t>
  </si>
  <si>
    <t>Вешалка Sheffilton SHT-WR1-1</t>
  </si>
  <si>
    <t>SHT-WR1-1</t>
  </si>
  <si>
    <t>Многофункциональная вешалка для любителей удобства и практичности.
Полка для обуви и головных уборов, штанга для вешалок-плечиков и боковые крючки для сумок;
Штанга из хромированной трубы (диаметр/толщина 32/1 мм); стойки (29/1, 32/1); полка 16/1 мм;
Полезная длина внутренней штанги 740 мм; длина плечиков 310 мм;
Высота вешалки регулируется по высоте в пределах 900-1500 мм;
Колеса вращаются на 360 градусов, обеспечивая легкое передвижение вешалки;
Диаметр колесной опоры 40 мм;
Ширина штанги позволяет вместить до 40 вешалок-плечиков;
Полка регулируется по высоте 800 - 1 680 мм;
Размеры верхней полки 740х300 мм; средней полки 740х300 мм; нижней полки 740х240 мм;
Среднюю полку можно крепить по всей высоте нехромированной трубы;
Максимальная распределенная нагрузка на нижнюю и верхнюю полку 3 кг; на штангу 8 кг;
на боковые плечики 2 кг; на вешалку 19 кг;
Изделие полностью разборное, что обеспечивает простоту сборки и хранения.
Гарантия 2 года.</t>
  </si>
  <si>
    <t>Вешалка Sheffilton SHT-WR22</t>
  </si>
  <si>
    <t>В-05</t>
  </si>
  <si>
    <t>Гардеробные системы, в отличие от привычной нам мебели, более гармонично вписываются в пространство
комнаты. Они позволяют грамотно использовать каждый сантиметр выделенной площади, при этом обеспечивая
бережное хранение для повседневных вещей, верхней одежды и обуви. Чаще всего гардеробная система устанавливается
в подходящих нишах, имеющихся в комнате. Это позволяет визуально не перегружать пространство.
МНОГОФУНКЦИОНАЛЬНОСТЬ
Мечта для любой гардеробной! Эта система предлагает достаточно места для платьев, пальто, пиджаков,
брюк и рубашек. Две регулируемые по высоте полки (размер каждой 80 на 27 см.). Три регулируемые по
высоте штанги для подвешивания шириной 80 и 121 см.
ТЕЛЕСКОПИЧЕСКАЯ СИСТЕМА
Система крепится между полом и потолком враспор. Основные вертикальные штанги телескопически регулируются
по высоте от 240 до 280 см. Данная функция очень удобна при установке в нишу или комнату с индивидуальными
размерами. Благодаря подвижным штангам возможен монтаж углом.
ПРОЧНОСТЬ И ДОЛГОВЕЧНОСТЬ.
Вешалка выполнена из металлической трубы (диаметр 25 мм) и прутка. Металлические детали окрашены порошковой
краской, устойчивой к механическому воздействию.
Максимальная статическая нагрузка на каждую штангу - 8 кг.
Максимальная статическая нагрузка на каждую полку – 12 кг.
ПРОСТАЯ СБОРКА.
Изделие полностью разборное, что обеспечивает простоту сборки и хранения.</t>
  </si>
  <si>
    <t>Вешалка Sheffilton SHT-WR23</t>
  </si>
  <si>
    <t>В-06</t>
  </si>
  <si>
    <t>Гардеробные системы, в отличие от привычной нам мебели, более гармонично вписываются в пространство
комнаты. Они позволяют грамотно использовать каждый сантиметр выделенной площади, при этом обеспечивая
бережное хранение для повседневных вещей, верхней одежды и обуви. Чаще всего гардеробная система устанавливается
в подходящих нишах, имеющихся в комнате. Это позволяет визуально не перегружать пространство.
МНОГОФУНКЦИОНАЛЬНОСТЬ
Мечта для любой гардеробной! Эта система предлагает достаточно места для платьев, пальто, пиджаков,
брюк и рубашек. Одну штангу и три полки (размер каждой 68 на 26,5 см.) можно регулировать по высоте
и менять местами.
ТЕЛЕСКОПИЧЕСКАЯ СИСТЕМА
Система крепится между полом и потолком враспор. Основные вертикальные штанги телескопически регулируются
по высоте от 240 до 280 см. Данная функция очень удобна при установке в нишу или комнату с индивидуальными
размерами. Возможен монтаж углом.
ПРОЧНОСТЬ И ДОЛГОВЕЧНОСТЬ.
Вешалка выполнена из металлической трубы (диаметр 25 мм) и прутка. Металлические детали окрашены порошковой
краской, устойчивой к механическому воздействию.
Максимальная статическая нагрузка на каждую штангу - 8 кг.
Максимальная статическая нагрузка на каждую корзину – 12 кг.
ПРОСТАЯ СБОРКА.
Изделие полностью разборное, что обеспечивает простоту сборки и хранения.</t>
  </si>
  <si>
    <t>Вешалка Sheffilton SHT-WR24</t>
  </si>
  <si>
    <t>В-07</t>
  </si>
  <si>
    <t>Гардеробные системы, в отличие от привычной нам мебели, более гармонично вписываются в пространство
комнаты. Они позволяют грамотно использовать каждый сантиметр выделенной площади, при этом обеспечивая
бережное хранение для повседневных вещей, верхней одежды и обуви. Чаще всего гардеробная система устанавливается
в подходящих нишах, имеющихся в комнате. Это позволяет визуально не перегружать пространство.
МНОГОФУНКЦИОНАЛЬНОСТЬ
Мечта для любой гардеробной! Эта система предлагает достаточно места для платьев, пальто, пиджаков,
брюк и рубашек. Штанга, две полки и корзина (размер каждой 68 на 26,5 см.) можно регулировать по высоте
и менять местами.
ТЕЛЕСКОПИЧЕСКАЯ СИСТЕМА
Система крепится между полом и потолком враспор. Основные вертикальные штанги телескопически регулируются
по высоте от 240 до 280 см. Данная функция очень удобна при установке в нишу или комнату с индивидуальными
размерами.
ПРОЧНОСТЬ И ДОЛГОВЕЧНОСТЬ.
Вешалка выполнена из металлической трубы (диаметр 25 мм) и прутка. Металлические детали окрашены порошковой
краской, устойчивой к механическому воздействию.
Максимальная статическая нагрузка на каждую штангу - 8 кг.
Максимальная статическая нагрузка на каждую корзину и полки – 12 кг.
ПРОСТАЯ СБОРКА.
Изделие полностью разборное, что обеспечивает простоту сборки и хранения.</t>
  </si>
  <si>
    <t>Зеркало Sheffilton 12600SS</t>
  </si>
  <si>
    <t>12600SS</t>
  </si>
  <si>
    <t>Дизайн этого зеркала является воплощением элегантности и роскоши.
Выполнено из каучукового дерева с последующим покрытием тонировочным лаком.
Специальные крепления позволяют менять угол наклона зеркала на 360°
Размер зеркального полотна: 1119х356х3 мм.
Изделие полностью разборное, что обеспечивает простоту сборки и хранения.
Гарантия 2 года.</t>
  </si>
  <si>
    <t>Дизайн этого зеркала является воплощением элегантности и роскоши;
- Выполнено из натурального каучукового дерева с последующим покрытием тонировочным лаком;
- Специальные крепления позволяют менять угол наклона зеркала на 360°;
- Размер зеркального полотна: 1119х356х3 мм;
- Изделие полностью разборное, детали упакованы в полиэтиленовые пакеты и дополнительно проложены
пенопластом; упаковка - плоская картонная коробка;
- Гарантия 2 года.</t>
  </si>
  <si>
    <t>Столик журнальный Sheffilton SHT-CT13</t>
  </si>
  <si>
    <t>SHT-СТЖ1</t>
  </si>
  <si>
    <t>прозрачный/латунь</t>
  </si>
  <si>
    <t>закаленное стекло/металл</t>
  </si>
  <si>
    <t>Стильный золотой журнальный столик от Sheffilton с красивой столешницей из стекла гармонично впишется
в интерьер дома, дачи, кафе, гостиницы и остальных зон отдыха.
ПРОЧНЫЙ И НАДЕЖНЫЙ
металлический каркас окрашен золотой краской, устойчивой к механическому воздействию. Столешница выполнена
из толстого закаленного стекла с безопасной обработанной кромкой (толщина стекла 5 мм, расстояние
от края до крепления 70 мм).
РЕГУЛИРУЕМЫЕ ОПОРЫ
На шарнирах позволяют комфортно ставить столик на неровной поверхности. На опорах имеются подпятники
из эластичной резины, которые придают антискользящие свойства.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</si>
  <si>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SHT-CT14</t>
  </si>
  <si>
    <t>SHT-СТЖ2</t>
  </si>
  <si>
    <t>прозрачный/дуб шампань/золото</t>
  </si>
  <si>
    <t>закаленное стекло/МДФ/металл</t>
  </si>
  <si>
    <t>Золотой журнальный столик от Sheffilton с красивой столешницей из закаленного стекла и полочкой гармонично
впишется в интерьер дома, дачи, кафе, гостиницы и остальных зон отдыха.
ДИЗАЙН И ЭСТЕТИКА
Столешница из закаленного стекла в красивой металлической рамке смотрится привлекательно (толщина
стекла 5 мм, диаметр стекла 435 мм). На нижнюю полочку из МДФ можно поставить что-то интересное и
обыграть визуальный обзор сквозь стеклянную столешницу (толщина МДФ 15 мм, диаметр МДФ 300 мм). Красивый
золотой оттенок металла добавит лоска в интерьер помещения.
ПРОЧНЫЙ И НАДЕЖНЫЙ
металлический каркас окрашен золотой краской, устойчивой к механическому воздействию. Верхняя столешница
выполнена из толстого закаленного стекла. Нижняя полочка из МДФ отличается повышенной жесткостью и
устойчива к воздействию влаги. Материал не содержит и не выделяет вредных веществ. Расстояниие от
полочки МДФ до кольца верхней столешницы 258 мм.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</si>
  <si>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SHT-CT15</t>
  </si>
  <si>
    <t>SHT-СТЖ3</t>
  </si>
  <si>
    <t>Модный и стильный журнальный столик от Sheffilton с золотыми акцентными металлическими полосками гармонично
впишется в интерьер дома, дачи, кафе, гостиницы и остальных зон отдыха.
ДИЗАЙН И ЭСТЕТИКА
Столешница из закаленного стекла с рисунком под натуральный камень смотрится очень привлекательно
(толщина стекла 5 мм). Красивый золотой оттенок металла сделает красивый акцент в помещении. Продуманный
дизайн ножек делает столешницу визуально невесомой (расстояние между прутьями 50 мм).
ПРОЧНЫЙ И НАДЕЖНЫЙ
металлический каркас окрашен золотой краской, устойчивой к механическому воздействию. Столешница выполнена
из толстого закаленного стекла с рисунком.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</si>
  <si>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темный мрамор/латунь/черный</t>
  </si>
  <si>
    <t>Модный и стильный журнальный столик от Sheffilton с золотыми акцентными металлическими полосками гармонично
впишется в интерьер дома, дачи, кафе, гостиницы и остальных зон отдыха.
ДИЗАЙН И ЭСТЕТИКА
Столешница из закаленного стекла с рисунком под натуральный камень смотрится очень привлекательно
(толщина стекла 5 мм, высота обода 40 мм). Красивый золотой оттенок металла сделает красивый акцент
в помещении. Продуманный дизайн ножек делает столешницу визуально невесомой (расстояние между прутьями
50 мм).
ПРОЧНЫЙ И НАДЕЖНЫЙ
металлический каркас окрашен золотой краской, устойчивой к механическому воздействию. Столешница выполнена
из толстого закаленного стекла с рисунком.
МОБИЛЬНЫЙ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</si>
  <si>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SHT-CT17</t>
  </si>
  <si>
    <t>SHT-СТЖ5</t>
  </si>
  <si>
    <t>дуб весенний/черное дерево/латунь</t>
  </si>
  <si>
    <t>МДФ/дерево/металл</t>
  </si>
  <si>
    <t>Модный и стильный журнальный столик от Sheffilton с золотыми акцентами на ножках гармонично впишется
в интерьер дома, дачи, кафе, гостиницы и остальных зон отдыха.
ДИЗАЙН И ЭСТЕТИКА
Столешница из МДФ смотрится тонкой и невесомой, поскольку имеет скошенный переход от лицевой поверхности
к обратной. Диаметр столешницы 400 мм, толщина 17 мм. Рисунок под натуральное дерево добавит естественности
и натуральности в интерьер. Золотой оттенок металла на ножках сделает красивый акцент в помещении.
ПРОЧНОСТЬ И ВЛАГОСТОЙКОСТЬ
Столешница из МДФ отличается повышенной жесткостью и устойчива к воздействию влаги. Материал не содержит
и не выделяет вредных веществ. Металлические каркасы окрашены золотой и черной краской, устойчивой
к механическому воздействию.
МОБИЛЬНОСТЬ
Столик легко поднять и перенести в любое место дома или офиса.
ЛЕГКАЯ СБОРКА
Столик полностью разборный. Легко собрать и разобрать обратно.</t>
  </si>
  <si>
    <t>Столик журнальный Sheffilton SHT-CT19</t>
  </si>
  <si>
    <t>SHT-СТЖ7</t>
  </si>
  <si>
    <t>зеркальный/хром</t>
  </si>
  <si>
    <t>зеркало/металл</t>
  </si>
  <si>
    <t>Простая арифметика, одна покупка – два столика! Модные и стильные журнальные столики от Sheffilton
гармонично впишутся в интерьер дома, дачи, кафе, гостиницы и остальных зон отдыха.
ДВА В ОДНОМ
Вы можете использовать два столика в комплекте, красиво перекрыв один другим. Или в качестве отдельных
столиков в каждой комнате своего дома. За ненадобностью можно полностью один задвинуть за другой.
Диаметр столешницы большого столика 580 мм, высота 500 мм. Диаметр маленького столика 420 мм, высота
460 мм.
ДИЗАЙН И ЭСТЕТИКА
Столешницы из зеркала позволяют визуально расширить интерьер. Этот модный ход выручил интерьер многих
покупателей. Столики смотрятся тонкими и невесомыми, поскольку имеют скошенный переход от лицевой
поверхности к обратной. Хромированные ножки прекрасно гармонируют с зеркальными столешницами.
ПРОЧНОСТЬ
Столешницы выполнены из прочного зеркального стекла толщиной 4 мм, устойчивого к царапинам. Металлические
хромированные каркасы устойчивы к механическому воздействию.
МОБИЛЬНОСТЬ
Столики легко поднять и перенести в любое место дома или офиса.
ЛЕГКАЯ СБОРКА
Столики полностью разборные. Легко собрать и разобрать обратно.</t>
  </si>
  <si>
    <t>Чехол Sheffilton SHT-CS1</t>
  </si>
  <si>
    <t>SHT-CS1</t>
  </si>
  <si>
    <t>коричневый/бежевый</t>
  </si>
  <si>
    <t>плотная ткань</t>
  </si>
  <si>
    <t>Чехол для стеллажей - это интересное и практичное решение для защиты вещей.
Он имеет оригинальный узор, выполненный дизайнерами специально для Sheffilton.
Простой уход и отличный подарок.
ТЕХНИЧЕСКИЕ ДАННЫЕ:
Имеются карманы для хранения мелких вещей и тапочек;
Чехол выполнен из плотного нетканого материала;
Защищает вашу обувь и вещи от пыли, грязи и влаги.
Рекомендация по уходу: чистка пылесосом, для трудновыводимых пятен используйте специальные пятновыводители
для тканей, в соответствии с инструкцией.
УПАКОВКА И ГАРАНТИЯ
Упаковка - полиэтиленовый пакет.
Гарантия - 2 года.</t>
  </si>
  <si>
    <t>Чехол Sheffilton SHT-CS2</t>
  </si>
  <si>
    <t>SHT-CS2</t>
  </si>
  <si>
    <t>салатовый</t>
  </si>
  <si>
    <t>Чехол для стеллажей - это интересное и практичное решение для защиты вещей.
Он имеет яркий и оригинальный дизайн.
Простой уход и отличный подарок.
ТЕХНИЧЕСКИЕ ДАННЫЕ:
Имеются карманы для хранения мелких вещей и тапочек;
Чехол выполнен из плотного нетканого материала;
Защищает вашу обувь и вещи от пыли, грязи и влаги.
Рекомендация по уходу: чистка пылесосом, для трудновыводимых пятен используйте специальные пятновыводители
для тканей, в соответствии с инструкцией.
УПАКОВКА И ГАРАНТИЯ
Упаковка - полиэтиленовый пакет.
Гарантия - 2 года.</t>
  </si>
  <si>
    <t>Вешалка-гардероб с чехлом Sheffilton 2012</t>
  </si>
  <si>
    <t>темно-коричневый</t>
  </si>
  <si>
    <t>- Лёгкий и практичный способ хранить вещи, обувь, книги, аксессуары в одном месте;
- Каркас стойки выполнен из металлических трубок и пластиковых соединительных крепежей;
- Под верхней полкой предусмотрена металлическая штанга для вешалок - плечиков;
- Полка и чехол выполнены из плотного нетканого материала (P=75г/кв.м.);
- Чехол защитит одежду от пыли, грязи и влаги;
- Максимальная распределенная нагрузка на полку 3 кг, на вешалку 13 кг;
- Изделие полностью разборное, что обеспечивает простоту сборки и хранения.
- Гарантия 2 года.
Рекомендация по уходу:
- не подвергайте изделие воздействию прямых солнечных лучей.
- стирка запрещена, только сухая чистка.</t>
  </si>
  <si>
    <t>Полка д/обуви с чехлом Sheffilton SHT-SR1</t>
  </si>
  <si>
    <t>SHT-SR1</t>
  </si>
  <si>
    <t>металл/пластик/плотная ткань</t>
  </si>
  <si>
    <t>- Компактное и практичное решение для хранения обуви;
- Полка имеет оригинальный узор, выполненный дизайнерами специально для Sheffilton;
- Каркас стойки выполнен из металлических трубок и пластиковых соединительных крепежей;
- Диаметр и толщина металлических трубок 13,5х0,22 мм;
- Предусмотрено 5 полок, высота между полками - 200 мм;
- Нижняя полка предусмотрена для высокой обуви, высотой 300 мм;
- Полки и чехол выполнены из нетканного материала (P=75г/кв.м.) со специальной пропиткой, стойкой
к влаге;
- В конструкции предусмотрена металлическая полка, которую можно размещать в любом месте;
- Имеются 8 боковых карманов для хранения тапочек и мелких вещей;
- Чехол защищает вашу обувь от пыли, грязи и влаги;
- Легкий и простой уход;
- Отличный подарок;
- Максимальная нагрузка на полку из ткани 3 кг, из металла 5 кг;
- Изделие полностью разборное, что обеспечивает простоту сборки и хранения.
- Гарантия 2 года.
Рекомендация по уходу:
- не подвергайте изделие воздействию прямых солнечных лучей.
- стирка запрещена, только сухая чистка.</t>
  </si>
  <si>
    <t>Стул Sheffilton SHT-S11</t>
  </si>
  <si>
    <t>SHT-S11</t>
  </si>
  <si>
    <t>зеленое яблоко/хром</t>
  </si>
  <si>
    <t>- Удобный стул из формованной фанеры на металлокаркасе;
- Можно штабелировать, что позволяет экономить место при хранении;
- Подходит для дома, лоджии, сада, а также для кафе, баров и ресторанов;
- Оптимален с точки зрения цена/дизайн/качество;
- Надежен и легок в уходе;
- Сидение стула выполнено из формованной фанеры и НЕ ИСПОЛЬЗУЕТСЯ отдельно от чехла;
- Чехол выполнен из прочной рогожки, в качестве мягкого наполнителя используется поролон;
- Размеры сиденья: 412х410х460мм;
- Высота спинки: 460мм;
- Толщина сиденья фанера/кож.зам - 1,2/1 см;
- Устойчивые опоры выполнены из металлической трубы, диаметр/толщина каркаса: 19/1,8 мм;
- Металлический каркас с покрытием "хром" обладает высокой износостойкостью, прочностью, химической
и термической устойчивостью;
- Максимальная нагрузка 200 кг;
- Гарантия 2 года.</t>
  </si>
  <si>
    <t>ОГРАНИЧЕННАЯ ПАРТИЯ столешниц из МДФ без ламинации с обратной стороны.
ВНИМАНИЕ! Отсутствие ламинации ни как не влияет на качество изделий!
Столешница из МДФ смотрится аккуратно и привлекательно, поскольку имеет плавный закругленный переход
от лицевой поверхности к боковым кромкам.
Долгий срок эксплуатации, устойчивость к влаге, стойкость к механическим повреждениям.
Диаметр/толщина столешницы 800х22 мм.
Под заказ доступны различные виды отделки: глянцевые, цветные, древесные.</t>
  </si>
  <si>
    <t>Столешница Sheffilton SHT-TT 80/80 ЛДСП</t>
  </si>
  <si>
    <t>бук (+)</t>
  </si>
  <si>
    <t>ЛДСП 25мм</t>
  </si>
  <si>
    <t>бук 5113</t>
  </si>
  <si>
    <t>Столешница Sheffilton SHT-ТT 80/80 ДУБ</t>
  </si>
  <si>
    <t>ТТ4</t>
  </si>
  <si>
    <t>дуб коричневый/диагональ</t>
  </si>
  <si>
    <t>МДФ/шпон/массив дуба 60</t>
  </si>
  <si>
    <t>Только под заказ от 5 штук.
С такой столешницей каждый стол будет уникальным - благодаря естественному рисунку натуральной древесины
и вариативности ее оттенков.
Выдерживает интенсивную нагрузку, подходит для использования в домашних и общественных помещениях,
в кафе, баре, ресторане.
Столешница с покрытием из натурального дубового шпона - 0,6 мм.
Раскладка шпона: диагональ.
Основа столешницы выполнена из МДФ - 20 мм.
Боковая рельефная кромка выполнена из массива дуба - 60 мм.
Устойчивость к впитыванию загрязнений, конденсата, жира.
Легкий и простой уход.
Гарантия 2 года.</t>
  </si>
  <si>
    <t>дуб коричневый/золото</t>
  </si>
  <si>
    <t>МДФ/ламель/латунь/массив дуба</t>
  </si>
  <si>
    <t>дуб коричневый/квадрат</t>
  </si>
  <si>
    <t>Только под заказ от 5 штук.
С такой столешницей каждый стол будет уникальным - благодаря естественному рисунку натуральной древесины
и вариативности ее оттенков.
Выдерживает интенсивную нагрузку, подходит для использования в домашних и общественных помещениях,
в кафе, баре, ресторане.
Столешница с покрытием из натурального дубового шпона - 0,6 мм.
Раскладка шпона: квадрат.
Основа столешницы выполнена из МДФ - 20 мм.
Боковая рельефная кромка выполнена из массива дуба - 60 мм.
Устойчивость к впитыванию загрязнений, конденсата, жира.
Легкий и простой уход.
Гарантия 2 года.</t>
  </si>
  <si>
    <t>дуб коричневый/конверт</t>
  </si>
  <si>
    <t>Только под заказ от 5 штук.
С такой столешницей каждый стол будет уникальным - благодаря естественному рисунку натуральной древесины
и вариативности ее оттенков.
Выдерживает интенсивную нагрузку, подходит для использования в домашних и общественных помещениях,
в кафе, баре, ресторане.
Столешница с покрытием из натурального дубового шпона - 0,6 мм.
Раскладка шпона: конверт.
Основа столешницы выполнена из МДФ - 20 мм.
Боковая рельефная кромка выполнена из массива дуба - 60 мм.
Устойчивость к впитыванию загрязнений, конденсата, жира.
Легкий и простой уход.
Гарантия 2 года.</t>
  </si>
  <si>
    <t>дуб коричневый/ламель</t>
  </si>
  <si>
    <t>МДФ/ламель/массив дуба 60</t>
  </si>
  <si>
    <t>Только под заказ от 5 штук.
С такой столешницей каждый стол будет уникальным - благодаря естественному рисунку натуральной древесины
и вариативности ее оттенков.
Выдерживает интенсивную нагрузку, подходит для использования в домашних и общественных помещениях,
в кафе, баре, ресторане.
Столешница с покрытием из ламели - 5 мм.
Раскладка шпона: диагональ.
Основа столешницы выполнена из МДФ - 20 мм.
Боковая рельефная кромка выполнена из массива дуба - 60 мм.
Устойчивость к впитыванию загрязнений, конденсата, жира.
Легкий и простой уход.
Гарантия 2 года.</t>
  </si>
  <si>
    <t>МДФ, дерево</t>
  </si>
  <si>
    <t>Вешалка Sheffilton SHT-WR19</t>
  </si>
  <si>
    <t>ВК-3</t>
  </si>
  <si>
    <t>матовый черный</t>
  </si>
  <si>
    <t>Компактная и удобная вешалка для гардеробной, ванной, детской, прихожей, кладовой. Поможет поддержать
порядок в комнате и сэкономить свободное пространство.
МНОГОФУНКЦИОНАЛЬНОСТЬ
В вешалке есть полка для обуви, штанга для вешалок-плечиков и боковые крючки для сумок, зонтов и пакетов.
Это позволяет ее использовать в любой зоне помещения. Колесные опоры позволяют с легкостью передвигать
вешалку.
ПРОЧНОСТЬ И ДОЛГОВЕЧНОСТЬ.
Штанга, стойки и полка выполнены из металлической трубы. Высота вешалки не регулируется. Максимальная
распределенная нагрузка на штангу 8 кг.
Максимальная распределенная нагрузка на полку 4 кг.
ПРОСТАЯ СБОРКА.
Изделие полностью разборное, что обеспечивает простоту сборки и хранения.</t>
  </si>
  <si>
    <t>Вешалка Sheffilton SHT-WR20</t>
  </si>
  <si>
    <t>ВК-4</t>
  </si>
  <si>
    <t>Компактная и удобная вешалка для гардеробной, ванной, детской, прихожей, кладовой. Поможет поддержать
порядок в комнате и сэкономить свободное пространство.
МНОГОФУНКЦИОНАЛЬНОСТЬ
В вешалке есть полка для обуви, две штанги для вешалок-плечиков и боковые крючки для сумок, зонтов
и пакетов. Это позволяет ее использовать в любой зоне помещения. Колесные опоры позволяют с легкостью
передвигать вешалку.
ПРОЧНОСТЬ И ДОЛГОВЕЧНОСТЬ.
Штанга, стойки и полка выполнены из металлической трубы. Высота вешалки не регулируется. Максимальная
распределенная нагрузка на каждую штангу 8 кг.
Максимальная распределенная нагрузка на полку 4 кг.
ПРОСТАЯ СБОРКА.
Изделие полностью разборное, что обеспечивает простоту сборки и хранения.</t>
  </si>
  <si>
    <t>Вешалка Sheffilton SHT-WR21</t>
  </si>
  <si>
    <t>ВК-1</t>
  </si>
  <si>
    <t>черный муар/скандинавский дуб</t>
  </si>
  <si>
    <t>Мобильная и удобная вешалка для гардеробной, детской, прихожей, кладовой. Поможет поддержать порядок
в комнате и сэкономить свободное пространство.
МНОГОФУНКЦИОНАЛЬНОСТЬ
- В вешалке есть полки для сумок и аксессуаров, полка для головных уборов, штанга для вешалок-плечиков
и боковые крючки для сумок, зонтов и пакетов.
- Сетка сбоку, позволяет дополнительно вешать ремни, очки и аксессуары.
- Колесные опоры позволяют с легкостью передвигать вешалку по полу.
Эти детали выгодно выделяют модель из массы ей подобных и позволяют использовать в любой зоне помещения.
ПРОЧНОСТЬ И ДОЛГОВЕЧНОСТЬ.
Штанга, стойки и полка выполнены из металлической трубы. Полки изготовлены из высококачественного
ЛДСП с текстурой под натуральное дерево. Высота вешалки 171 см.
Максимальная распределенная нагрузка на штангу 8 кг.
Максимальная распределенная нагрузка на полку 10 кг.
ПРОСТАЯ СБОРКА.
Изделие полностью разборное, что обеспечивает простоту сборки и хранения.</t>
  </si>
  <si>
    <t>Полка для обуви Sheffilton SHT-SR12</t>
  </si>
  <si>
    <t>SR-01</t>
  </si>
  <si>
    <t>черный муар/скандинавский орех</t>
  </si>
  <si>
    <t>Верхняя полка не предназначена для сидения!
МНОГОФУНКЦИОНАЛЬНОСТЬ
Можно использовать в качестве обувной полки или для хранения различных вещей: коробок, сумок, рюкзаков,
корзин, шарфов, шляп, шапок и даже детских игрушек. Универсальная новинка для кухни, веранды, детской,
гардеробной, прихожей, для совершенно любой комнаты дома.
ПРОЧНОСТЬ И ДОЛГОВЕЧНОСТЬ.
Изделие выполнено из металлической трубы. Верхняя полка из ЛДСП с красивой текстурой под натуральное
дерево. Специальные подпятники обеспечивают защиту от царапин, тем самым увеличивая срок службы изделия.
Максимальная распределенная нагрузка на каждую полку 5 кг.
ПРОСТАЯ СБОРКА.
Изделие полностью разборное, что обеспечивает простоту сборки и хранения.</t>
  </si>
  <si>
    <t>Стол Sheffilton SHT-T36</t>
  </si>
  <si>
    <t>ТК-1</t>
  </si>
  <si>
    <t>Работайте, играйте, учитесь, развивайтесь без ограничений! Удобное и комфортное рабочее место поможет
преуспеть в любом деле.
В мебели для работы дома важны:
КОМФОРТ. Правильная эргономика рабочего места дает физический комфорт и сохраняет здоровье.
ДИЗАЙН. "Вписываться" или быть "незаметным" в интерьере. Дает психологический комфорт, это когда не
ощущаете себя 24 часа на работе.
КОМПАКТНОСТЬ. Мебель для работы дома не должна занимать много места.
МОБИЛЬНОСТЬ. Иметь возможность перемещаться из одной комнаты в другую.
ДОСТУПНАЯ ЦЕНА. Экономия бюджета.
НАДЕЖНОСТЬ. Прочная конструкция и ресурсоемкие технические решения.
УДОБСТВО ЭКСПЛУАТАЦИИ. Быть простым в использовании.
ПРОЧНОСТЬ И ДОЛГОВЕЧНОСТЬ.
Изделие выполнено из металлической трубы. Полки из ЛДСП с красивой текстурой под натуральное дерево.
Специальные подпятники обеспечивают защиту от царапин, тем самым увеличивая срок службы изделия.
Максимальная распределенная нагрузка на полку 10 кг.
Максимальная распределенная нагрузка на столешницу 10 кг.
ПРОСТАЯ СБОРКА.
Изделие полностью разборное, что обеспечивает простоту сборки и хранения.</t>
  </si>
  <si>
    <t>Столешница Sheffilton SHT-TT 140/80 ЛДСП</t>
  </si>
  <si>
    <t>ТТ91</t>
  </si>
  <si>
    <t>хромикс белый</t>
  </si>
  <si>
    <t>Стол со столешницей из ЛДСП под натуральный камень будет гармонично и со вкусом смотреться в доме,
офисе, дизайн-студии, кафе, баре, ресторане.
Длина столешницы 1400 мм.
Ширина столешницы 800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модную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</si>
  <si>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SHT-TT17 70/70 ЛДСП/Бук</t>
  </si>
  <si>
    <t>дуб нагано/прозрачный лак</t>
  </si>
  <si>
    <t>ЛДСП/бук</t>
  </si>
  <si>
    <t>Уникальная столешница с кромкой из натурального массива бука и основой из ЛДСП несомненно украсит
помещение! Кромка с закругленными краями добавит дополнительную прочность и долговечность. Готовый
стол смотрится аккуратно и привлекательно, поскольку имеет плавный переход от лицевой поверхности
к рамке.
Столешница разборная.
Толщина рамки столешницы 25 мм.
Толщина столешницы ЛДСП 16 мм.
Рекомендуется обрабатывать герметиком место стыка рамки и столешницы во избежание попадания влаги.
Вы можете подобрать любой цвет рамки из бука к столешнице ЛДСП в конструкторе стульев и столов.
Гарантия 2 года.</t>
  </si>
  <si>
    <t>Столешница Sheffilton SHT-TT23 120/77ЛДСП/пластик</t>
  </si>
  <si>
    <t>ТТ76</t>
  </si>
  <si>
    <t>бежевый глянец</t>
  </si>
  <si>
    <t>ЛДСП-пластик 25 мм</t>
  </si>
  <si>
    <t>Столешница выполнена из глянцевого ЛДСП и покрыта специальной пластиковой пленкой, которая формирует
защитный слой от внешнего воздействия. Готовый стол будет гармонично и со вкусом смотреться в доме,
офисе, дизайн-студии, кафе, баре, ресторане.
Длина/ширина столешницы 1200/770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</si>
  <si>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SHT-TT23 77/77 ЛДСП/пластик</t>
  </si>
  <si>
    <t>ТТ75</t>
  </si>
  <si>
    <t>Столешница выполнена из глянцевого ЛДСП и покрыта специальной пластиковой пленкой, которая формирует
защитный слой от внешнего воздействия. Готовый стол будет гармонично и со вкусом смотреться в доме,
офисе, дизайн-студии, кафе, баре, ресторане.
Длина/ширина столешницы 770/770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</si>
  <si>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акация светлая поперечная</t>
  </si>
  <si>
    <t>Стол со столешницей из МДФ будет гармонично и со вкусом смотреться в доме, офисе, дизайн-студии, кафе,
баре, ресторане.
Диаметр столешницы 700 мм.
Толщина столешницы 22 мм.
УСТОЙЧИВОСТЬ и ПРОЧНОСТЬ
Столешница из МДФ отличается повышенной жесткостью и не подвержена процарапыванию, истиранию и растрескиванию.
ЭКОЛОГИЧЕСКАЯ ЧИСТОТА
Материал не содержит и не выделяет вредных веществ.
ДИЗАЙН И ЭСТЕТИКА
Столешница из МДФ смотрится аккуратно и привлекательно, поскольку имеет плавный закругленный переход
от лицевой поверхности к боковым кромкам. имеет рельефные и структурные формы, которые визуально неотличимы
от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</si>
  <si>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SHT-TT 80/80  ЛДСП</t>
  </si>
  <si>
    <t>белый снег (+)</t>
  </si>
  <si>
    <t>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Готовый стол будет
гармонично и со вкусом смотреться в доме, офисе, дизайн-студии, кафе, баре, ресторане.
Длина/ширина столешницы 800/800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</si>
  <si>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SHT-TT 80 ЛДСП</t>
  </si>
  <si>
    <t>TT1</t>
  </si>
  <si>
    <t>сосна Касцина</t>
  </si>
  <si>
    <t>Стол со столешницей из ЛДСП под натуральное дерево будет гармонично и со вкусом смотреться в доме,
офисе, дизайн-студии, кафе, баре, ресторане.
Диаметр столешницы 800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натурального дерева.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</si>
  <si>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Готовый стол будет
гармонично и со вкусом смотреться в доме, офисе, дизайн-студии, кафе, баре, ресторане.
Диаметр столешницы 800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</si>
  <si>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дуб беленый (+)</t>
  </si>
  <si>
    <t>орех (+)</t>
  </si>
  <si>
    <t>Столешница Sheffilton SHT-TT 90 ЛДСП</t>
  </si>
  <si>
    <t>TT92</t>
  </si>
  <si>
    <t>бетон Чикаго светло-серый</t>
  </si>
  <si>
    <t>Стол со столешницей из ЛДСП под натуральный бетон будет гармонично и со вкусом смотреться в доме,
офисе, дизайн-студии, кафе, баре, ресторане.
Диаметр столешницы 900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модную текстуру
натурального бетона.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</si>
  <si>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дуб галифакс табак</t>
  </si>
  <si>
    <t>Стол со столешницей из ЛДСП под натуральное дерево будет гармонично и со вкусом смотреться в доме,
офисе, дизайн-студии, кафе, баре, ресторане.
Диаметр столешницы 900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ценного сорта древесины.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</si>
  <si>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Столешница Sheffilton SHT-ТT 120/80 ЛДСП</t>
  </si>
  <si>
    <t>белый шагрень 0101PE (+)</t>
  </si>
  <si>
    <t>ТОВАР ДОСТУПЕН ПОД ЗАКАЗ ОТ 1 ШТУКИ!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Готовый стол будет
гармонично и со вкусом смотреться в доме, офисе, дизайн-студии, кафе, баре, ресторане.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</si>
  <si>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Готовый стол будет
гармонично и со вкусом смотреться в доме, офисе, дизайн-студии, кафе, баре, ресторане.
Длина/ширина столешницы 1200/800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</si>
  <si>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белый шагрень (+)</t>
  </si>
  <si>
    <t>Столешница Sheffilton SHT-ТT20 60 ЛДСП</t>
  </si>
  <si>
    <t>TT61</t>
  </si>
  <si>
    <t>мрамор каррара белый</t>
  </si>
  <si>
    <t>Столешница шестигранник - необычное дизайнерское решение для интерьера! 
Стол со столешницей из ЛДСП под натуральный камень будет гармонично и со вкусом смотреться в доме,
офисе, дизайн-студии, кафе, баре, ресторане.
Диаметр столешницы 600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шестигранник из ЛДСП смотрится аккуратно и привлекательно. Цвет каждой столешницы имитирует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</si>
  <si>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ТТ61</t>
  </si>
  <si>
    <t>дуб песочный</t>
  </si>
  <si>
    <t>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Готовый журнальный столик или обеденный стол будут гармонично и со вкусом смотреться
в доме, офисе, дизайн-студии, кафе, баре, ресторане.
Диаметр столешницы 700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</si>
  <si>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SHT-ТT20 70 ЛДСП</t>
  </si>
  <si>
    <t>TT64</t>
  </si>
  <si>
    <t>бетон Чикаго темно-серый</t>
  </si>
  <si>
    <t>Столешница шестигранник - необычное дизайнерское решение для интерьера! 
Стол со столешницей из ЛДСП под натуральный камень будет гармонично и со вкусом смотреться в доме,
офисе, дизайн-студии, кафе, баре, ресторане.
Диаметр столешницы 700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шестигранник из ЛДСП смотрится аккуратно и привлекательно. Цвет каждой столешницы имитирует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</si>
  <si>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ТТ64</t>
  </si>
  <si>
    <t>орех тьеполо</t>
  </si>
  <si>
    <t>Столешница шестигранник - необычное дизайнерское решение для интерьера! 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Готовый журнальный столик или обеденный стол будут гармонично и со вкусом смотреться
в доме, офисе, дизайн-студии, кафе, баре, ресторане.
Диаметр столешницы 600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</si>
  <si>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SHT-ТT 60/60 ЛДСП</t>
  </si>
  <si>
    <t>ТТ24</t>
  </si>
  <si>
    <t>дуб сонома</t>
  </si>
  <si>
    <t>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Закругленные края
добавят дополнительную прочность и долговечность. Готовый стол будет гармонично и со вкусом смотреться
в доме, офисе, дизайн-студии, кафе, баре, ресторане.
Длина/ширина столешницы 600/600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</si>
  <si>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SHT-ТT 60 ЛДСП</t>
  </si>
  <si>
    <t>TT22</t>
  </si>
  <si>
    <t>камень пьетра гриджио черный</t>
  </si>
  <si>
    <t>Стол со столешницей из ЛДСП под натуральный камень будет гармонично и со вкусом смотреться в доме,
офисе, дизайн-студии, кафе, баре, ресторане.
Диаметр столешницы 600 мм.
Толщина столешницы 25 мм.
КАЧЕСТВЕННОЕ ИСПОЛНЕНИЕ
Столешница выполнена из ЛДСП и покрыта специальной пленкой, которая формирует защитный слой от внешнего
воздействия. Безопасная кромка надежно защищает столешницу от сколов.
ДИЗАЙН И ЭСТЕТИКА
Столешница из ЛДСП смотрится аккуратно и привлекательно. Цвет каждой столешницы имитирует текстуру
натурального камня.  
УХОД
Легкий и простой уход за изделием.
Не рекомендуется:
- ставить горячее без специальных подставок
- резать на поверхности без использования доски
- использовать на улице под открытым небом, что подвергается прямому воздействию солнечных лучей и
осадков.
СТАНЬТЕ ДИЗАЙНЕРОМ СВОЕГО СТОЛА!
Вы можете выбрать к этой столешнице любое основание для стола Sheffilton в разделе "Собери свой стол".
Под заказ доступны различные виды отделки: глянцевые, цветные, древесные.</t>
  </si>
  <si>
    <t>ТТ22</t>
  </si>
  <si>
    <t>Столешница выполнена из ЛДСП и покрыта специальной пленкой, которая формирует защитный слой от внешнего
воздействия. Цвет каждой столешницы имитирует текстуру ценного сорта древесины. Готовый стол будет
гармонично и со вкусом смотреться в доме, офисе, дизайн-студии, кафе, баре, ресторане.
Диаметр столешницы 600 мм.
Толщина столешницы 25 мм.
На торцевой части используется кромка из ПВХ - 2 мм.
Легкий и простой уход за изделием.
Вы можете выбрать к этой столешнице любое основание для стола Sheffilton в разделе "Собери свой стол.</t>
  </si>
  <si>
    <t>Столешница Sheffilton SHT-ТT 80/80 ЛДСП</t>
  </si>
  <si>
    <t>Кресло Sheffilton SHT-AMS114</t>
  </si>
  <si>
    <t>нефритовый/коричневый</t>
  </si>
  <si>
    <t>КРЕСЛО ДОСТУПНО ПОД ЗАКАЗ ОТ 100 ШТУК!
Мягкое уютное кресло с изящными высокими ножками из массива дерева. Плавные линии очаровывают и манят
присесть, чтобы расслабится. Удобная спинка, фигурно вырезанные подлокотники и нежная бархатистая
ткань обивки непременно усилят ощущение комфорта и подарят приятные минуты отдыха.
ПРОЧНОСТЬ И ДОЛГОВЕЧНОСТЬ
Мягкое сидение выполнено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из массива дерева покрыт защитным слоем лака.
ПРЕКРАСНАЯ ЭРГОНОМИКА
Изогнутая спинка и мягкое сидение обеспечат удобную посадку и комфортное времяпровождение.
СПЕЦИАЛЬНЫЕ ПОДПЯТНИКИ обеспечивают защиту покрытия от царапин и повышают устойчивость кресла.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</si>
  <si>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Кресло Sheffilton SHT-AMS115</t>
  </si>
  <si>
    <t>мятный лед/коричневый</t>
  </si>
  <si>
    <t>КРЕСЛО ДОСТУПНО ПОД ЗАКАЗ ОТ 100 ШТУК!
Мягкое уютное кресло с изящными изогнутыми и высокими ножками из массива дерева. Плавные линии очаровывают
и манят присесть, чтобы расслабится. Удобная спинка, фигурно вырезанные подлокотники и нежная ткань
обивки непременно усилят ощущение комфорта и подарят приятные минуты отдыха.
ПРОЧНОСТЬ И ДОЛГОВЕЧНОСТЬ
Мягкое сидение выполнено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из массива дерева покрыт защитным слоем лака.
ПРЕКРАСНАЯ ЭРГОНОМИКА
Изогнутая спинка и мягкое сидение обеспечат удобную посадку и комфортное времяпровождение.
СПЕЦИАЛЬНЫЕ ПОДПЯТНИКИ обеспечивают защиту покрытия от царапин и повышают устойчивость кресла.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</si>
  <si>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Кресло Sheffilton SHT-AMS116</t>
  </si>
  <si>
    <t>КРЕСЛО ДОСТУПНО ПОД ЗАКАЗ ОТ 100 ШТУК!
Мягкое уютное кресло с изящными высокими ножками из массива дерева. Плавные линии силуэта очаровывают
и манят присесть, чтобы расслабится. Удобная спинка и подлокотники непременно усилят ощущение комфорта
и подарят приятные минуты отдыха.
ПРОЧНОСТЬ И ДОЛГОВЕЧНОСТЬ
Мягкое сидение выполнено из кож.зама. Благодаря натуральному цвету кож.зама – готовый стул способен
преобразить обстановку и добавить естественности! Каркас из массива дерева покрыт защитным слоем лака.
ПРЕКРАСНАЯ ЭРГОНОМИКА
Изогнутая спинка и мягкое сидение обеспечат удобную посадку и комфортное времяпровождение.
СПЕЦИАЛЬНЫЕ ПОДПЯТНИКИ обеспечивают защиту покрытия от царапин и повышают устойчивость кресла.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</si>
  <si>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Кресло Sheffilton SHT-AMS117</t>
  </si>
  <si>
    <t>серый гранит/коричневый</t>
  </si>
  <si>
    <t>КРЕСЛО ДОСТУПНО ПОД ЗАКАЗ ОТ 100 ШТУК!
Мягкое уютное кресло с изящными высокими ножками из массива дерева. Плавные линии очаровывают и манят
присесть, чтобы расслабится. Удобная спинка и приятная ткань обивки непременно усилят ощущение комфорта
и подарят приятные минуты отдыха.
ПРОЧНОСТЬ И ДОЛГОВЕЧНОСТЬ
Мягкое сидение и спинка выполнены из микровелюра. Данный материал гиппоалергенный, экологичный, мягкий
и приятный на ощупь, при этом очень прочный, эластичный, износоустойчивый и долговечен при использовании.
Каркас из массива дерева покрыт защитным слоем лака.
ПРЕКРАСНАЯ ЭРГОНОМИКА
Слегка откинутая спинка и мягкое сидение обеспечат удобную посадку и комфортное времяпровождение.
СПЕЦИАЛЬНЫЕ ПОДПЯТНИКИ обеспечивают защиту покрытия от царапин и повышают устойчивость кресла.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</si>
  <si>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Кресло Sheffilton SHT-AMS118</t>
  </si>
  <si>
    <t>горчичный/антрацит/черный</t>
  </si>
  <si>
    <t>КРЕСЛО ДОСТУПНО ПОД ЗАКАЗ ОТ 100 ШТУК!
Мягкое уютное кресло с изящными высокими ножками из массива дерева. Плавные линии силуэта очаровывают
и манят присесть, чтобы расслабится. Удобная спинка непременно усилит ощущение комфорта и подарит
приятные минуты отдыха.
ПРОЧНОСТЬ И ДОЛГОВЕЧНОСТЬ
Мягкое сидение выполнено из кож.зама. Благодаря натуральному цвету кож.зама – готовый стул способен
преобразить обстановку и добавить естественности! Каркас из массива дерева покрыт защитным слоем лака.
ПРЕКРАСНАЯ ЭРГОНОМИКА
Изогнутая спинка и мягкое сидение обеспечат удобную посадку и комфортное времяпровождение.
СПЕЦИАЛЬНЫЕ ПОДПЯТНИКИ обеспечивают защиту покрытия от царапин и повышают устойчивость кресла.
РЕКОМЕНДАЦИЯ ПО УХОДУ
Чистка пылесосом, для трудновыводимых пятен используйте специальные пятновыводители для тканей, в
соответствии с инструкцией.
ГАРАНТИЯ 2 ГОДА.
*Оттенок ткани может меняться в зависимости от партии.</t>
  </si>
  <si>
    <t>Стул Sheffilton SHT-S124-CN1</t>
  </si>
  <si>
    <t>CK-1</t>
  </si>
  <si>
    <t>ДИЗАЙН В КАЖДОЙ ДЕТАЛИ
Главная концепция модели - воздушность и легкость, что позволяет расширить пространство в помещении.
А благодаря мягкому съемному сидению Вы можете добавить мягкости в интерьер. Выразительные линии и
изящные ножки создают оригинальную форму стула, представляя собой единую конструкцию. Такой дизайн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Максимальная статическая нагрузка на стул - 150 кг.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Высота от пола до сидения - 42 см.
ПЕРЕНОСИТ ВОЗДЕЙСТВИЕ ЛЮБЫХ ПОГОДНЫХ УСЛОВИЙ
Цинкование позволяет использовать стул без подушки на открытом воздухе.
ПОДПЯТНИКИ
каркаса обеспечивают защиту покрытия от царапин и повышают устойчивость стула.</t>
  </si>
  <si>
    <t>Стул Sheffilton SHT-S126</t>
  </si>
  <si>
    <t>СК-3</t>
  </si>
  <si>
    <t>ДИЗАЙН В КАЖДОЙ ДЕТАЛИ
Главная концепция модели - воздушность и легкость, что позволяет расширить пространство в помещении.
Выразительные линии и изящные ножки создают оригинальную форму стула, представляя собой единую конструкцию.
Такой дизайн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Расстояние от пола до сидения - 45,5 см.
Максимальная статическая нагрузка на стул - 150 кг.
ПРЕКРАСНАЯ ЭРГОНОМИКА
Изогнутая спинка и просторное сидение обеспечат удобную посадку и подарят новые ощущения комфорта
во время отдыха.
ПЕРЕНОСИТ ВОЗДЕЙСТВИЕ ЛЮБЫХ ПОГОДНЫХ УСЛОВИЙ
Цинкование позволяет использовать стул без подушки на открытом воздухе.
РЕГУЛИРУЕМЫЕ ПОДПЯТНИКИ
каркаса обеспечивают защиту покрытия от царапин и повышают устойчивость стула, адаптируясь под неровности
пола.</t>
  </si>
  <si>
    <t>Стул Sheffilton SHT-S127-CN1</t>
  </si>
  <si>
    <t>СК-4</t>
  </si>
  <si>
    <t>ДИЗАЙН В КАЖДОЙ ДЕТАЛИ
Главная концепция модели - воздушность и легкость, что позволяет расширить пространство в помещении.
А благодаря мягкому съемному сидению Вы можете добавить мягкости в интерьер. Выразительные линии и
изящные ножки создают оригинальную форму стула, представляя собой единую конструкцию. Такой дизайн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Расстояние от пола до сидения - 46 см.
Максимальная статическая нагрузка на стул - 150 кг.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Размер подушки 40х42 см.
ПЕРЕНОСИТ ВОЗДЕЙСТВИЕ ЛЮБЫХ ПОГОДНЫХ УСЛОВИЙ
Цинкование позволяет использовать стул без подушки на открытом воздухе.
ПОДПЯТНИКИ
каркаса обеспечивают защиту покрытия от царапин и повышают устойчивость стула.</t>
  </si>
  <si>
    <t>ДИЗАЙН В КАЖДОЙ ДЕТАЛИ
Главная концепция модели - воздушность и легкость, что позволяет расширить пространство в помещении.
А благодаря мягкому съемному сидению Вы можете добавить мягкости в интерьер. Выразительные линии и
изящные ножки создают оригинальную форму стула, представляя собой единую конструкцию. Такой дизайн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Размер подушки 40х42 см.
Расстояние от пола до сидения - 46 см.
Максимальная статическая нагрузка на стул - 150 кг.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ПЕРЕНОСИТ ВОЗДЕЙСТВИЕ ЛЮБЫХ ПОГОДНЫХ УСЛОВИЙ
Цинкование позволяет использовать стул без подушки на открытом воздухе.
ПОДПЯТНИКИ
каркаса обеспечивают защиту покрытия от царапин и повышают устойчивость стула.</t>
  </si>
  <si>
    <t>Стул барный Sheffilton SHT-S125-CN1</t>
  </si>
  <si>
    <t>СК-2</t>
  </si>
  <si>
    <t>ДИЗАЙН В КАЖДОЙ ДЕТАЛИ
Главная концепция модели - воздушность и легкость, что позволяет расширить пространство в помещении.
А благодаря мягкому съемному сидению Вы можете добавить мягкости в интерьер. Выразительные линии и
изящные ножки создают оригинальную форму барного стула, представляя собой единую конструкцию. Такой
дизайн позволяет добавить его в любую обеденную группу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ПРОЧНОСТЬ И ДОЛГОВЕЧНОСТЬ
Каркас стула выполнен из прутка 12мм, внешний пруток сидения 6мм, внутренняя сетка 4мм. Надежный металлический
каркас всего стула оцинкован и окрашен порошковой краской, устойчивой к механическому воздействию.
Расстояние от пола до сидения - 65 см.
Максимальная статическая нагрузка на стул - 150 кг.
ПРЕКРАСНАЯ ЭРГОНОМИКА
Изогнутая спинка и просторное сидение обеспечат удобную посадку и подарят новые ощущения комфорта
во время отдыха. Мягкая подушечка из кож. зама легко снимается и одевается на стул благодаря специальным
липучкам.
ПЕРЕНОСИТ ВОЗДЕЙСТВИЕ ЛЮБЫХ ПОГОДНЫХ УСЛОВИЙ
Цинкование позволяет использовать стул без подушки на открытом воздухе.
ПОДПЯТНИКИ
каркаса обеспечивают защиту покрытия от царапин и повышают устойчивость стула.</t>
  </si>
  <si>
    <t>Вешалка Sheffilton SHT-SUR7</t>
  </si>
  <si>
    <t>В-01</t>
  </si>
  <si>
    <t>Замечательное решение для хранения деловой одежды. Костюмная вешалка гармонично смотрится в любом
интерьере.
ПРАКТИЧНОСТЬ
Предусмотрены перекладины для пиджака и брюк. Длина плечиков 440 мм.
ПРОЧНОСТЬ И ДОЛГОВЕЧНОСТЬ
Вешалка выполнена из хромированной трубы, диаметром 28,5 мм и 13 мм. Металлические детали окрашены
порошковой краской, устойчивой к механическому воздействию. Диаметр утойчивого основания – 250 мм.
Максимальная нагрузка на плечики – 3 кг.
Максимальная нагрузка на перекладину – 2 кг.
ПРОСТАЯ СБОРКА
Изделие полностью разборное, что обеспечивает простоту сборки и хранения.</t>
  </si>
  <si>
    <t>Стол Sheffilton SHT-T39/110-155</t>
  </si>
  <si>
    <t>SHT-T201</t>
  </si>
  <si>
    <t>индийское дерево/черный</t>
  </si>
  <si>
    <t>СОВРЕМЕННЫЙ РАЗДВИЖНОЙ СТОЛ - благодаря лаконичному дизайну будет прекрасно смотреться в вашей столовой.
Его быстро и просто разложить, чтобы всем приглашенным хватило места. Современный стиль позволяет
добавить стол в любой дизайн дома,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ЭРГОНОМИЧНАЯ КОНСТРУКЦИЯ
Изделие оснащено автоматическим механизмом слайдером. В процессе раскладки участвует не только столешница,
но и ножки. Для того чтобы разложить стол, нужно:
1. Взяться руками за царгу снизу и потянуть на себя.
2. Она разъедется, и вы увидите дополнительную столешницу.
3. Ее необходимо достать, повернуть, вставить в пазы и задвинуть ножки до упора.
При таком способе раздвижения длина стола меняется с 1100 мм до 1550 мм.
ПРОЧНОСТЬ И ДОЛГОВЕЧНОСТЬ
Прочная столешница из МДФ 22 мм со слоем декоративного пластика HPL 1,2 мм. Надежное металлическое
основание окрашено порошковой краской, устойчивой к механическому воздействию. Каркас выполнен из
трубы 60х30 мм толщиной 1,2 мм.
В сложенном состоянии стол умещает 6 человек, а в разложенном до 8 человек.
Выдерживает продолжительные нагрузки - максимальная статическая нагрузка до 50 кг.
ДИЗАЙН И ЭСТЕТИКА
Необычный дизайн ножек не только добавляет в интерьер ломаных линий, но и позволяет сэкономить пространство
для ног. Рисунок натурального дерева на столешнице отлично дополнит классический интерьер обеденной
зоны.
ПЛОСКАЯ УПАКОВКА
Стол разборный и имеет плоские раздельные упаковки для столешницы и основания.
ЛЕГКИЙ И ПРОСТОЙ УХОД
Раздвижной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ПОД ЗАКАЗ
Доступны любые цветовые сочетания от 50 штук.</t>
  </si>
  <si>
    <t>Стол Sheffilton SHT-T40/130-160</t>
  </si>
  <si>
    <t>SHT-T202</t>
  </si>
  <si>
    <t>белый глянцевый/белый</t>
  </si>
  <si>
    <t>СОВРЕМЕННЫЙ РАЗДВИЖНОЙ СТОЛ - благодаря лаконичному дизайну будет прекрасно смотреться в вашей столовой.
Его быстро и просто разложить, чтобы всем приглашенным хватило места. Современный стиль позволяет
добавить стол в любой дизайн дома,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ЭРГОНОМИЧНАЯ КОНСТРУКЦИЯ
Изделие оснащено автоматическим механизмом подъема вставки. В собранном виде по центру столешницы
имеется стыковочный шов. Для того чтобы разложить стол, нужно только потянуть на себя любую боковую
сторону до упора. Механизм отличается плавным и легким ходом, отсутствием всевозможных заеданий и
других трудностей. Это делает процесс раскладки очень простым и не требующим физических усилий.
При таком способе раздвижения длина стола меняется с 1300 мм до 1600 мм.
ПРОЧНОСТЬ И ДОЛГОВЕЧНОСТЬ
Прочная столешница из МДФ толщиной 22 мм покрыта сверху толстым стеклом 4 мм с безопасной обработанной
кромкой. Надежное металлическое основание окрашено порошковой краской, устойчивой к механическому
воздействию. Каркас выполнен из трубы 60х30 мм толщиной 1,2 мм.
В сложенном состоянии стол умещает 6 человек, а в разложенном до 8 человек.
Выдерживает продолжительные нагрузки - максимальная статическая нагрузка до 50 кг.
ДИЗАЙН И ЭСТЕТИКА
Необычный дизайн ножек не только добавляет в интерьер ломаных линий, но и позволяет сэкономить пространство
для ног. Благодаря стеклу глянцевая и блестящая столешница будет отражать огни помещения, создавая
уютную атмосферу.
ПЛОСКАЯ УПАКОВКА
Стол разборный и имеет плоские раздельные упаковки для столешницы и основания.
ЛЕГКИЙ И ПРОСТОЙ УХОД
Раздвижной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ПОД ЗАКАЗ
Доступны любые цветовые сочетания от 50 штук.</t>
  </si>
  <si>
    <t>дуб аляска/черный</t>
  </si>
  <si>
    <t>СОВРЕМЕННЫЙ РАЗДВИЖНОЙ СТОЛ - благодаря лаконичному дизайну будет прекрасно смотреться в вашей столовой.
Его быстро и просто разложить, чтобы всем приглашенным хватило места. Современный стиль позволяет
добавить стол в любой дизайн дома,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ЭРГОНОМИЧНАЯ КОНСТРУКЦИЯ
Изделие оснащено автоматическим механизмом подъема вставки. В собранном виде по центру столешницы
имеется стыковочный шов. Для того чтобы разложить стол, нужно только потянуть на себя любую боковую
сторону до упора. Механизм отличается плавным и легким ходом, отсутствием всевозможных заеданий и
других трудностей. Это делает процесс раскладки очень простым и не требующим физических усилий.
При таком способе раздвижения длина стола меняется с 1300 мм до 1600 мм.
ПРОЧНОСТЬ И ДОЛГОВЕЧНОСТЬ
Прочная столешница из МДФ 22 мм со слоем декоративного пластика HPL 1,2 мм. Надежное металлическое
основание окрашено порошковой краской, устойчивой к механическому воздействию. Каркас выполнен из
трубы 60х30 мм.
В сложенном состоянии стол умещает 6 человек, а в разложенном до 8 человек.
Выдерживает продолжительные нагрузки - максимальная статическая нагрузка до 50 кг.
ДИЗАЙН И ЭСТЕТИКА
Необычный дизайн ножек не только добавляет в интерьер ломаных линий, но и позволяет сэкономить пространство
для ног. Рисунок натурального дерева на столешнице отлично дополнит классический интерьер обеденной
зоны.
ПЛОСКАЯ УПАКОВКА
Стол разборный и имеет плоские раздельные упаковки для столешницы и основания.
ЛЕГКИЙ И ПРОСТОЙ УХОД
Раздвижной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ПОД ЗАКАЗ
Доступны любые цветовые сочетания от 50 штук.</t>
  </si>
  <si>
    <t>Стол Sheffilton SHT-T41/100-140</t>
  </si>
  <si>
    <t>SHT-T203</t>
  </si>
  <si>
    <t>браун cтоун/черный</t>
  </si>
  <si>
    <t>СОВРЕМЕННЫЙ РАЗДВИЖНОЙ СТОЛ - благодаря лаконичному дизайну будет прекрасно смотреться в вашей столовой.
Его быстро и просто разложить, чтобы всем приглашенным хватило места. Современный стиль позволяет
добавить стол в любой дизайн дома, кафе, бара, ресторана, офиса, общественных учреждений, залов ожидания
и домашних интерьеров. Вы произведете впечатление на любого, кто посетит Ваше заведение или дом.
ЭРГОНОМИЧНАЯ КОНСТРУКЦИЯ
Изделие оснащено простым раздвижным механизмом бесцаргового типа. В собранном виде по центру столешницы
имеется стыковочный шов. Выдвижную часть необходимо хранить отдельно. Для того, чтобы разложить стол,
нужно:
1.Раздвинуть в стороны обе половинки столешницы.
2. Затем достать центральную часть и вставить ее в пазы.
3. После чего сдвинуть назад боковые половинки до характерного щелчка. Это значит, что все части конструкции
зафиксировались в правильном и неподвижном положении.
При таком способе раскладки длина сола меняется с круглой на овальную и увеличивается от 1000 мм до
1400 мм.
ПРОЧНОСТЬ И ДОЛГОВЕЧНОСТЬ
Прочная столешница из МДФ 22 мм со слоем декоративного пластика HPL 1,2 мм. Надежное металлическое
основание окрашено порошковой краской, устойчивой к механическому воздействию. Каркас выполнен из
трубы 50х25 мм толщиной 1,2 мм.
В сложенном состоянии стол умещает 4 человека, а в разложенном до 6 человек.
Выдерживает продолжительные нагрузки - максимальная статическая нагрузка до 50 кг.
ДИЗАЙН И ЭСТЕТИКА
Необычный дизайн ножек не только добавляет в интерьер ломаных линий, но и позволяет сэкономить пространство
для ног. Выпуклый рисунок натурального камня на столешнице отлично дополнит классический интерьер
обеденной зоны.
ПЛОСКАЯ УПАКОВКА
Стол разборный и имеет плоские раздельные упаковки для столешницы и основания.
ЛЕГКИЙ И ПРОСТОЙ УХОД
Раздвижной стол для кухни неприхотлив в уходе. Возникшие загрязнения протрите влажной, а после чистой
сухой тканью, при необходимости можно использовать слабый мыльный раствор. Для хранения и содержания
стола не требуются особые условия.
ПОД ЗАКАЗ
Доступны любые цветовые сочетания от 50 штук.</t>
  </si>
  <si>
    <t>статуарио венато/черный</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</si>
</sst>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0"/>
      <name val="Arial"/>
      <family val="2"/>
      <charset val="204"/>
    </font>
    <font>
      <b/>
      <sz val="10"/>
      <name val="Arial"/>
      <family val="2"/>
      <charset val="204"/>
    </font>
    <font>
      <u/>
      <sz val="10"/>
      <color indexed="12"/>
      <name val="Arial"/>
      <family val="2"/>
      <charset val="204"/>
    </font>
  </fonts>
  <fills count="3">
    <fill>
      <patternFill patternType="none"/>
    </fill>
    <fill>
      <patternFill patternType="gray125"/>
    </fill>
    <fill>
      <patternFill patternType="solid">
        <fgColor indexed="22"/>
        <bgColor indexed="64"/>
      </patternFill>
    </fill>
  </fills>
  <borders count="2">
    <border>
      <left/>
      <right/>
      <top/>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wrapText="1"/>
    </xf>
    <xf numFmtId="4" fontId="0" fillId="0" borderId="1" xfId="0" applyNumberFormat="1" applyBorder="1" applyAlignment="1">
      <alignment vertical="center" wrapText="1"/>
    </xf>
    <xf numFmtId="1" fontId="0" fillId="0" borderId="1" xfId="0" applyNumberFormat="1" applyBorder="1" applyAlignment="1">
      <alignment vertical="center" wrapText="1"/>
    </xf>
    <xf numFmtId="0" fontId="0" fillId="0" borderId="1" xfId="0" applyBorder="1" applyAlignment="1">
      <alignment vertical="center" wrapText="1"/>
    </xf>
    <xf numFmtId="0" fontId="1" fillId="0" borderId="1" xfId="0" applyFont="1" applyBorder="1" applyAlignment="1">
      <alignment horizontal="center" vertical="center" wrapText="1"/>
    </xf>
    <xf numFmtId="0" fontId="1" fillId="0" borderId="0" xfId="0" applyFont="1" applyAlignment="1">
      <alignment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827" Type="http://schemas.openxmlformats.org/officeDocument/2006/relationships/image" Target="../media/image1827.jpeg"/><Relationship Id="rId170" Type="http://schemas.openxmlformats.org/officeDocument/2006/relationships/image" Target="../media/image170.png"/><Relationship Id="rId987" Type="http://schemas.openxmlformats.org/officeDocument/2006/relationships/image" Target="../media/image987.jpeg"/><Relationship Id="rId847" Type="http://schemas.openxmlformats.org/officeDocument/2006/relationships/image" Target="../media/image847.jpeg"/><Relationship Id="rId1477" Type="http://schemas.openxmlformats.org/officeDocument/2006/relationships/image" Target="../media/image1477.jpeg"/><Relationship Id="rId1684" Type="http://schemas.openxmlformats.org/officeDocument/2006/relationships/image" Target="../media/image1684.jpeg"/><Relationship Id="rId1891" Type="http://schemas.openxmlformats.org/officeDocument/2006/relationships/image" Target="../media/image1891.jpeg"/><Relationship Id="rId2528" Type="http://schemas.openxmlformats.org/officeDocument/2006/relationships/image" Target="../media/image2528.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1751" Type="http://schemas.openxmlformats.org/officeDocument/2006/relationships/image" Target="../media/image1751.jpeg"/><Relationship Id="rId43" Type="http://schemas.openxmlformats.org/officeDocument/2006/relationships/image" Target="../media/image43.jpeg"/><Relationship Id="rId1404" Type="http://schemas.openxmlformats.org/officeDocument/2006/relationships/image" Target="../media/image1404.jpeg"/><Relationship Id="rId1611" Type="http://schemas.openxmlformats.org/officeDocument/2006/relationships/image" Target="../media/image1611.jpeg"/><Relationship Id="rId497" Type="http://schemas.openxmlformats.org/officeDocument/2006/relationships/image" Target="../media/image497.jpeg"/><Relationship Id="rId2178" Type="http://schemas.openxmlformats.org/officeDocument/2006/relationships/image" Target="../media/image2178.jpeg"/><Relationship Id="rId2385" Type="http://schemas.openxmlformats.org/officeDocument/2006/relationships/image" Target="../media/image2385.jpeg"/><Relationship Id="rId357" Type="http://schemas.openxmlformats.org/officeDocument/2006/relationships/image" Target="../media/image357.jpeg"/><Relationship Id="rId1194" Type="http://schemas.openxmlformats.org/officeDocument/2006/relationships/image" Target="../media/image1194.jpeg"/><Relationship Id="rId2038" Type="http://schemas.openxmlformats.org/officeDocument/2006/relationships/image" Target="../media/image2038.jpeg"/><Relationship Id="rId2592" Type="http://schemas.openxmlformats.org/officeDocument/2006/relationships/image" Target="../media/image2592.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2245" Type="http://schemas.openxmlformats.org/officeDocument/2006/relationships/image" Target="../media/image2245.png"/><Relationship Id="rId2452" Type="http://schemas.openxmlformats.org/officeDocument/2006/relationships/image" Target="../media/image2452.jpeg"/><Relationship Id="rId424" Type="http://schemas.openxmlformats.org/officeDocument/2006/relationships/image" Target="../media/image424.jpeg"/><Relationship Id="rId631" Type="http://schemas.openxmlformats.org/officeDocument/2006/relationships/image" Target="../media/image631.jpeg"/><Relationship Id="rId1054" Type="http://schemas.openxmlformats.org/officeDocument/2006/relationships/image" Target="../media/image1054.jpeg"/><Relationship Id="rId1261" Type="http://schemas.openxmlformats.org/officeDocument/2006/relationships/image" Target="../media/image1261.jpeg"/><Relationship Id="rId2105" Type="http://schemas.openxmlformats.org/officeDocument/2006/relationships/image" Target="../media/image2105.jpeg"/><Relationship Id="rId2312" Type="http://schemas.openxmlformats.org/officeDocument/2006/relationships/image" Target="../media/image2312.jpeg"/><Relationship Id="rId1121" Type="http://schemas.openxmlformats.org/officeDocument/2006/relationships/image" Target="../media/image1121.jpeg"/><Relationship Id="rId1938" Type="http://schemas.openxmlformats.org/officeDocument/2006/relationships/image" Target="../media/image1938.jpeg"/><Relationship Id="rId281" Type="http://schemas.openxmlformats.org/officeDocument/2006/relationships/image" Target="../media/image281.jpeg"/><Relationship Id="rId141" Type="http://schemas.openxmlformats.org/officeDocument/2006/relationships/image" Target="../media/image141.jpeg"/><Relationship Id="rId7" Type="http://schemas.openxmlformats.org/officeDocument/2006/relationships/image" Target="../media/image7.jpeg"/><Relationship Id="rId958" Type="http://schemas.openxmlformats.org/officeDocument/2006/relationships/image" Target="../media/image958.jpeg"/><Relationship Id="rId1588" Type="http://schemas.openxmlformats.org/officeDocument/2006/relationships/image" Target="../media/image1588.jpeg"/><Relationship Id="rId1795" Type="http://schemas.openxmlformats.org/officeDocument/2006/relationships/image" Target="../media/image1795.png"/><Relationship Id="rId2639" Type="http://schemas.openxmlformats.org/officeDocument/2006/relationships/image" Target="../media/image2639.jpeg"/><Relationship Id="rId87" Type="http://schemas.openxmlformats.org/officeDocument/2006/relationships/image" Target="../media/image87.jpeg"/><Relationship Id="rId818" Type="http://schemas.openxmlformats.org/officeDocument/2006/relationships/image" Target="../media/image818.jpeg"/><Relationship Id="rId1448" Type="http://schemas.openxmlformats.org/officeDocument/2006/relationships/image" Target="../media/image1448.jpeg"/><Relationship Id="rId1655" Type="http://schemas.openxmlformats.org/officeDocument/2006/relationships/image" Target="../media/image1655.jpeg"/><Relationship Id="rId1308" Type="http://schemas.openxmlformats.org/officeDocument/2006/relationships/image" Target="../media/image1308.jpeg"/><Relationship Id="rId1862" Type="http://schemas.openxmlformats.org/officeDocument/2006/relationships/image" Target="../media/image1862.png"/><Relationship Id="rId1515" Type="http://schemas.openxmlformats.org/officeDocument/2006/relationships/image" Target="../media/image1515.jpeg"/><Relationship Id="rId1722" Type="http://schemas.openxmlformats.org/officeDocument/2006/relationships/image" Target="../media/image1722.jpeg"/><Relationship Id="rId14" Type="http://schemas.openxmlformats.org/officeDocument/2006/relationships/image" Target="../media/image14.jpeg"/><Relationship Id="rId2289" Type="http://schemas.openxmlformats.org/officeDocument/2006/relationships/image" Target="../media/image2289.jpeg"/><Relationship Id="rId2496" Type="http://schemas.openxmlformats.org/officeDocument/2006/relationships/image" Target="../media/image2496.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149" Type="http://schemas.openxmlformats.org/officeDocument/2006/relationships/image" Target="../media/image2149.png"/><Relationship Id="rId2356" Type="http://schemas.openxmlformats.org/officeDocument/2006/relationships/image" Target="../media/image2356.jpeg"/><Relationship Id="rId2563" Type="http://schemas.openxmlformats.org/officeDocument/2006/relationships/image" Target="../media/image2563.jpeg"/><Relationship Id="rId328" Type="http://schemas.openxmlformats.org/officeDocument/2006/relationships/image" Target="../media/image328.jpeg"/><Relationship Id="rId535" Type="http://schemas.openxmlformats.org/officeDocument/2006/relationships/image" Target="../media/image535.pn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eg"/><Relationship Id="rId2009" Type="http://schemas.openxmlformats.org/officeDocument/2006/relationships/image" Target="../media/image2009.jpeg"/><Relationship Id="rId2216" Type="http://schemas.openxmlformats.org/officeDocument/2006/relationships/image" Target="../media/image2216.jpeg"/><Relationship Id="rId2423" Type="http://schemas.openxmlformats.org/officeDocument/2006/relationships/image" Target="../media/image2423.jpeg"/><Relationship Id="rId2630" Type="http://schemas.openxmlformats.org/officeDocument/2006/relationships/image" Target="../media/image2630.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185" Type="http://schemas.openxmlformats.org/officeDocument/2006/relationships/image" Target="../media/image185.jpeg"/><Relationship Id="rId1909" Type="http://schemas.openxmlformats.org/officeDocument/2006/relationships/image" Target="../media/image1909.jpeg"/><Relationship Id="rId392" Type="http://schemas.openxmlformats.org/officeDocument/2006/relationships/image" Target="../media/image392.jpeg"/><Relationship Id="rId2073" Type="http://schemas.openxmlformats.org/officeDocument/2006/relationships/image" Target="../media/image2073.jpeg"/><Relationship Id="rId2280" Type="http://schemas.openxmlformats.org/officeDocument/2006/relationships/image" Target="../media/image2280.jpeg"/><Relationship Id="rId252" Type="http://schemas.openxmlformats.org/officeDocument/2006/relationships/image" Target="../media/image252.jpeg"/><Relationship Id="rId2140" Type="http://schemas.openxmlformats.org/officeDocument/2006/relationships/image" Target="../media/image2140.jpeg"/><Relationship Id="rId112" Type="http://schemas.openxmlformats.org/officeDocument/2006/relationships/image" Target="../media/image112.jpeg"/><Relationship Id="rId1699" Type="http://schemas.openxmlformats.org/officeDocument/2006/relationships/image" Target="../media/image1699.jpeg"/><Relationship Id="rId2000" Type="http://schemas.openxmlformats.org/officeDocument/2006/relationships/image" Target="../media/image2000.jpeg"/><Relationship Id="rId929" Type="http://schemas.openxmlformats.org/officeDocument/2006/relationships/image" Target="../media/image929.jpeg"/><Relationship Id="rId1559" Type="http://schemas.openxmlformats.org/officeDocument/2006/relationships/image" Target="../media/image1559.jpeg"/><Relationship Id="rId1766" Type="http://schemas.openxmlformats.org/officeDocument/2006/relationships/image" Target="../media/image1766.jpeg"/><Relationship Id="rId1973" Type="http://schemas.openxmlformats.org/officeDocument/2006/relationships/image" Target="../media/image1973.jpeg"/><Relationship Id="rId58" Type="http://schemas.openxmlformats.org/officeDocument/2006/relationships/image" Target="../media/image58.jpeg"/><Relationship Id="rId1419" Type="http://schemas.openxmlformats.org/officeDocument/2006/relationships/image" Target="../media/image1419.jpeg"/><Relationship Id="rId1626" Type="http://schemas.openxmlformats.org/officeDocument/2006/relationships/image" Target="../media/image1626.jpeg"/><Relationship Id="rId1833" Type="http://schemas.openxmlformats.org/officeDocument/2006/relationships/image" Target="../media/image1833.jpeg"/><Relationship Id="rId1900" Type="http://schemas.openxmlformats.org/officeDocument/2006/relationships/image" Target="../media/image1900.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2467" Type="http://schemas.openxmlformats.org/officeDocument/2006/relationships/image" Target="../media/image2467.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1483" Type="http://schemas.openxmlformats.org/officeDocument/2006/relationships/image" Target="../media/image1483.png"/><Relationship Id="rId2327" Type="http://schemas.openxmlformats.org/officeDocument/2006/relationships/image" Target="../media/image2327.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1690" Type="http://schemas.openxmlformats.org/officeDocument/2006/relationships/image" Target="../media/image1690.jpeg"/><Relationship Id="rId2534" Type="http://schemas.openxmlformats.org/officeDocument/2006/relationships/image" Target="../media/image2534.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2601" Type="http://schemas.openxmlformats.org/officeDocument/2006/relationships/image" Target="../media/image2601.jpeg"/><Relationship Id="rId1203" Type="http://schemas.openxmlformats.org/officeDocument/2006/relationships/image" Target="../media/image1203.jpeg"/><Relationship Id="rId1410" Type="http://schemas.openxmlformats.org/officeDocument/2006/relationships/image" Target="../media/image1410.jpeg"/><Relationship Id="rId296" Type="http://schemas.openxmlformats.org/officeDocument/2006/relationships/image" Target="../media/image296.jpeg"/><Relationship Id="rId2184" Type="http://schemas.openxmlformats.org/officeDocument/2006/relationships/image" Target="../media/image2184.jpeg"/><Relationship Id="rId2391" Type="http://schemas.openxmlformats.org/officeDocument/2006/relationships/image" Target="../media/image2391.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044" Type="http://schemas.openxmlformats.org/officeDocument/2006/relationships/image" Target="../media/image2044.jpeg"/><Relationship Id="rId2251" Type="http://schemas.openxmlformats.org/officeDocument/2006/relationships/image" Target="../media/image2251.jpeg"/><Relationship Id="rId223" Type="http://schemas.openxmlformats.org/officeDocument/2006/relationships/image" Target="../media/image223.jpeg"/><Relationship Id="rId430" Type="http://schemas.openxmlformats.org/officeDocument/2006/relationships/image" Target="../media/image430.jpeg"/><Relationship Id="rId1060" Type="http://schemas.openxmlformats.org/officeDocument/2006/relationships/image" Target="../media/image1060.jpeg"/><Relationship Id="rId2111" Type="http://schemas.openxmlformats.org/officeDocument/2006/relationships/image" Target="../media/image2111.jpeg"/><Relationship Id="rId1877" Type="http://schemas.openxmlformats.org/officeDocument/2006/relationships/image" Target="../media/image1877.jpeg"/><Relationship Id="rId1737" Type="http://schemas.openxmlformats.org/officeDocument/2006/relationships/image" Target="../media/image1737.jpeg"/><Relationship Id="rId1944" Type="http://schemas.openxmlformats.org/officeDocument/2006/relationships/image" Target="../media/image1944.jpeg"/><Relationship Id="rId29" Type="http://schemas.openxmlformats.org/officeDocument/2006/relationships/image" Target="../media/image29.png"/><Relationship Id="rId1804" Type="http://schemas.openxmlformats.org/officeDocument/2006/relationships/image" Target="../media/image1804.jpeg"/><Relationship Id="rId897" Type="http://schemas.openxmlformats.org/officeDocument/2006/relationships/image" Target="../media/image897.jpeg"/><Relationship Id="rId2578" Type="http://schemas.openxmlformats.org/officeDocument/2006/relationships/image" Target="../media/image2578.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1594" Type="http://schemas.openxmlformats.org/officeDocument/2006/relationships/image" Target="../media/image1594.jpeg"/><Relationship Id="rId2438" Type="http://schemas.openxmlformats.org/officeDocument/2006/relationships/image" Target="../media/image2438.jpeg"/><Relationship Id="rId2645" Type="http://schemas.openxmlformats.org/officeDocument/2006/relationships/image" Target="../media/image2645.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eg"/><Relationship Id="rId1661" Type="http://schemas.openxmlformats.org/officeDocument/2006/relationships/image" Target="../media/image1661.jpeg"/><Relationship Id="rId2505" Type="http://schemas.openxmlformats.org/officeDocument/2006/relationships/image" Target="../media/image2505.jpeg"/><Relationship Id="rId1107" Type="http://schemas.openxmlformats.org/officeDocument/2006/relationships/image" Target="../media/image1107.jpeg"/><Relationship Id="rId1314" Type="http://schemas.openxmlformats.org/officeDocument/2006/relationships/image" Target="../media/image1314.jpeg"/><Relationship Id="rId1521" Type="http://schemas.openxmlformats.org/officeDocument/2006/relationships/image" Target="../media/image1521.jpeg"/><Relationship Id="rId20" Type="http://schemas.openxmlformats.org/officeDocument/2006/relationships/image" Target="../media/image20.jpeg"/><Relationship Id="rId2088" Type="http://schemas.openxmlformats.org/officeDocument/2006/relationships/image" Target="../media/image2088.jpeg"/><Relationship Id="rId2295" Type="http://schemas.openxmlformats.org/officeDocument/2006/relationships/image" Target="../media/image2295.jpeg"/><Relationship Id="rId267" Type="http://schemas.openxmlformats.org/officeDocument/2006/relationships/image" Target="../media/image267.jpeg"/><Relationship Id="rId474" Type="http://schemas.openxmlformats.org/officeDocument/2006/relationships/image" Target="../media/image474.jpeg"/><Relationship Id="rId2155" Type="http://schemas.openxmlformats.org/officeDocument/2006/relationships/image" Target="../media/image2155.jpeg"/><Relationship Id="rId127" Type="http://schemas.openxmlformats.org/officeDocument/2006/relationships/image" Target="../media/image127.jpeg"/><Relationship Id="rId681" Type="http://schemas.openxmlformats.org/officeDocument/2006/relationships/image" Target="../media/image681.jpeg"/><Relationship Id="rId2362" Type="http://schemas.openxmlformats.org/officeDocument/2006/relationships/image" Target="../media/image2362.jpeg"/><Relationship Id="rId334" Type="http://schemas.openxmlformats.org/officeDocument/2006/relationships/image" Target="../media/image334.png"/><Relationship Id="rId541" Type="http://schemas.openxmlformats.org/officeDocument/2006/relationships/image" Target="../media/image541.jpeg"/><Relationship Id="rId1171" Type="http://schemas.openxmlformats.org/officeDocument/2006/relationships/image" Target="../media/image1171.jpeg"/><Relationship Id="rId2015" Type="http://schemas.openxmlformats.org/officeDocument/2006/relationships/image" Target="../media/image2015.jpeg"/><Relationship Id="rId2222" Type="http://schemas.openxmlformats.org/officeDocument/2006/relationships/image" Target="../media/image2222.jpeg"/><Relationship Id="rId401" Type="http://schemas.openxmlformats.org/officeDocument/2006/relationships/image" Target="../media/image401.jpeg"/><Relationship Id="rId1031" Type="http://schemas.openxmlformats.org/officeDocument/2006/relationships/image" Target="../media/image1031.jpeg"/><Relationship Id="rId1988" Type="http://schemas.openxmlformats.org/officeDocument/2006/relationships/image" Target="../media/image1988.jpeg"/><Relationship Id="rId1848" Type="http://schemas.openxmlformats.org/officeDocument/2006/relationships/image" Target="../media/image1848.png"/><Relationship Id="rId191" Type="http://schemas.openxmlformats.org/officeDocument/2006/relationships/image" Target="../media/image191.jpeg"/><Relationship Id="rId1708" Type="http://schemas.openxmlformats.org/officeDocument/2006/relationships/image" Target="../media/image1708.jpeg"/><Relationship Id="rId1915" Type="http://schemas.openxmlformats.org/officeDocument/2006/relationships/image" Target="../media/image1915.jpeg"/><Relationship Id="rId868" Type="http://schemas.openxmlformats.org/officeDocument/2006/relationships/image" Target="../media/image868.jpeg"/><Relationship Id="rId1498" Type="http://schemas.openxmlformats.org/officeDocument/2006/relationships/image" Target="../media/image1498.jpeg"/><Relationship Id="rId2549" Type="http://schemas.openxmlformats.org/officeDocument/2006/relationships/image" Target="../media/image2549.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1772" Type="http://schemas.openxmlformats.org/officeDocument/2006/relationships/image" Target="../media/image1772.jpeg"/><Relationship Id="rId2409" Type="http://schemas.openxmlformats.org/officeDocument/2006/relationships/image" Target="../media/image2409.jpeg"/><Relationship Id="rId2616" Type="http://schemas.openxmlformats.org/officeDocument/2006/relationships/image" Target="../media/image2616.jpeg"/><Relationship Id="rId64" Type="http://schemas.openxmlformats.org/officeDocument/2006/relationships/image" Target="../media/image64.jpeg"/><Relationship Id="rId1218" Type="http://schemas.openxmlformats.org/officeDocument/2006/relationships/image" Target="../media/image1218.jpeg"/><Relationship Id="rId1425" Type="http://schemas.openxmlformats.org/officeDocument/2006/relationships/image" Target="../media/image1425.jpeg"/><Relationship Id="rId1632" Type="http://schemas.openxmlformats.org/officeDocument/2006/relationships/image" Target="../media/image1632.jpeg"/><Relationship Id="rId2199" Type="http://schemas.openxmlformats.org/officeDocument/2006/relationships/image" Target="../media/image2199.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2059" Type="http://schemas.openxmlformats.org/officeDocument/2006/relationships/image" Target="../media/image2059.jpeg"/><Relationship Id="rId2266" Type="http://schemas.openxmlformats.org/officeDocument/2006/relationships/image" Target="../media/image2266.jpeg"/><Relationship Id="rId2473" Type="http://schemas.openxmlformats.org/officeDocument/2006/relationships/image" Target="../media/image2473.jpeg"/><Relationship Id="rId238" Type="http://schemas.openxmlformats.org/officeDocument/2006/relationships/image" Target="../media/image238.pn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2126" Type="http://schemas.openxmlformats.org/officeDocument/2006/relationships/image" Target="../media/image2126.jpeg"/><Relationship Id="rId2333" Type="http://schemas.openxmlformats.org/officeDocument/2006/relationships/image" Target="../media/image2333.jpeg"/><Relationship Id="rId2540" Type="http://schemas.openxmlformats.org/officeDocument/2006/relationships/image" Target="../media/image2540.jpeg"/><Relationship Id="rId305" Type="http://schemas.openxmlformats.org/officeDocument/2006/relationships/image" Target="../media/image305.jpeg"/><Relationship Id="rId512" Type="http://schemas.openxmlformats.org/officeDocument/2006/relationships/image" Target="../media/image512.jpeg"/><Relationship Id="rId1142" Type="http://schemas.openxmlformats.org/officeDocument/2006/relationships/image" Target="../media/image1142.jpeg"/><Relationship Id="rId2400" Type="http://schemas.openxmlformats.org/officeDocument/2006/relationships/image" Target="../media/image2400.jpeg"/><Relationship Id="rId1002" Type="http://schemas.openxmlformats.org/officeDocument/2006/relationships/image" Target="../media/image1002.jpeg"/><Relationship Id="rId1959" Type="http://schemas.openxmlformats.org/officeDocument/2006/relationships/image" Target="../media/image1959.jpeg"/><Relationship Id="rId1819" Type="http://schemas.openxmlformats.org/officeDocument/2006/relationships/image" Target="../media/image1819.jpeg"/><Relationship Id="rId2190" Type="http://schemas.openxmlformats.org/officeDocument/2006/relationships/image" Target="../media/image2190.jpeg"/><Relationship Id="rId162" Type="http://schemas.openxmlformats.org/officeDocument/2006/relationships/image" Target="../media/image162.jpeg"/><Relationship Id="rId2050" Type="http://schemas.openxmlformats.org/officeDocument/2006/relationships/image" Target="../media/image2050.jpeg"/><Relationship Id="rId979" Type="http://schemas.openxmlformats.org/officeDocument/2006/relationships/image" Target="../media/image979.jpeg"/><Relationship Id="rId839" Type="http://schemas.openxmlformats.org/officeDocument/2006/relationships/image" Target="../media/image839.jpeg"/><Relationship Id="rId1469" Type="http://schemas.openxmlformats.org/officeDocument/2006/relationships/image" Target="../media/image1469.jpeg"/><Relationship Id="rId1676" Type="http://schemas.openxmlformats.org/officeDocument/2006/relationships/image" Target="../media/image1676.jpeg"/><Relationship Id="rId1883" Type="http://schemas.openxmlformats.org/officeDocument/2006/relationships/image" Target="../media/image1883.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1743" Type="http://schemas.openxmlformats.org/officeDocument/2006/relationships/image" Target="../media/image1743.jpeg"/><Relationship Id="rId1950" Type="http://schemas.openxmlformats.org/officeDocument/2006/relationships/image" Target="../media/image1950.jpeg"/><Relationship Id="rId35" Type="http://schemas.openxmlformats.org/officeDocument/2006/relationships/image" Target="../media/image35.png"/><Relationship Id="rId1603" Type="http://schemas.openxmlformats.org/officeDocument/2006/relationships/image" Target="../media/image1603.jpeg"/><Relationship Id="rId1810" Type="http://schemas.openxmlformats.org/officeDocument/2006/relationships/image" Target="../media/image1810.jpeg"/><Relationship Id="rId489" Type="http://schemas.openxmlformats.org/officeDocument/2006/relationships/image" Target="../media/image489.jpeg"/><Relationship Id="rId696" Type="http://schemas.openxmlformats.org/officeDocument/2006/relationships/image" Target="../media/image696.png"/><Relationship Id="rId2377" Type="http://schemas.openxmlformats.org/officeDocument/2006/relationships/image" Target="../media/image2377.jpeg"/><Relationship Id="rId2584" Type="http://schemas.openxmlformats.org/officeDocument/2006/relationships/image" Target="../media/image2584.pn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2237" Type="http://schemas.openxmlformats.org/officeDocument/2006/relationships/image" Target="../media/image2237.jpeg"/><Relationship Id="rId2444" Type="http://schemas.openxmlformats.org/officeDocument/2006/relationships/image" Target="../media/image2444.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2651" Type="http://schemas.openxmlformats.org/officeDocument/2006/relationships/image" Target="../media/image2651.png"/><Relationship Id="rId623" Type="http://schemas.openxmlformats.org/officeDocument/2006/relationships/image" Target="../media/image623.jpeg"/><Relationship Id="rId830" Type="http://schemas.openxmlformats.org/officeDocument/2006/relationships/image" Target="../media/image830.jpeg"/><Relationship Id="rId1460" Type="http://schemas.openxmlformats.org/officeDocument/2006/relationships/image" Target="../media/image1460.jpeg"/><Relationship Id="rId2304" Type="http://schemas.openxmlformats.org/officeDocument/2006/relationships/image" Target="../media/image2304.jpeg"/><Relationship Id="rId2511" Type="http://schemas.openxmlformats.org/officeDocument/2006/relationships/image" Target="../media/image2511.jpeg"/><Relationship Id="rId1113" Type="http://schemas.openxmlformats.org/officeDocument/2006/relationships/image" Target="../media/image1113.jpeg"/><Relationship Id="rId1320" Type="http://schemas.openxmlformats.org/officeDocument/2006/relationships/image" Target="../media/image1320.jpeg"/><Relationship Id="rId2094" Type="http://schemas.openxmlformats.org/officeDocument/2006/relationships/image" Target="../media/image2094.jpeg"/><Relationship Id="rId273" Type="http://schemas.openxmlformats.org/officeDocument/2006/relationships/image" Target="../media/image273.jpeg"/><Relationship Id="rId480" Type="http://schemas.openxmlformats.org/officeDocument/2006/relationships/image" Target="../media/image480.jpeg"/><Relationship Id="rId2161" Type="http://schemas.openxmlformats.org/officeDocument/2006/relationships/image" Target="../media/image2161.jpeg"/><Relationship Id="rId133" Type="http://schemas.openxmlformats.org/officeDocument/2006/relationships/image" Target="../media/image133.jpeg"/><Relationship Id="rId340" Type="http://schemas.openxmlformats.org/officeDocument/2006/relationships/image" Target="../media/image340.jpeg"/><Relationship Id="rId2021" Type="http://schemas.openxmlformats.org/officeDocument/2006/relationships/image" Target="../media/image2021.jpeg"/><Relationship Id="rId200" Type="http://schemas.openxmlformats.org/officeDocument/2006/relationships/image" Target="../media/image200.jpeg"/><Relationship Id="rId1787" Type="http://schemas.openxmlformats.org/officeDocument/2006/relationships/image" Target="../media/image1787.png"/><Relationship Id="rId1994" Type="http://schemas.openxmlformats.org/officeDocument/2006/relationships/image" Target="../media/image1994.png"/><Relationship Id="rId79" Type="http://schemas.openxmlformats.org/officeDocument/2006/relationships/image" Target="../media/image79.jpeg"/><Relationship Id="rId1647" Type="http://schemas.openxmlformats.org/officeDocument/2006/relationships/image" Target="../media/image1647.png"/><Relationship Id="rId1854" Type="http://schemas.openxmlformats.org/officeDocument/2006/relationships/image" Target="../media/image1854.jpeg"/><Relationship Id="rId1507" Type="http://schemas.openxmlformats.org/officeDocument/2006/relationships/image" Target="../media/image1507.jpeg"/><Relationship Id="rId1714" Type="http://schemas.openxmlformats.org/officeDocument/2006/relationships/image" Target="../media/image1714.jpeg"/><Relationship Id="rId1921" Type="http://schemas.openxmlformats.org/officeDocument/2006/relationships/image" Target="../media/image1921.jpeg"/><Relationship Id="rId2488" Type="http://schemas.openxmlformats.org/officeDocument/2006/relationships/image" Target="../media/image2488.jpeg"/><Relationship Id="rId1297" Type="http://schemas.openxmlformats.org/officeDocument/2006/relationships/image" Target="../media/image1297.jpeg"/><Relationship Id="rId667" Type="http://schemas.openxmlformats.org/officeDocument/2006/relationships/image" Target="../media/image667.jpeg"/><Relationship Id="rId874" Type="http://schemas.openxmlformats.org/officeDocument/2006/relationships/image" Target="../media/image874.jpeg"/><Relationship Id="rId2348" Type="http://schemas.openxmlformats.org/officeDocument/2006/relationships/image" Target="../media/image2348.jpeg"/><Relationship Id="rId2555" Type="http://schemas.openxmlformats.org/officeDocument/2006/relationships/image" Target="../media/image2555.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1571" Type="http://schemas.openxmlformats.org/officeDocument/2006/relationships/image" Target="../media/image1571.jpeg"/><Relationship Id="rId2208" Type="http://schemas.openxmlformats.org/officeDocument/2006/relationships/image" Target="../media/image2208.jpeg"/><Relationship Id="rId2415" Type="http://schemas.openxmlformats.org/officeDocument/2006/relationships/image" Target="../media/image2415.jpeg"/><Relationship Id="rId2622" Type="http://schemas.openxmlformats.org/officeDocument/2006/relationships/image" Target="../media/image2622.jpeg"/><Relationship Id="rId70" Type="http://schemas.openxmlformats.org/officeDocument/2006/relationships/image" Target="../media/image7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2065" Type="http://schemas.openxmlformats.org/officeDocument/2006/relationships/image" Target="../media/image2065.jpeg"/><Relationship Id="rId2272" Type="http://schemas.openxmlformats.org/officeDocument/2006/relationships/image" Target="../media/image2272.jpeg"/><Relationship Id="rId244" Type="http://schemas.openxmlformats.org/officeDocument/2006/relationships/image" Target="../media/image244.jpeg"/><Relationship Id="rId1081" Type="http://schemas.openxmlformats.org/officeDocument/2006/relationships/image" Target="../media/image1081.jpeg"/><Relationship Id="rId451" Type="http://schemas.openxmlformats.org/officeDocument/2006/relationships/image" Target="../media/image451.jpeg"/><Relationship Id="rId2132" Type="http://schemas.openxmlformats.org/officeDocument/2006/relationships/image" Target="../media/image2132.jpeg"/><Relationship Id="rId104" Type="http://schemas.openxmlformats.org/officeDocument/2006/relationships/image" Target="../media/image104.jpeg"/><Relationship Id="rId311" Type="http://schemas.openxmlformats.org/officeDocument/2006/relationships/image" Target="../media/image311.jpeg"/><Relationship Id="rId1898" Type="http://schemas.openxmlformats.org/officeDocument/2006/relationships/image" Target="../media/image1898.jpeg"/><Relationship Id="rId1758" Type="http://schemas.openxmlformats.org/officeDocument/2006/relationships/image" Target="../media/image1758.jpeg"/><Relationship Id="rId1965" Type="http://schemas.openxmlformats.org/officeDocument/2006/relationships/image" Target="../media/image1965.jpeg"/><Relationship Id="rId1618" Type="http://schemas.openxmlformats.org/officeDocument/2006/relationships/image" Target="../media/image1618.jpeg"/><Relationship Id="rId1825" Type="http://schemas.openxmlformats.org/officeDocument/2006/relationships/image" Target="../media/image1825.jpeg"/><Relationship Id="rId2599" Type="http://schemas.openxmlformats.org/officeDocument/2006/relationships/image" Target="../media/image2599.jpeg"/><Relationship Id="rId778" Type="http://schemas.openxmlformats.org/officeDocument/2006/relationships/image" Target="../media/image778.jpeg"/><Relationship Id="rId985" Type="http://schemas.openxmlformats.org/officeDocument/2006/relationships/image" Target="../media/image985.jpeg"/><Relationship Id="rId2459" Type="http://schemas.openxmlformats.org/officeDocument/2006/relationships/image" Target="../media/image2459.jpeg"/><Relationship Id="rId2666" Type="http://schemas.openxmlformats.org/officeDocument/2006/relationships/image" Target="../media/image2666.jpeg"/><Relationship Id="rId638" Type="http://schemas.openxmlformats.org/officeDocument/2006/relationships/image" Target="../media/image638.jpeg"/><Relationship Id="rId845" Type="http://schemas.openxmlformats.org/officeDocument/2006/relationships/image" Target="../media/image845.jpeg"/><Relationship Id="rId1268" Type="http://schemas.openxmlformats.org/officeDocument/2006/relationships/image" Target="../media/image1268.jpeg"/><Relationship Id="rId1475" Type="http://schemas.openxmlformats.org/officeDocument/2006/relationships/image" Target="../media/image1475.jpeg"/><Relationship Id="rId1682" Type="http://schemas.openxmlformats.org/officeDocument/2006/relationships/image" Target="../media/image1682.jpeg"/><Relationship Id="rId2319" Type="http://schemas.openxmlformats.org/officeDocument/2006/relationships/image" Target="../media/image2319.jpeg"/><Relationship Id="rId2526" Type="http://schemas.openxmlformats.org/officeDocument/2006/relationships/image" Target="../media/image2526.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eg"/><Relationship Id="rId1542" Type="http://schemas.openxmlformats.org/officeDocument/2006/relationships/image" Target="../media/image1542.jpeg"/><Relationship Id="rId912" Type="http://schemas.openxmlformats.org/officeDocument/2006/relationships/image" Target="../media/image912.jpeg"/><Relationship Id="rId41" Type="http://schemas.openxmlformats.org/officeDocument/2006/relationships/image" Target="../media/image41.png"/><Relationship Id="rId1402" Type="http://schemas.openxmlformats.org/officeDocument/2006/relationships/image" Target="../media/image1402.jpeg"/><Relationship Id="rId288" Type="http://schemas.openxmlformats.org/officeDocument/2006/relationships/image" Target="../media/image288.jpeg"/><Relationship Id="rId495" Type="http://schemas.openxmlformats.org/officeDocument/2006/relationships/image" Target="../media/image495.jpeg"/><Relationship Id="rId2176" Type="http://schemas.openxmlformats.org/officeDocument/2006/relationships/image" Target="../media/image2176.jpeg"/><Relationship Id="rId2383" Type="http://schemas.openxmlformats.org/officeDocument/2006/relationships/image" Target="../media/image2383.jpeg"/><Relationship Id="rId2590" Type="http://schemas.openxmlformats.org/officeDocument/2006/relationships/image" Target="../media/image2590.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2036" Type="http://schemas.openxmlformats.org/officeDocument/2006/relationships/image" Target="../media/image2036.jpeg"/><Relationship Id="rId2243" Type="http://schemas.openxmlformats.org/officeDocument/2006/relationships/image" Target="../media/image2243.jpeg"/><Relationship Id="rId2450" Type="http://schemas.openxmlformats.org/officeDocument/2006/relationships/image" Target="../media/image2450.jpeg"/><Relationship Id="rId215" Type="http://schemas.openxmlformats.org/officeDocument/2006/relationships/image" Target="../media/image215.jpeg"/><Relationship Id="rId422" Type="http://schemas.openxmlformats.org/officeDocument/2006/relationships/image" Target="../media/image422.jpeg"/><Relationship Id="rId1052" Type="http://schemas.openxmlformats.org/officeDocument/2006/relationships/image" Target="../media/image1052.jpeg"/><Relationship Id="rId2103" Type="http://schemas.openxmlformats.org/officeDocument/2006/relationships/image" Target="../media/image2103.jpeg"/><Relationship Id="rId2310" Type="http://schemas.openxmlformats.org/officeDocument/2006/relationships/image" Target="../media/image2310.jpeg"/><Relationship Id="rId1869" Type="http://schemas.openxmlformats.org/officeDocument/2006/relationships/image" Target="../media/image1869.jpeg"/><Relationship Id="rId1729" Type="http://schemas.openxmlformats.org/officeDocument/2006/relationships/image" Target="../media/image1729.jpeg"/><Relationship Id="rId1936" Type="http://schemas.openxmlformats.org/officeDocument/2006/relationships/image" Target="../media/image1936.jpeg"/><Relationship Id="rId5" Type="http://schemas.openxmlformats.org/officeDocument/2006/relationships/image" Target="../media/image5.jpeg"/><Relationship Id="rId889" Type="http://schemas.openxmlformats.org/officeDocument/2006/relationships/image" Target="../media/image889.jpeg"/><Relationship Id="rId749" Type="http://schemas.openxmlformats.org/officeDocument/2006/relationships/image" Target="../media/image749.jpeg"/><Relationship Id="rId1379" Type="http://schemas.openxmlformats.org/officeDocument/2006/relationships/image" Target="../media/image1379.jpeg"/><Relationship Id="rId1586" Type="http://schemas.openxmlformats.org/officeDocument/2006/relationships/image" Target="../media/image1586.jpeg"/><Relationship Id="rId609" Type="http://schemas.openxmlformats.org/officeDocument/2006/relationships/image" Target="../media/image609.jpeg"/><Relationship Id="rId956" Type="http://schemas.openxmlformats.org/officeDocument/2006/relationships/image" Target="../media/image956.jpeg"/><Relationship Id="rId1239" Type="http://schemas.openxmlformats.org/officeDocument/2006/relationships/image" Target="../media/image1239.png"/><Relationship Id="rId1793" Type="http://schemas.openxmlformats.org/officeDocument/2006/relationships/image" Target="../media/image1793.jpeg"/><Relationship Id="rId2637" Type="http://schemas.openxmlformats.org/officeDocument/2006/relationships/image" Target="../media/image2637.jpeg"/><Relationship Id="rId85" Type="http://schemas.openxmlformats.org/officeDocument/2006/relationships/image" Target="../media/image85.jpeg"/><Relationship Id="rId816" Type="http://schemas.openxmlformats.org/officeDocument/2006/relationships/image" Target="../media/image816.jpeg"/><Relationship Id="rId1446" Type="http://schemas.openxmlformats.org/officeDocument/2006/relationships/image" Target="../media/image1446.jpeg"/><Relationship Id="rId1653" Type="http://schemas.openxmlformats.org/officeDocument/2006/relationships/image" Target="../media/image1653.jpeg"/><Relationship Id="rId1860" Type="http://schemas.openxmlformats.org/officeDocument/2006/relationships/image" Target="../media/image1860.jpeg"/><Relationship Id="rId1306" Type="http://schemas.openxmlformats.org/officeDocument/2006/relationships/image" Target="../media/image1306.jpeg"/><Relationship Id="rId1513" Type="http://schemas.openxmlformats.org/officeDocument/2006/relationships/image" Target="../media/image1513.jpeg"/><Relationship Id="rId1720" Type="http://schemas.openxmlformats.org/officeDocument/2006/relationships/image" Target="../media/image1720.jpeg"/><Relationship Id="rId12" Type="http://schemas.openxmlformats.org/officeDocument/2006/relationships/image" Target="../media/image12.jpeg"/><Relationship Id="rId399" Type="http://schemas.openxmlformats.org/officeDocument/2006/relationships/image" Target="../media/image399.jpeg"/><Relationship Id="rId2287" Type="http://schemas.openxmlformats.org/officeDocument/2006/relationships/image" Target="../media/image2287.jpeg"/><Relationship Id="rId2494" Type="http://schemas.openxmlformats.org/officeDocument/2006/relationships/image" Target="../media/image2494.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147" Type="http://schemas.openxmlformats.org/officeDocument/2006/relationships/image" Target="../media/image2147.png"/><Relationship Id="rId2354" Type="http://schemas.openxmlformats.org/officeDocument/2006/relationships/image" Target="../media/image2354.jpeg"/><Relationship Id="rId2561" Type="http://schemas.openxmlformats.org/officeDocument/2006/relationships/image" Target="../media/image2561.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1163" Type="http://schemas.openxmlformats.org/officeDocument/2006/relationships/image" Target="../media/image1163.jpeg"/><Relationship Id="rId1370" Type="http://schemas.openxmlformats.org/officeDocument/2006/relationships/image" Target="../media/image1370.jpeg"/><Relationship Id="rId2007" Type="http://schemas.openxmlformats.org/officeDocument/2006/relationships/image" Target="../media/image2007.jpeg"/><Relationship Id="rId2214" Type="http://schemas.openxmlformats.org/officeDocument/2006/relationships/image" Target="../media/image2214.jpeg"/><Relationship Id="rId740" Type="http://schemas.openxmlformats.org/officeDocument/2006/relationships/image" Target="../media/image740.jpeg"/><Relationship Id="rId1023" Type="http://schemas.openxmlformats.org/officeDocument/2006/relationships/image" Target="../media/image1023.jpeg"/><Relationship Id="rId2421" Type="http://schemas.openxmlformats.org/officeDocument/2006/relationships/image" Target="../media/image2421.jpeg"/><Relationship Id="rId600" Type="http://schemas.openxmlformats.org/officeDocument/2006/relationships/image" Target="../media/image600.jpeg"/><Relationship Id="rId1230" Type="http://schemas.openxmlformats.org/officeDocument/2006/relationships/image" Target="../media/image1230.jpeg"/><Relationship Id="rId183" Type="http://schemas.openxmlformats.org/officeDocument/2006/relationships/image" Target="../media/image183.png"/><Relationship Id="rId390" Type="http://schemas.openxmlformats.org/officeDocument/2006/relationships/image" Target="../media/image390.jpeg"/><Relationship Id="rId1907" Type="http://schemas.openxmlformats.org/officeDocument/2006/relationships/image" Target="../media/image1907.jpeg"/><Relationship Id="rId2071" Type="http://schemas.openxmlformats.org/officeDocument/2006/relationships/image" Target="../media/image2071.jpeg"/><Relationship Id="rId250" Type="http://schemas.openxmlformats.org/officeDocument/2006/relationships/image" Target="../media/image250.jpeg"/><Relationship Id="rId110" Type="http://schemas.openxmlformats.org/officeDocument/2006/relationships/image" Target="../media/image110.jpeg"/><Relationship Id="rId1697" Type="http://schemas.openxmlformats.org/officeDocument/2006/relationships/image" Target="../media/image1697.jpeg"/><Relationship Id="rId927" Type="http://schemas.openxmlformats.org/officeDocument/2006/relationships/image" Target="../media/image927.jpeg"/><Relationship Id="rId1557" Type="http://schemas.openxmlformats.org/officeDocument/2006/relationships/image" Target="../media/image1557.jpeg"/><Relationship Id="rId1764" Type="http://schemas.openxmlformats.org/officeDocument/2006/relationships/image" Target="../media/image1764.jpeg"/><Relationship Id="rId1971" Type="http://schemas.openxmlformats.org/officeDocument/2006/relationships/image" Target="../media/image1971.jpeg"/><Relationship Id="rId2608" Type="http://schemas.openxmlformats.org/officeDocument/2006/relationships/image" Target="../media/image2608.jpeg"/><Relationship Id="rId56" Type="http://schemas.openxmlformats.org/officeDocument/2006/relationships/image" Target="../media/image56.jpeg"/><Relationship Id="rId1417" Type="http://schemas.openxmlformats.org/officeDocument/2006/relationships/image" Target="../media/image1417.jpeg"/><Relationship Id="rId1624" Type="http://schemas.openxmlformats.org/officeDocument/2006/relationships/image" Target="../media/image1624.jpeg"/><Relationship Id="rId1831" Type="http://schemas.openxmlformats.org/officeDocument/2006/relationships/image" Target="../media/image1831.jpeg"/><Relationship Id="rId2398" Type="http://schemas.openxmlformats.org/officeDocument/2006/relationships/image" Target="../media/image2398.jpeg"/><Relationship Id="rId577" Type="http://schemas.openxmlformats.org/officeDocument/2006/relationships/image" Target="../media/image577.jpeg"/><Relationship Id="rId2258" Type="http://schemas.openxmlformats.org/officeDocument/2006/relationships/image" Target="../media/image2258.jpeg"/><Relationship Id="rId132" Type="http://schemas.openxmlformats.org/officeDocument/2006/relationships/image" Target="../media/image132.pn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2020" Type="http://schemas.openxmlformats.org/officeDocument/2006/relationships/image" Target="../media/image2020.jpeg"/><Relationship Id="rId2465" Type="http://schemas.openxmlformats.org/officeDocument/2006/relationships/image" Target="../media/image2465.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1481" Type="http://schemas.openxmlformats.org/officeDocument/2006/relationships/image" Target="../media/image1481.jpeg"/><Relationship Id="rId1579" Type="http://schemas.openxmlformats.org/officeDocument/2006/relationships/image" Target="../media/image1579.jpeg"/><Relationship Id="rId2118" Type="http://schemas.openxmlformats.org/officeDocument/2006/relationships/image" Target="../media/image2118.jpeg"/><Relationship Id="rId2325" Type="http://schemas.openxmlformats.org/officeDocument/2006/relationships/image" Target="../media/image2325.jpeg"/><Relationship Id="rId2532" Type="http://schemas.openxmlformats.org/officeDocument/2006/relationships/image" Target="../media/image2532.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1786" Type="http://schemas.openxmlformats.org/officeDocument/2006/relationships/image" Target="../media/image1786.jpeg"/><Relationship Id="rId1993" Type="http://schemas.openxmlformats.org/officeDocument/2006/relationships/image" Target="../media/image1993.jpeg"/><Relationship Id="rId78" Type="http://schemas.openxmlformats.org/officeDocument/2006/relationships/image" Target="../media/image78.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1646" Type="http://schemas.openxmlformats.org/officeDocument/2006/relationships/image" Target="../media/image1646.jpeg"/><Relationship Id="rId1853" Type="http://schemas.openxmlformats.org/officeDocument/2006/relationships/image" Target="../media/image1853.jpeg"/><Relationship Id="rId1506" Type="http://schemas.openxmlformats.org/officeDocument/2006/relationships/image" Target="../media/image1506.jpeg"/><Relationship Id="rId1713" Type="http://schemas.openxmlformats.org/officeDocument/2006/relationships/image" Target="../media/image1713.jpeg"/><Relationship Id="rId1920" Type="http://schemas.openxmlformats.org/officeDocument/2006/relationships/image" Target="../media/image1920.jpeg"/><Relationship Id="rId294" Type="http://schemas.openxmlformats.org/officeDocument/2006/relationships/image" Target="../media/image294.jpeg"/><Relationship Id="rId2182" Type="http://schemas.openxmlformats.org/officeDocument/2006/relationships/image" Target="../media/image2182.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2042" Type="http://schemas.openxmlformats.org/officeDocument/2006/relationships/image" Target="../media/image2042.jpeg"/><Relationship Id="rId2487" Type="http://schemas.openxmlformats.org/officeDocument/2006/relationships/image" Target="../media/image2487.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2347" Type="http://schemas.openxmlformats.org/officeDocument/2006/relationships/image" Target="../media/image2347.jpeg"/><Relationship Id="rId2554" Type="http://schemas.openxmlformats.org/officeDocument/2006/relationships/image" Target="../media/image2554.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eg"/><Relationship Id="rId2207" Type="http://schemas.openxmlformats.org/officeDocument/2006/relationships/image" Target="../media/image2207.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68" Type="http://schemas.openxmlformats.org/officeDocument/2006/relationships/image" Target="../media/image1668.jpeg"/><Relationship Id="rId1875" Type="http://schemas.openxmlformats.org/officeDocument/2006/relationships/image" Target="../media/image1875.jpeg"/><Relationship Id="rId2414" Type="http://schemas.openxmlformats.org/officeDocument/2006/relationships/image" Target="../media/image2414.jpeg"/><Relationship Id="rId2621" Type="http://schemas.openxmlformats.org/officeDocument/2006/relationships/image" Target="../media/image2621.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1528" Type="http://schemas.openxmlformats.org/officeDocument/2006/relationships/image" Target="../media/image1528.jpeg"/><Relationship Id="rId1735" Type="http://schemas.openxmlformats.org/officeDocument/2006/relationships/image" Target="../media/image1735.jpeg"/><Relationship Id="rId1942" Type="http://schemas.openxmlformats.org/officeDocument/2006/relationships/image" Target="../media/image1942.png"/><Relationship Id="rId27" Type="http://schemas.openxmlformats.org/officeDocument/2006/relationships/image" Target="../media/image27.png"/><Relationship Id="rId1802" Type="http://schemas.openxmlformats.org/officeDocument/2006/relationships/image" Target="../media/image1802.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2064" Type="http://schemas.openxmlformats.org/officeDocument/2006/relationships/image" Target="../media/image2064.jpeg"/><Relationship Id="rId2271" Type="http://schemas.openxmlformats.org/officeDocument/2006/relationships/image" Target="../media/image227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1080" Type="http://schemas.openxmlformats.org/officeDocument/2006/relationships/image" Target="../media/image1080.jpeg"/><Relationship Id="rId2131" Type="http://schemas.openxmlformats.org/officeDocument/2006/relationships/image" Target="../media/image2131.jpeg"/><Relationship Id="rId2369" Type="http://schemas.openxmlformats.org/officeDocument/2006/relationships/image" Target="../media/image2369.jpeg"/><Relationship Id="rId2576" Type="http://schemas.openxmlformats.org/officeDocument/2006/relationships/image" Target="../media/image2576.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1592" Type="http://schemas.openxmlformats.org/officeDocument/2006/relationships/image" Target="../media/image1592.jpeg"/><Relationship Id="rId2229" Type="http://schemas.openxmlformats.org/officeDocument/2006/relationships/image" Target="../media/image2229.jpeg"/><Relationship Id="rId2436" Type="http://schemas.openxmlformats.org/officeDocument/2006/relationships/image" Target="../media/image2436.jpeg"/><Relationship Id="rId2643" Type="http://schemas.openxmlformats.org/officeDocument/2006/relationships/image" Target="../media/image2643.jpeg"/><Relationship Id="rId91" Type="http://schemas.openxmlformats.org/officeDocument/2006/relationships/image" Target="../media/image91.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1452" Type="http://schemas.openxmlformats.org/officeDocument/2006/relationships/image" Target="../media/image1452.jpeg"/><Relationship Id="rId1897" Type="http://schemas.openxmlformats.org/officeDocument/2006/relationships/image" Target="../media/image1897.jpeg"/><Relationship Id="rId2503" Type="http://schemas.openxmlformats.org/officeDocument/2006/relationships/image" Target="../media/image2503.jpeg"/><Relationship Id="rId1105" Type="http://schemas.openxmlformats.org/officeDocument/2006/relationships/image" Target="../media/image1105.jpeg"/><Relationship Id="rId1312" Type="http://schemas.openxmlformats.org/officeDocument/2006/relationships/image" Target="../media/image1312.jpeg"/><Relationship Id="rId1757" Type="http://schemas.openxmlformats.org/officeDocument/2006/relationships/image" Target="../media/image1757.jpeg"/><Relationship Id="rId1964" Type="http://schemas.openxmlformats.org/officeDocument/2006/relationships/image" Target="../media/image1964.jpeg"/><Relationship Id="rId49" Type="http://schemas.openxmlformats.org/officeDocument/2006/relationships/image" Target="../media/image49.jpeg"/><Relationship Id="rId1617" Type="http://schemas.openxmlformats.org/officeDocument/2006/relationships/image" Target="../media/image1617.jpeg"/><Relationship Id="rId1824" Type="http://schemas.openxmlformats.org/officeDocument/2006/relationships/image" Target="../media/image1824.jpeg"/><Relationship Id="rId198" Type="http://schemas.openxmlformats.org/officeDocument/2006/relationships/image" Target="../media/image198.jpeg"/><Relationship Id="rId2086" Type="http://schemas.openxmlformats.org/officeDocument/2006/relationships/image" Target="../media/image2086.jpeg"/><Relationship Id="rId2293" Type="http://schemas.openxmlformats.org/officeDocument/2006/relationships/image" Target="../media/image2293.jpeg"/><Relationship Id="rId2598" Type="http://schemas.openxmlformats.org/officeDocument/2006/relationships/image" Target="../media/image2598.jpeg"/><Relationship Id="rId265" Type="http://schemas.openxmlformats.org/officeDocument/2006/relationships/image" Target="../media/image265.jpeg"/><Relationship Id="rId472" Type="http://schemas.openxmlformats.org/officeDocument/2006/relationships/image" Target="../media/image472.jpeg"/><Relationship Id="rId2153" Type="http://schemas.openxmlformats.org/officeDocument/2006/relationships/image" Target="../media/image2153.png"/><Relationship Id="rId2360" Type="http://schemas.openxmlformats.org/officeDocument/2006/relationships/image" Target="../media/image236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2013" Type="http://schemas.openxmlformats.org/officeDocument/2006/relationships/image" Target="../media/image2013.jpeg"/><Relationship Id="rId2220" Type="http://schemas.openxmlformats.org/officeDocument/2006/relationships/image" Target="../media/image2220.jpeg"/><Relationship Id="rId2458" Type="http://schemas.openxmlformats.org/officeDocument/2006/relationships/image" Target="../media/image2458.jpeg"/><Relationship Id="rId2665" Type="http://schemas.openxmlformats.org/officeDocument/2006/relationships/image" Target="../media/image2665.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1474" Type="http://schemas.openxmlformats.org/officeDocument/2006/relationships/image" Target="../media/image1474.jpeg"/><Relationship Id="rId1681" Type="http://schemas.openxmlformats.org/officeDocument/2006/relationships/image" Target="../media/image1681.jpeg"/><Relationship Id="rId2318" Type="http://schemas.openxmlformats.org/officeDocument/2006/relationships/image" Target="../media/image2318.jpeg"/><Relationship Id="rId2525" Type="http://schemas.openxmlformats.org/officeDocument/2006/relationships/image" Target="../media/image2525.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1541" Type="http://schemas.openxmlformats.org/officeDocument/2006/relationships/image" Target="../media/image1541.jpeg"/><Relationship Id="rId1779" Type="http://schemas.openxmlformats.org/officeDocument/2006/relationships/image" Target="../media/image1779.jpeg"/><Relationship Id="rId1986" Type="http://schemas.openxmlformats.org/officeDocument/2006/relationships/image" Target="../media/image1986.jpeg"/><Relationship Id="rId40" Type="http://schemas.openxmlformats.org/officeDocument/2006/relationships/image" Target="../media/image40.jpeg"/><Relationship Id="rId1401" Type="http://schemas.openxmlformats.org/officeDocument/2006/relationships/image" Target="../media/image1401.jpeg"/><Relationship Id="rId1639" Type="http://schemas.openxmlformats.org/officeDocument/2006/relationships/image" Target="../media/image1639.jpeg"/><Relationship Id="rId1846" Type="http://schemas.openxmlformats.org/officeDocument/2006/relationships/image" Target="../media/image1846.jpeg"/><Relationship Id="rId1706" Type="http://schemas.openxmlformats.org/officeDocument/2006/relationships/image" Target="../media/image1706.jpeg"/><Relationship Id="rId1913" Type="http://schemas.openxmlformats.org/officeDocument/2006/relationships/image" Target="../media/image1913.jpeg"/><Relationship Id="rId287" Type="http://schemas.openxmlformats.org/officeDocument/2006/relationships/image" Target="../media/image287.jpeg"/><Relationship Id="rId494" Type="http://schemas.openxmlformats.org/officeDocument/2006/relationships/image" Target="../media/image494.jpeg"/><Relationship Id="rId2175" Type="http://schemas.openxmlformats.org/officeDocument/2006/relationships/image" Target="../media/image2175.jpeg"/><Relationship Id="rId2382" Type="http://schemas.openxmlformats.org/officeDocument/2006/relationships/image" Target="../media/image2382.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2035" Type="http://schemas.openxmlformats.org/officeDocument/2006/relationships/image" Target="../media/image2035.jpeg"/><Relationship Id="rId561" Type="http://schemas.openxmlformats.org/officeDocument/2006/relationships/image" Target="../media/image561.pn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96" Type="http://schemas.openxmlformats.org/officeDocument/2006/relationships/image" Target="../media/image1496.jpeg"/><Relationship Id="rId2242" Type="http://schemas.openxmlformats.org/officeDocument/2006/relationships/image" Target="../media/image2242.jpeg"/><Relationship Id="rId2547" Type="http://schemas.openxmlformats.org/officeDocument/2006/relationships/image" Target="../media/image2547.jpeg"/><Relationship Id="rId214" Type="http://schemas.openxmlformats.org/officeDocument/2006/relationships/image" Target="../media/image214.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2102" Type="http://schemas.openxmlformats.org/officeDocument/2006/relationships/image" Target="../media/image2102.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1770" Type="http://schemas.openxmlformats.org/officeDocument/2006/relationships/image" Target="../media/image1770.jpeg"/><Relationship Id="rId1868" Type="http://schemas.openxmlformats.org/officeDocument/2006/relationships/image" Target="../media/image1868.jpeg"/><Relationship Id="rId2407" Type="http://schemas.openxmlformats.org/officeDocument/2006/relationships/image" Target="../media/image2407.jpeg"/><Relationship Id="rId2614" Type="http://schemas.openxmlformats.org/officeDocument/2006/relationships/image" Target="../media/image2614.jpeg"/><Relationship Id="rId62" Type="http://schemas.openxmlformats.org/officeDocument/2006/relationships/image" Target="../media/image6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1728" Type="http://schemas.openxmlformats.org/officeDocument/2006/relationships/image" Target="../media/image1728.jpeg"/><Relationship Id="rId1935" Type="http://schemas.openxmlformats.org/officeDocument/2006/relationships/image" Target="../media/image1935.jpeg"/><Relationship Id="rId2197" Type="http://schemas.openxmlformats.org/officeDocument/2006/relationships/image" Target="../media/image2197.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2057" Type="http://schemas.openxmlformats.org/officeDocument/2006/relationships/image" Target="../media/image2057.jpeg"/><Relationship Id="rId2264" Type="http://schemas.openxmlformats.org/officeDocument/2006/relationships/image" Target="../media/image2264.jpeg"/><Relationship Id="rId2471" Type="http://schemas.openxmlformats.org/officeDocument/2006/relationships/image" Target="../media/image2471.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2124" Type="http://schemas.openxmlformats.org/officeDocument/2006/relationships/image" Target="../media/image2124.jpeg"/><Relationship Id="rId2331" Type="http://schemas.openxmlformats.org/officeDocument/2006/relationships/image" Target="../media/image2331.jpeg"/><Relationship Id="rId2569" Type="http://schemas.openxmlformats.org/officeDocument/2006/relationships/image" Target="../media/image2569.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1585" Type="http://schemas.openxmlformats.org/officeDocument/2006/relationships/image" Target="../media/image1585.jpeg"/><Relationship Id="rId1792" Type="http://schemas.openxmlformats.org/officeDocument/2006/relationships/image" Target="../media/image1792.jpeg"/><Relationship Id="rId2429" Type="http://schemas.openxmlformats.org/officeDocument/2006/relationships/image" Target="../media/image2429.jpeg"/><Relationship Id="rId2636" Type="http://schemas.openxmlformats.org/officeDocument/2006/relationships/image" Target="../media/image2636.png"/><Relationship Id="rId84" Type="http://schemas.openxmlformats.org/officeDocument/2006/relationships/image" Target="../media/image84.jpeg"/><Relationship Id="rId510" Type="http://schemas.openxmlformats.org/officeDocument/2006/relationships/image" Target="../media/image510.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png"/><Relationship Id="rId1445" Type="http://schemas.openxmlformats.org/officeDocument/2006/relationships/image" Target="../media/image1445.jpeg"/><Relationship Id="rId1652" Type="http://schemas.openxmlformats.org/officeDocument/2006/relationships/image" Target="../media/image1652.jpeg"/><Relationship Id="rId1000" Type="http://schemas.openxmlformats.org/officeDocument/2006/relationships/image" Target="../media/image1000.jpeg"/><Relationship Id="rId1305" Type="http://schemas.openxmlformats.org/officeDocument/2006/relationships/image" Target="../media/image1305.jpeg"/><Relationship Id="rId1957" Type="http://schemas.openxmlformats.org/officeDocument/2006/relationships/image" Target="../media/image1957.jpeg"/><Relationship Id="rId1512" Type="http://schemas.openxmlformats.org/officeDocument/2006/relationships/image" Target="../media/image1512.jpeg"/><Relationship Id="rId1817" Type="http://schemas.openxmlformats.org/officeDocument/2006/relationships/image" Target="../media/image1817.jpeg"/><Relationship Id="rId11" Type="http://schemas.openxmlformats.org/officeDocument/2006/relationships/image" Target="../media/image11.jpeg"/><Relationship Id="rId398" Type="http://schemas.openxmlformats.org/officeDocument/2006/relationships/image" Target="../media/image398.jpeg"/><Relationship Id="rId2079" Type="http://schemas.openxmlformats.org/officeDocument/2006/relationships/image" Target="../media/image2079.jpeg"/><Relationship Id="rId160" Type="http://schemas.openxmlformats.org/officeDocument/2006/relationships/image" Target="../media/image160.jpeg"/><Relationship Id="rId2286" Type="http://schemas.openxmlformats.org/officeDocument/2006/relationships/image" Target="../media/image2286.jpeg"/><Relationship Id="rId2493" Type="http://schemas.openxmlformats.org/officeDocument/2006/relationships/image" Target="../media/image2493.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146" Type="http://schemas.openxmlformats.org/officeDocument/2006/relationships/image" Target="../media/image2146.jpeg"/><Relationship Id="rId2353" Type="http://schemas.openxmlformats.org/officeDocument/2006/relationships/image" Target="../media/image2353.jpeg"/><Relationship Id="rId2560" Type="http://schemas.openxmlformats.org/officeDocument/2006/relationships/image" Target="../media/image2560.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2006" Type="http://schemas.openxmlformats.org/officeDocument/2006/relationships/image" Target="../media/image2006.jpeg"/><Relationship Id="rId2213" Type="http://schemas.openxmlformats.org/officeDocument/2006/relationships/image" Target="../media/image2213.jpeg"/><Relationship Id="rId2420" Type="http://schemas.openxmlformats.org/officeDocument/2006/relationships/image" Target="../media/image2420.jpeg"/><Relationship Id="rId2658" Type="http://schemas.openxmlformats.org/officeDocument/2006/relationships/image" Target="../media/image2658.jpeg"/><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1674" Type="http://schemas.openxmlformats.org/officeDocument/2006/relationships/image" Target="../media/image1674.jpeg"/><Relationship Id="rId1881" Type="http://schemas.openxmlformats.org/officeDocument/2006/relationships/image" Target="../media/image1881.jpeg"/><Relationship Id="rId2518" Type="http://schemas.openxmlformats.org/officeDocument/2006/relationships/image" Target="../media/image2518.jpeg"/><Relationship Id="rId904" Type="http://schemas.openxmlformats.org/officeDocument/2006/relationships/image" Target="../media/image904.jpeg"/><Relationship Id="rId1327" Type="http://schemas.openxmlformats.org/officeDocument/2006/relationships/image" Target="../media/image1327.jpeg"/><Relationship Id="rId1534" Type="http://schemas.openxmlformats.org/officeDocument/2006/relationships/image" Target="../media/image1534.jpeg"/><Relationship Id="rId1741" Type="http://schemas.openxmlformats.org/officeDocument/2006/relationships/image" Target="../media/image1741.jpeg"/><Relationship Id="rId1979" Type="http://schemas.openxmlformats.org/officeDocument/2006/relationships/image" Target="../media/image1979.jpeg"/><Relationship Id="rId33" Type="http://schemas.openxmlformats.org/officeDocument/2006/relationships/image" Target="../media/image33.png"/><Relationship Id="rId1601" Type="http://schemas.openxmlformats.org/officeDocument/2006/relationships/image" Target="../media/image1601.jpeg"/><Relationship Id="rId1839" Type="http://schemas.openxmlformats.org/officeDocument/2006/relationships/image" Target="../media/image1839.jpeg"/><Relationship Id="rId182" Type="http://schemas.openxmlformats.org/officeDocument/2006/relationships/image" Target="../media/image182.jpeg"/><Relationship Id="rId1906" Type="http://schemas.openxmlformats.org/officeDocument/2006/relationships/image" Target="../media/image1906.jpeg"/><Relationship Id="rId487" Type="http://schemas.openxmlformats.org/officeDocument/2006/relationships/image" Target="../media/image487.jpeg"/><Relationship Id="rId694" Type="http://schemas.openxmlformats.org/officeDocument/2006/relationships/image" Target="../media/image694.jpeg"/><Relationship Id="rId2070" Type="http://schemas.openxmlformats.org/officeDocument/2006/relationships/image" Target="../media/image2070.jpeg"/><Relationship Id="rId2168" Type="http://schemas.openxmlformats.org/officeDocument/2006/relationships/image" Target="../media/image2168.jpeg"/><Relationship Id="rId2375" Type="http://schemas.openxmlformats.org/officeDocument/2006/relationships/image" Target="../media/image2375.jpeg"/><Relationship Id="rId347" Type="http://schemas.openxmlformats.org/officeDocument/2006/relationships/image" Target="../media/image347.jpeg"/><Relationship Id="rId999" Type="http://schemas.openxmlformats.org/officeDocument/2006/relationships/image" Target="../media/image999.jpeg"/><Relationship Id="rId1184" Type="http://schemas.openxmlformats.org/officeDocument/2006/relationships/image" Target="../media/image1184.jpeg"/><Relationship Id="rId2028" Type="http://schemas.openxmlformats.org/officeDocument/2006/relationships/image" Target="../media/image2028.jpeg"/><Relationship Id="rId2582" Type="http://schemas.openxmlformats.org/officeDocument/2006/relationships/image" Target="../media/image2582.png"/><Relationship Id="rId554" Type="http://schemas.openxmlformats.org/officeDocument/2006/relationships/image" Target="../media/image554.jpeg"/><Relationship Id="rId761" Type="http://schemas.openxmlformats.org/officeDocument/2006/relationships/image" Target="../media/image761.png"/><Relationship Id="rId859" Type="http://schemas.openxmlformats.org/officeDocument/2006/relationships/image" Target="../media/image859.jpeg"/><Relationship Id="rId1391" Type="http://schemas.openxmlformats.org/officeDocument/2006/relationships/image" Target="../media/image1391.jpeg"/><Relationship Id="rId1489" Type="http://schemas.openxmlformats.org/officeDocument/2006/relationships/image" Target="../media/image1489.jpeg"/><Relationship Id="rId1696" Type="http://schemas.openxmlformats.org/officeDocument/2006/relationships/image" Target="../media/image1696.jpeg"/><Relationship Id="rId2235" Type="http://schemas.openxmlformats.org/officeDocument/2006/relationships/image" Target="../media/image2235.jpeg"/><Relationship Id="rId2442" Type="http://schemas.openxmlformats.org/officeDocument/2006/relationships/image" Target="../media/image2442.jpeg"/><Relationship Id="rId207" Type="http://schemas.openxmlformats.org/officeDocument/2006/relationships/image" Target="../media/image207.jpeg"/><Relationship Id="rId414" Type="http://schemas.openxmlformats.org/officeDocument/2006/relationships/image" Target="../media/image414.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302" Type="http://schemas.openxmlformats.org/officeDocument/2006/relationships/image" Target="../media/image2302.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1763" Type="http://schemas.openxmlformats.org/officeDocument/2006/relationships/image" Target="../media/image1763.jpeg"/><Relationship Id="rId1970" Type="http://schemas.openxmlformats.org/officeDocument/2006/relationships/image" Target="../media/image1970.jpeg"/><Relationship Id="rId2607" Type="http://schemas.openxmlformats.org/officeDocument/2006/relationships/image" Target="../media/image2607.png"/><Relationship Id="rId55" Type="http://schemas.openxmlformats.org/officeDocument/2006/relationships/image" Target="../media/image5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1830" Type="http://schemas.openxmlformats.org/officeDocument/2006/relationships/image" Target="../media/image1830.jpeg"/><Relationship Id="rId1928" Type="http://schemas.openxmlformats.org/officeDocument/2006/relationships/image" Target="../media/image1928.jpeg"/><Relationship Id="rId2092" Type="http://schemas.openxmlformats.org/officeDocument/2006/relationships/image" Target="../media/image2092.jpeg"/><Relationship Id="rId271" Type="http://schemas.openxmlformats.org/officeDocument/2006/relationships/image" Target="../media/image271.jpeg"/><Relationship Id="rId2397" Type="http://schemas.openxmlformats.org/officeDocument/2006/relationships/image" Target="../media/image2397.jpeg"/><Relationship Id="rId131" Type="http://schemas.openxmlformats.org/officeDocument/2006/relationships/image" Target="../media/image131.pn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57" Type="http://schemas.openxmlformats.org/officeDocument/2006/relationships/image" Target="../media/image2257.jpeg"/><Relationship Id="rId2464" Type="http://schemas.openxmlformats.org/officeDocument/2006/relationships/image" Target="../media/image2464.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1480" Type="http://schemas.openxmlformats.org/officeDocument/2006/relationships/image" Target="../media/image1480.jpeg"/><Relationship Id="rId2117" Type="http://schemas.openxmlformats.org/officeDocument/2006/relationships/image" Target="../media/image2117.jpeg"/><Relationship Id="rId2324" Type="http://schemas.openxmlformats.org/officeDocument/2006/relationships/image" Target="../media/image2324.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1578" Type="http://schemas.openxmlformats.org/officeDocument/2006/relationships/image" Target="../media/image1578.jpeg"/><Relationship Id="rId1785" Type="http://schemas.openxmlformats.org/officeDocument/2006/relationships/image" Target="../media/image1785.jpeg"/><Relationship Id="rId1992" Type="http://schemas.openxmlformats.org/officeDocument/2006/relationships/image" Target="../media/image1992.png"/><Relationship Id="rId2531" Type="http://schemas.openxmlformats.org/officeDocument/2006/relationships/image" Target="../media/image2531.jpeg"/><Relationship Id="rId2629" Type="http://schemas.openxmlformats.org/officeDocument/2006/relationships/image" Target="../media/image2629.jpeg"/><Relationship Id="rId77" Type="http://schemas.openxmlformats.org/officeDocument/2006/relationships/image" Target="../media/image77.jpeg"/><Relationship Id="rId503" Type="http://schemas.openxmlformats.org/officeDocument/2006/relationships/image" Target="../media/image503.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1645" Type="http://schemas.openxmlformats.org/officeDocument/2006/relationships/image" Target="../media/image1645.jpeg"/><Relationship Id="rId1200" Type="http://schemas.openxmlformats.org/officeDocument/2006/relationships/image" Target="../media/image1200.jpeg"/><Relationship Id="rId1852" Type="http://schemas.openxmlformats.org/officeDocument/2006/relationships/image" Target="../media/image1852.jpeg"/><Relationship Id="rId1505" Type="http://schemas.openxmlformats.org/officeDocument/2006/relationships/image" Target="../media/image1505.jpeg"/><Relationship Id="rId1712" Type="http://schemas.openxmlformats.org/officeDocument/2006/relationships/image" Target="../media/image1712.jpeg"/><Relationship Id="rId293" Type="http://schemas.openxmlformats.org/officeDocument/2006/relationships/image" Target="../media/image293.jpeg"/><Relationship Id="rId2181" Type="http://schemas.openxmlformats.org/officeDocument/2006/relationships/image" Target="../media/image2181.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2041" Type="http://schemas.openxmlformats.org/officeDocument/2006/relationships/image" Target="../media/image2041.jpeg"/><Relationship Id="rId2279" Type="http://schemas.openxmlformats.org/officeDocument/2006/relationships/image" Target="../media/image2279.jpeg"/><Relationship Id="rId2486" Type="http://schemas.openxmlformats.org/officeDocument/2006/relationships/image" Target="../media/image2486.jpeg"/><Relationship Id="rId220" Type="http://schemas.openxmlformats.org/officeDocument/2006/relationships/image" Target="../media/image220.jpeg"/><Relationship Id="rId458" Type="http://schemas.openxmlformats.org/officeDocument/2006/relationships/image" Target="../media/image458.pn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2139" Type="http://schemas.openxmlformats.org/officeDocument/2006/relationships/image" Target="../media/image2139.png"/><Relationship Id="rId2346" Type="http://schemas.openxmlformats.org/officeDocument/2006/relationships/image" Target="../media/image2346.jpeg"/><Relationship Id="rId2553" Type="http://schemas.openxmlformats.org/officeDocument/2006/relationships/image" Target="../media/image2553.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2206" Type="http://schemas.openxmlformats.org/officeDocument/2006/relationships/image" Target="../media/image2206.jpeg"/><Relationship Id="rId2413" Type="http://schemas.openxmlformats.org/officeDocument/2006/relationships/image" Target="../media/image2413.jpeg"/><Relationship Id="rId2620" Type="http://schemas.openxmlformats.org/officeDocument/2006/relationships/image" Target="../media/image2620.jpeg"/><Relationship Id="rId99" Type="http://schemas.openxmlformats.org/officeDocument/2006/relationships/image" Target="../media/image99.jpeg"/><Relationship Id="rId1015" Type="http://schemas.openxmlformats.org/officeDocument/2006/relationships/image" Target="../media/image1015.jpeg"/><Relationship Id="rId1222" Type="http://schemas.openxmlformats.org/officeDocument/2006/relationships/image" Target="../media/image1222.jpeg"/><Relationship Id="rId1667" Type="http://schemas.openxmlformats.org/officeDocument/2006/relationships/image" Target="../media/image1667.jpeg"/><Relationship Id="rId1874" Type="http://schemas.openxmlformats.org/officeDocument/2006/relationships/image" Target="../media/image1874.jpeg"/><Relationship Id="rId1527" Type="http://schemas.openxmlformats.org/officeDocument/2006/relationships/image" Target="../media/image1527.jpeg"/><Relationship Id="rId1734" Type="http://schemas.openxmlformats.org/officeDocument/2006/relationships/image" Target="../media/image1734.jpeg"/><Relationship Id="rId1941" Type="http://schemas.openxmlformats.org/officeDocument/2006/relationships/image" Target="../media/image1941.jpeg"/><Relationship Id="rId26" Type="http://schemas.openxmlformats.org/officeDocument/2006/relationships/image" Target="../media/image26.png"/><Relationship Id="rId175" Type="http://schemas.openxmlformats.org/officeDocument/2006/relationships/image" Target="../media/image175.jpeg"/><Relationship Id="rId1801" Type="http://schemas.openxmlformats.org/officeDocument/2006/relationships/image" Target="../media/image1801.jpeg"/><Relationship Id="rId382" Type="http://schemas.openxmlformats.org/officeDocument/2006/relationships/image" Target="../media/image382.jpeg"/><Relationship Id="rId687" Type="http://schemas.openxmlformats.org/officeDocument/2006/relationships/image" Target="../media/image687.jpeg"/><Relationship Id="rId2063" Type="http://schemas.openxmlformats.org/officeDocument/2006/relationships/image" Target="../media/image2063.jpeg"/><Relationship Id="rId2270" Type="http://schemas.openxmlformats.org/officeDocument/2006/relationships/image" Target="../media/image2270.jpeg"/><Relationship Id="rId2368" Type="http://schemas.openxmlformats.org/officeDocument/2006/relationships/image" Target="../media/image236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2130" Type="http://schemas.openxmlformats.org/officeDocument/2006/relationships/image" Target="../media/image2130.jpeg"/><Relationship Id="rId2575" Type="http://schemas.openxmlformats.org/officeDocument/2006/relationships/image" Target="../media/image2575.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1591" Type="http://schemas.openxmlformats.org/officeDocument/2006/relationships/image" Target="../media/image1591.jpeg"/><Relationship Id="rId1689" Type="http://schemas.openxmlformats.org/officeDocument/2006/relationships/image" Target="../media/image1689.jpeg"/><Relationship Id="rId2228" Type="http://schemas.openxmlformats.org/officeDocument/2006/relationships/image" Target="../media/image2228.jpeg"/><Relationship Id="rId2435" Type="http://schemas.openxmlformats.org/officeDocument/2006/relationships/image" Target="../media/image2435.jpeg"/><Relationship Id="rId2642" Type="http://schemas.openxmlformats.org/officeDocument/2006/relationships/image" Target="../media/image2642.jpeg"/><Relationship Id="rId90" Type="http://schemas.openxmlformats.org/officeDocument/2006/relationships/image" Target="../media/image90.pn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1896" Type="http://schemas.openxmlformats.org/officeDocument/2006/relationships/image" Target="../media/image1896.jpeg"/><Relationship Id="rId2502" Type="http://schemas.openxmlformats.org/officeDocument/2006/relationships/image" Target="../media/image2502.jpeg"/><Relationship Id="rId919" Type="http://schemas.openxmlformats.org/officeDocument/2006/relationships/image" Target="../media/image919.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1756" Type="http://schemas.openxmlformats.org/officeDocument/2006/relationships/image" Target="../media/image1756.jpeg"/><Relationship Id="rId1963" Type="http://schemas.openxmlformats.org/officeDocument/2006/relationships/image" Target="../media/image1963.jpeg"/><Relationship Id="rId48" Type="http://schemas.openxmlformats.org/officeDocument/2006/relationships/image" Target="../media/image48.jpeg"/><Relationship Id="rId1409" Type="http://schemas.openxmlformats.org/officeDocument/2006/relationships/image" Target="../media/image1409.jpeg"/><Relationship Id="rId1616" Type="http://schemas.openxmlformats.org/officeDocument/2006/relationships/image" Target="../media/image1616.jpeg"/><Relationship Id="rId1823" Type="http://schemas.openxmlformats.org/officeDocument/2006/relationships/image" Target="../media/image1823.jpeg"/><Relationship Id="rId197" Type="http://schemas.openxmlformats.org/officeDocument/2006/relationships/image" Target="../media/image197.jpeg"/><Relationship Id="rId2085" Type="http://schemas.openxmlformats.org/officeDocument/2006/relationships/image" Target="../media/image2085.jpeg"/><Relationship Id="rId2292" Type="http://schemas.openxmlformats.org/officeDocument/2006/relationships/image" Target="../media/image2292.jpeg"/><Relationship Id="rId264" Type="http://schemas.openxmlformats.org/officeDocument/2006/relationships/image" Target="../media/image264.jpeg"/><Relationship Id="rId471" Type="http://schemas.openxmlformats.org/officeDocument/2006/relationships/image" Target="../media/image471.jpeg"/><Relationship Id="rId2152" Type="http://schemas.openxmlformats.org/officeDocument/2006/relationships/image" Target="../media/image2152.jpeg"/><Relationship Id="rId2597" Type="http://schemas.openxmlformats.org/officeDocument/2006/relationships/image" Target="../media/image2597.pn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2457" Type="http://schemas.openxmlformats.org/officeDocument/2006/relationships/image" Target="../media/image2457.jpeg"/><Relationship Id="rId2664" Type="http://schemas.openxmlformats.org/officeDocument/2006/relationships/image" Target="../media/image2664.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1473" Type="http://schemas.openxmlformats.org/officeDocument/2006/relationships/image" Target="../media/image1473.jpeg"/><Relationship Id="rId2012" Type="http://schemas.openxmlformats.org/officeDocument/2006/relationships/image" Target="../media/image2012.jpeg"/><Relationship Id="rId2317" Type="http://schemas.openxmlformats.org/officeDocument/2006/relationships/image" Target="../media/image2317.jpeg"/><Relationship Id="rId843" Type="http://schemas.openxmlformats.org/officeDocument/2006/relationships/image" Target="../media/image843.jpeg"/><Relationship Id="rId1126" Type="http://schemas.openxmlformats.org/officeDocument/2006/relationships/image" Target="../media/image1126.jpeg"/><Relationship Id="rId1680" Type="http://schemas.openxmlformats.org/officeDocument/2006/relationships/image" Target="../media/image1680.jpeg"/><Relationship Id="rId1778" Type="http://schemas.openxmlformats.org/officeDocument/2006/relationships/image" Target="../media/image1778.jpeg"/><Relationship Id="rId1985" Type="http://schemas.openxmlformats.org/officeDocument/2006/relationships/image" Target="../media/image1985.jpeg"/><Relationship Id="rId2524" Type="http://schemas.openxmlformats.org/officeDocument/2006/relationships/image" Target="../media/image2524.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540" Type="http://schemas.openxmlformats.org/officeDocument/2006/relationships/image" Target="../media/image1540.jpeg"/><Relationship Id="rId1638" Type="http://schemas.openxmlformats.org/officeDocument/2006/relationships/image" Target="../media/image1638.jpeg"/><Relationship Id="rId1400" Type="http://schemas.openxmlformats.org/officeDocument/2006/relationships/image" Target="../media/image1400.jpeg"/><Relationship Id="rId1845" Type="http://schemas.openxmlformats.org/officeDocument/2006/relationships/image" Target="../media/image1845.jpeg"/><Relationship Id="rId1705" Type="http://schemas.openxmlformats.org/officeDocument/2006/relationships/image" Target="../media/image1705.jpeg"/><Relationship Id="rId1912" Type="http://schemas.openxmlformats.org/officeDocument/2006/relationships/image" Target="../media/image1912.jpeg"/><Relationship Id="rId286" Type="http://schemas.openxmlformats.org/officeDocument/2006/relationships/image" Target="../media/image286.jpeg"/><Relationship Id="rId493" Type="http://schemas.openxmlformats.org/officeDocument/2006/relationships/image" Target="../media/image493.jpeg"/><Relationship Id="rId2174" Type="http://schemas.openxmlformats.org/officeDocument/2006/relationships/image" Target="../media/image2174.jpeg"/><Relationship Id="rId2381" Type="http://schemas.openxmlformats.org/officeDocument/2006/relationships/image" Target="../media/image2381.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2034" Type="http://schemas.openxmlformats.org/officeDocument/2006/relationships/image" Target="../media/image2034.jpeg"/><Relationship Id="rId2241" Type="http://schemas.openxmlformats.org/officeDocument/2006/relationships/image" Target="../media/image2241.jpeg"/><Relationship Id="rId2479" Type="http://schemas.openxmlformats.org/officeDocument/2006/relationships/image" Target="../media/image2479.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1495" Type="http://schemas.openxmlformats.org/officeDocument/2006/relationships/image" Target="../media/image1495.jpeg"/><Relationship Id="rId2101" Type="http://schemas.openxmlformats.org/officeDocument/2006/relationships/image" Target="../media/image2101.jpeg"/><Relationship Id="rId2339" Type="http://schemas.openxmlformats.org/officeDocument/2006/relationships/image" Target="../media/image2339.jpeg"/><Relationship Id="rId2546" Type="http://schemas.openxmlformats.org/officeDocument/2006/relationships/image" Target="../media/image2546.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2406" Type="http://schemas.openxmlformats.org/officeDocument/2006/relationships/image" Target="../media/image2406.jpeg"/><Relationship Id="rId2613" Type="http://schemas.openxmlformats.org/officeDocument/2006/relationships/image" Target="../media/image2613.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1867" Type="http://schemas.openxmlformats.org/officeDocument/2006/relationships/image" Target="../media/image1867.jpeg"/><Relationship Id="rId61" Type="http://schemas.openxmlformats.org/officeDocument/2006/relationships/image" Target="../media/image61.jpeg"/><Relationship Id="rId1727" Type="http://schemas.openxmlformats.org/officeDocument/2006/relationships/image" Target="../media/image1727.jpeg"/><Relationship Id="rId1934" Type="http://schemas.openxmlformats.org/officeDocument/2006/relationships/image" Target="../media/image1934.jpeg"/><Relationship Id="rId19" Type="http://schemas.openxmlformats.org/officeDocument/2006/relationships/image" Target="../media/image19.jpeg"/><Relationship Id="rId2196" Type="http://schemas.openxmlformats.org/officeDocument/2006/relationships/image" Target="../media/image2196.jpeg"/><Relationship Id="rId168" Type="http://schemas.openxmlformats.org/officeDocument/2006/relationships/image" Target="../media/image168.jpeg"/><Relationship Id="rId375" Type="http://schemas.openxmlformats.org/officeDocument/2006/relationships/image" Target="../media/image375.jpeg"/><Relationship Id="rId582" Type="http://schemas.openxmlformats.org/officeDocument/2006/relationships/image" Target="../media/image582.jpeg"/><Relationship Id="rId2056" Type="http://schemas.openxmlformats.org/officeDocument/2006/relationships/image" Target="../media/image2056.jpeg"/><Relationship Id="rId2263" Type="http://schemas.openxmlformats.org/officeDocument/2006/relationships/image" Target="../media/image2263.jpeg"/><Relationship Id="rId2470" Type="http://schemas.openxmlformats.org/officeDocument/2006/relationships/image" Target="../media/image2470.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2123" Type="http://schemas.openxmlformats.org/officeDocument/2006/relationships/image" Target="../media/image2123.jpeg"/><Relationship Id="rId2330" Type="http://schemas.openxmlformats.org/officeDocument/2006/relationships/image" Target="../media/image2330.jpeg"/><Relationship Id="rId2568" Type="http://schemas.openxmlformats.org/officeDocument/2006/relationships/image" Target="../media/image2568.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1584" Type="http://schemas.openxmlformats.org/officeDocument/2006/relationships/image" Target="../media/image1584.jpeg"/><Relationship Id="rId1791" Type="http://schemas.openxmlformats.org/officeDocument/2006/relationships/image" Target="../media/image1791.jpeg"/><Relationship Id="rId2428" Type="http://schemas.openxmlformats.org/officeDocument/2006/relationships/image" Target="../media/image2428.jpeg"/><Relationship Id="rId2635" Type="http://schemas.openxmlformats.org/officeDocument/2006/relationships/image" Target="../media/image2635.jpeg"/><Relationship Id="rId83" Type="http://schemas.openxmlformats.org/officeDocument/2006/relationships/image" Target="../media/image8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png"/><Relationship Id="rId1444" Type="http://schemas.openxmlformats.org/officeDocument/2006/relationships/image" Target="../media/image1444.jpeg"/><Relationship Id="rId1651" Type="http://schemas.openxmlformats.org/officeDocument/2006/relationships/image" Target="../media/image1651.jpeg"/><Relationship Id="rId1889" Type="http://schemas.openxmlformats.org/officeDocument/2006/relationships/image" Target="../media/image1889.jpeg"/><Relationship Id="rId1304" Type="http://schemas.openxmlformats.org/officeDocument/2006/relationships/image" Target="../media/image1304.jpeg"/><Relationship Id="rId1511" Type="http://schemas.openxmlformats.org/officeDocument/2006/relationships/image" Target="../media/image1511.jpeg"/><Relationship Id="rId1749" Type="http://schemas.openxmlformats.org/officeDocument/2006/relationships/image" Target="../media/image1749.jpeg"/><Relationship Id="rId1956" Type="http://schemas.openxmlformats.org/officeDocument/2006/relationships/image" Target="../media/image1956.jpeg"/><Relationship Id="rId1609" Type="http://schemas.openxmlformats.org/officeDocument/2006/relationships/image" Target="../media/image1609.jpeg"/><Relationship Id="rId1816" Type="http://schemas.openxmlformats.org/officeDocument/2006/relationships/image" Target="../media/image1816.jpeg"/><Relationship Id="rId10" Type="http://schemas.openxmlformats.org/officeDocument/2006/relationships/image" Target="../media/image10.jpeg"/><Relationship Id="rId397" Type="http://schemas.openxmlformats.org/officeDocument/2006/relationships/image" Target="../media/image397.png"/><Relationship Id="rId2078" Type="http://schemas.openxmlformats.org/officeDocument/2006/relationships/image" Target="../media/image2078.png"/><Relationship Id="rId2285" Type="http://schemas.openxmlformats.org/officeDocument/2006/relationships/image" Target="../media/image2285.jpeg"/><Relationship Id="rId2492" Type="http://schemas.openxmlformats.org/officeDocument/2006/relationships/image" Target="../media/image2492.jpeg"/><Relationship Id="rId257" Type="http://schemas.openxmlformats.org/officeDocument/2006/relationships/image" Target="../media/image257.jpeg"/><Relationship Id="rId464" Type="http://schemas.openxmlformats.org/officeDocument/2006/relationships/image" Target="../media/image464.jpeg"/><Relationship Id="rId1094" Type="http://schemas.openxmlformats.org/officeDocument/2006/relationships/image" Target="../media/image1094.jpeg"/><Relationship Id="rId2145" Type="http://schemas.openxmlformats.org/officeDocument/2006/relationships/image" Target="../media/image2145.pn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2352" Type="http://schemas.openxmlformats.org/officeDocument/2006/relationships/image" Target="../media/image2352.jpeg"/><Relationship Id="rId2657" Type="http://schemas.openxmlformats.org/officeDocument/2006/relationships/image" Target="../media/image2657.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466" Type="http://schemas.openxmlformats.org/officeDocument/2006/relationships/image" Target="../media/image1466.jpeg"/><Relationship Id="rId2005" Type="http://schemas.openxmlformats.org/officeDocument/2006/relationships/image" Target="../media/image2005.jpeg"/><Relationship Id="rId2212" Type="http://schemas.openxmlformats.org/officeDocument/2006/relationships/image" Target="../media/image2212.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1673" Type="http://schemas.openxmlformats.org/officeDocument/2006/relationships/image" Target="../media/image1673.jpeg"/><Relationship Id="rId1880" Type="http://schemas.openxmlformats.org/officeDocument/2006/relationships/image" Target="../media/image1880.jpeg"/><Relationship Id="rId1978" Type="http://schemas.openxmlformats.org/officeDocument/2006/relationships/image" Target="../media/image1978.jpeg"/><Relationship Id="rId2517" Type="http://schemas.openxmlformats.org/officeDocument/2006/relationships/image" Target="../media/image2517.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1740" Type="http://schemas.openxmlformats.org/officeDocument/2006/relationships/image" Target="../media/image1740.jpeg"/><Relationship Id="rId32" Type="http://schemas.openxmlformats.org/officeDocument/2006/relationships/image" Target="../media/image32.png"/><Relationship Id="rId1600" Type="http://schemas.openxmlformats.org/officeDocument/2006/relationships/image" Target="../media/image1600.jpeg"/><Relationship Id="rId1838" Type="http://schemas.openxmlformats.org/officeDocument/2006/relationships/image" Target="../media/image1838.jpeg"/><Relationship Id="rId181" Type="http://schemas.openxmlformats.org/officeDocument/2006/relationships/image" Target="../media/image181.jpeg"/><Relationship Id="rId1905" Type="http://schemas.openxmlformats.org/officeDocument/2006/relationships/image" Target="../media/image1905.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2167" Type="http://schemas.openxmlformats.org/officeDocument/2006/relationships/image" Target="../media/image2167.jpeg"/><Relationship Id="rId2374" Type="http://schemas.openxmlformats.org/officeDocument/2006/relationships/image" Target="../media/image2374.jpeg"/><Relationship Id="rId2581" Type="http://schemas.openxmlformats.org/officeDocument/2006/relationships/image" Target="../media/image2581.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2027" Type="http://schemas.openxmlformats.org/officeDocument/2006/relationships/image" Target="../media/image2027.jpeg"/><Relationship Id="rId2234" Type="http://schemas.openxmlformats.org/officeDocument/2006/relationships/image" Target="../media/image2234.jpeg"/><Relationship Id="rId2441" Type="http://schemas.openxmlformats.org/officeDocument/2006/relationships/image" Target="../media/image2441.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1695" Type="http://schemas.openxmlformats.org/officeDocument/2006/relationships/image" Target="../media/image1695.jpeg"/><Relationship Id="rId2539" Type="http://schemas.openxmlformats.org/officeDocument/2006/relationships/image" Target="../media/image2539.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762" Type="http://schemas.openxmlformats.org/officeDocument/2006/relationships/image" Target="../media/image1762.jpeg"/><Relationship Id="rId2301" Type="http://schemas.openxmlformats.org/officeDocument/2006/relationships/image" Target="../media/image2301.jpeg"/><Relationship Id="rId2606" Type="http://schemas.openxmlformats.org/officeDocument/2006/relationships/image" Target="../media/image2606.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1927" Type="http://schemas.openxmlformats.org/officeDocument/2006/relationships/image" Target="../media/image1927.jpeg"/><Relationship Id="rId2091" Type="http://schemas.openxmlformats.org/officeDocument/2006/relationships/image" Target="../media/image2091.jpeg"/><Relationship Id="rId2189" Type="http://schemas.openxmlformats.org/officeDocument/2006/relationships/image" Target="../media/image2189.jpeg"/><Relationship Id="rId270" Type="http://schemas.openxmlformats.org/officeDocument/2006/relationships/image" Target="../media/image270.jpeg"/><Relationship Id="rId2396" Type="http://schemas.openxmlformats.org/officeDocument/2006/relationships/image" Target="../media/image2396.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049" Type="http://schemas.openxmlformats.org/officeDocument/2006/relationships/image" Target="../media/image2049.jpeg"/><Relationship Id="rId2256" Type="http://schemas.openxmlformats.org/officeDocument/2006/relationships/image" Target="../media/image2256.jpeg"/><Relationship Id="rId2463" Type="http://schemas.openxmlformats.org/officeDocument/2006/relationships/image" Target="../media/image2463.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116" Type="http://schemas.openxmlformats.org/officeDocument/2006/relationships/image" Target="../media/image2116.jpeg"/><Relationship Id="rId2323" Type="http://schemas.openxmlformats.org/officeDocument/2006/relationships/image" Target="../media/image2323.jpeg"/><Relationship Id="rId2530" Type="http://schemas.openxmlformats.org/officeDocument/2006/relationships/image" Target="../media/image2530.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1577" Type="http://schemas.openxmlformats.org/officeDocument/2006/relationships/image" Target="../media/image1577.jpeg"/><Relationship Id="rId1784" Type="http://schemas.openxmlformats.org/officeDocument/2006/relationships/image" Target="../media/image1784.jpeg"/><Relationship Id="rId1991" Type="http://schemas.openxmlformats.org/officeDocument/2006/relationships/image" Target="../media/image1991.png"/><Relationship Id="rId2628" Type="http://schemas.openxmlformats.org/officeDocument/2006/relationships/image" Target="../media/image2628.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851" Type="http://schemas.openxmlformats.org/officeDocument/2006/relationships/image" Target="../media/image1851.jpeg"/><Relationship Id="rId1504" Type="http://schemas.openxmlformats.org/officeDocument/2006/relationships/image" Target="../media/image1504.jpeg"/><Relationship Id="rId1711" Type="http://schemas.openxmlformats.org/officeDocument/2006/relationships/image" Target="../media/image1711.png"/><Relationship Id="rId1949" Type="http://schemas.openxmlformats.org/officeDocument/2006/relationships/image" Target="../media/image1949.jpeg"/><Relationship Id="rId292" Type="http://schemas.openxmlformats.org/officeDocument/2006/relationships/image" Target="../media/image292.jpeg"/><Relationship Id="rId1809" Type="http://schemas.openxmlformats.org/officeDocument/2006/relationships/image" Target="../media/image1809.jpeg"/><Relationship Id="rId597" Type="http://schemas.openxmlformats.org/officeDocument/2006/relationships/image" Target="../media/image597.jpeg"/><Relationship Id="rId2180" Type="http://schemas.openxmlformats.org/officeDocument/2006/relationships/image" Target="../media/image2180.jpeg"/><Relationship Id="rId2278" Type="http://schemas.openxmlformats.org/officeDocument/2006/relationships/image" Target="../media/image2278.jpeg"/><Relationship Id="rId2485" Type="http://schemas.openxmlformats.org/officeDocument/2006/relationships/image" Target="../media/image2485.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2040" Type="http://schemas.openxmlformats.org/officeDocument/2006/relationships/image" Target="../media/image2040.jpeg"/><Relationship Id="rId2138" Type="http://schemas.openxmlformats.org/officeDocument/2006/relationships/image" Target="../media/image2138.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99" Type="http://schemas.openxmlformats.org/officeDocument/2006/relationships/image" Target="../media/image1599.jpeg"/><Relationship Id="rId2345" Type="http://schemas.openxmlformats.org/officeDocument/2006/relationships/image" Target="../media/image2345.jpeg"/><Relationship Id="rId2552" Type="http://schemas.openxmlformats.org/officeDocument/2006/relationships/image" Target="../media/image2552.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1459" Type="http://schemas.openxmlformats.org/officeDocument/2006/relationships/image" Target="../media/image1459.jpeg"/><Relationship Id="rId2205" Type="http://schemas.openxmlformats.org/officeDocument/2006/relationships/image" Target="../media/image2205.jpeg"/><Relationship Id="rId2412" Type="http://schemas.openxmlformats.org/officeDocument/2006/relationships/image" Target="../media/image2412.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png"/><Relationship Id="rId1666" Type="http://schemas.openxmlformats.org/officeDocument/2006/relationships/image" Target="../media/image1666.jpeg"/><Relationship Id="rId1873" Type="http://schemas.openxmlformats.org/officeDocument/2006/relationships/image" Target="../media/image1873.jpeg"/><Relationship Id="rId1319" Type="http://schemas.openxmlformats.org/officeDocument/2006/relationships/image" Target="../media/image1319.jpeg"/><Relationship Id="rId1526" Type="http://schemas.openxmlformats.org/officeDocument/2006/relationships/image" Target="../media/image1526.jpeg"/><Relationship Id="rId1733" Type="http://schemas.openxmlformats.org/officeDocument/2006/relationships/image" Target="../media/image1733.jpeg"/><Relationship Id="rId1940" Type="http://schemas.openxmlformats.org/officeDocument/2006/relationships/image" Target="../media/image1940.jpeg"/><Relationship Id="rId25" Type="http://schemas.openxmlformats.org/officeDocument/2006/relationships/image" Target="../media/image25.png"/><Relationship Id="rId1800" Type="http://schemas.openxmlformats.org/officeDocument/2006/relationships/image" Target="../media/image1800.jpeg"/><Relationship Id="rId174" Type="http://schemas.openxmlformats.org/officeDocument/2006/relationships/image" Target="../media/image174.jpeg"/><Relationship Id="rId381" Type="http://schemas.openxmlformats.org/officeDocument/2006/relationships/image" Target="../media/image381.jpeg"/><Relationship Id="rId2062" Type="http://schemas.openxmlformats.org/officeDocument/2006/relationships/image" Target="../media/image206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2367" Type="http://schemas.openxmlformats.org/officeDocument/2006/relationships/image" Target="../media/image2367.jpeg"/><Relationship Id="rId2574" Type="http://schemas.openxmlformats.org/officeDocument/2006/relationships/image" Target="../media/image2574.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2227" Type="http://schemas.openxmlformats.org/officeDocument/2006/relationships/image" Target="../media/image2227.jpeg"/><Relationship Id="rId2434" Type="http://schemas.openxmlformats.org/officeDocument/2006/relationships/image" Target="../media/image2434.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1688" Type="http://schemas.openxmlformats.org/officeDocument/2006/relationships/image" Target="../media/image1688.jpeg"/><Relationship Id="rId1895" Type="http://schemas.openxmlformats.org/officeDocument/2006/relationships/image" Target="../media/image1895.jpeg"/><Relationship Id="rId2641" Type="http://schemas.openxmlformats.org/officeDocument/2006/relationships/image" Target="../media/image2641.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eg"/><Relationship Id="rId1548" Type="http://schemas.openxmlformats.org/officeDocument/2006/relationships/image" Target="../media/image1548.jpeg"/><Relationship Id="rId1755" Type="http://schemas.openxmlformats.org/officeDocument/2006/relationships/image" Target="../media/image1755.jpeg"/><Relationship Id="rId2501" Type="http://schemas.openxmlformats.org/officeDocument/2006/relationships/image" Target="../media/image2501.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peg"/><Relationship Id="rId1962" Type="http://schemas.openxmlformats.org/officeDocument/2006/relationships/image" Target="../media/image1962.jpeg"/><Relationship Id="rId47" Type="http://schemas.openxmlformats.org/officeDocument/2006/relationships/image" Target="../media/image47.jpeg"/><Relationship Id="rId1615" Type="http://schemas.openxmlformats.org/officeDocument/2006/relationships/image" Target="../media/image1615.jpeg"/><Relationship Id="rId1822" Type="http://schemas.openxmlformats.org/officeDocument/2006/relationships/image" Target="../media/image1822.jpeg"/><Relationship Id="rId196" Type="http://schemas.openxmlformats.org/officeDocument/2006/relationships/image" Target="../media/image196.jpeg"/><Relationship Id="rId2084" Type="http://schemas.openxmlformats.org/officeDocument/2006/relationships/image" Target="../media/image2084.jpeg"/><Relationship Id="rId2291" Type="http://schemas.openxmlformats.org/officeDocument/2006/relationships/image" Target="../media/image2291.jpeg"/><Relationship Id="rId263" Type="http://schemas.openxmlformats.org/officeDocument/2006/relationships/image" Target="../media/image263.jpeg"/><Relationship Id="rId470" Type="http://schemas.openxmlformats.org/officeDocument/2006/relationships/image" Target="../media/image470.jpeg"/><Relationship Id="rId2151" Type="http://schemas.openxmlformats.org/officeDocument/2006/relationships/image" Target="../media/image2151.png"/><Relationship Id="rId2389" Type="http://schemas.openxmlformats.org/officeDocument/2006/relationships/image" Target="../media/image2389.jpeg"/><Relationship Id="rId2596" Type="http://schemas.openxmlformats.org/officeDocument/2006/relationships/image" Target="../media/image2596.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2011" Type="http://schemas.openxmlformats.org/officeDocument/2006/relationships/image" Target="../media/image2011.jpeg"/><Relationship Id="rId2249" Type="http://schemas.openxmlformats.org/officeDocument/2006/relationships/image" Target="../media/image2249.jpeg"/><Relationship Id="rId2456" Type="http://schemas.openxmlformats.org/officeDocument/2006/relationships/image" Target="../media/image2456.jpeg"/><Relationship Id="rId2663" Type="http://schemas.openxmlformats.org/officeDocument/2006/relationships/image" Target="../media/image2663.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1472" Type="http://schemas.openxmlformats.org/officeDocument/2006/relationships/image" Target="../media/image1472.jpeg"/><Relationship Id="rId2109" Type="http://schemas.openxmlformats.org/officeDocument/2006/relationships/image" Target="../media/image2109.jpeg"/><Relationship Id="rId2316" Type="http://schemas.openxmlformats.org/officeDocument/2006/relationships/image" Target="../media/image2316.jpeg"/><Relationship Id="rId2523" Type="http://schemas.openxmlformats.org/officeDocument/2006/relationships/image" Target="../media/image2523.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1777" Type="http://schemas.openxmlformats.org/officeDocument/2006/relationships/image" Target="../media/image1777.jpeg"/><Relationship Id="rId1984" Type="http://schemas.openxmlformats.org/officeDocument/2006/relationships/image" Target="../media/image1984.jpeg"/><Relationship Id="rId69" Type="http://schemas.openxmlformats.org/officeDocument/2006/relationships/image" Target="../media/image69.png"/><Relationship Id="rId1637" Type="http://schemas.openxmlformats.org/officeDocument/2006/relationships/image" Target="../media/image1637.jpeg"/><Relationship Id="rId1844" Type="http://schemas.openxmlformats.org/officeDocument/2006/relationships/image" Target="../media/image1844.jpeg"/><Relationship Id="rId1704" Type="http://schemas.openxmlformats.org/officeDocument/2006/relationships/image" Target="../media/image1704.jpeg"/><Relationship Id="rId285" Type="http://schemas.openxmlformats.org/officeDocument/2006/relationships/image" Target="../media/image285.jpeg"/><Relationship Id="rId1911" Type="http://schemas.openxmlformats.org/officeDocument/2006/relationships/image" Target="../media/image1911.jpeg"/><Relationship Id="rId492" Type="http://schemas.openxmlformats.org/officeDocument/2006/relationships/image" Target="../media/image492.jpeg"/><Relationship Id="rId797" Type="http://schemas.openxmlformats.org/officeDocument/2006/relationships/image" Target="../media/image797.jpeg"/><Relationship Id="rId2173" Type="http://schemas.openxmlformats.org/officeDocument/2006/relationships/image" Target="../media/image2173.jpeg"/><Relationship Id="rId2380" Type="http://schemas.openxmlformats.org/officeDocument/2006/relationships/image" Target="../media/image2380.jpeg"/><Relationship Id="rId2478" Type="http://schemas.openxmlformats.org/officeDocument/2006/relationships/image" Target="../media/image2478.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eg"/><Relationship Id="rId2033" Type="http://schemas.openxmlformats.org/officeDocument/2006/relationships/image" Target="../media/image2033.jpeg"/><Relationship Id="rId2240" Type="http://schemas.openxmlformats.org/officeDocument/2006/relationships/image" Target="../media/image2240.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1799" Type="http://schemas.openxmlformats.org/officeDocument/2006/relationships/image" Target="../media/image1799.jpeg"/><Relationship Id="rId2100" Type="http://schemas.openxmlformats.org/officeDocument/2006/relationships/image" Target="../media/image2100.jpeg"/><Relationship Id="rId2338" Type="http://schemas.openxmlformats.org/officeDocument/2006/relationships/image" Target="../media/image2338.jpeg"/><Relationship Id="rId2545" Type="http://schemas.openxmlformats.org/officeDocument/2006/relationships/image" Target="../media/image2545.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2405" Type="http://schemas.openxmlformats.org/officeDocument/2006/relationships/image" Target="../media/image2405.jpeg"/><Relationship Id="rId2612" Type="http://schemas.openxmlformats.org/officeDocument/2006/relationships/image" Target="../media/image2612.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1659" Type="http://schemas.openxmlformats.org/officeDocument/2006/relationships/image" Target="../media/image1659.jpeg"/><Relationship Id="rId1866" Type="http://schemas.openxmlformats.org/officeDocument/2006/relationships/image" Target="../media/image1866.jpeg"/><Relationship Id="rId1519" Type="http://schemas.openxmlformats.org/officeDocument/2006/relationships/image" Target="../media/image1519.jpeg"/><Relationship Id="rId1726" Type="http://schemas.openxmlformats.org/officeDocument/2006/relationships/image" Target="../media/image1726.jpeg"/><Relationship Id="rId1933" Type="http://schemas.openxmlformats.org/officeDocument/2006/relationships/image" Target="../media/image1933.jpeg"/><Relationship Id="rId18" Type="http://schemas.openxmlformats.org/officeDocument/2006/relationships/image" Target="../media/image18.jpeg"/><Relationship Id="rId2195" Type="http://schemas.openxmlformats.org/officeDocument/2006/relationships/image" Target="../media/image2195.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055" Type="http://schemas.openxmlformats.org/officeDocument/2006/relationships/image" Target="../media/image2055.jpeg"/><Relationship Id="rId2262" Type="http://schemas.openxmlformats.org/officeDocument/2006/relationships/image" Target="../media/image2262.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567" Type="http://schemas.openxmlformats.org/officeDocument/2006/relationships/image" Target="../media/image2567.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1583" Type="http://schemas.openxmlformats.org/officeDocument/2006/relationships/image" Target="../media/image1583.jpeg"/><Relationship Id="rId2122" Type="http://schemas.openxmlformats.org/officeDocument/2006/relationships/image" Target="../media/image2122.jpeg"/><Relationship Id="rId2427" Type="http://schemas.openxmlformats.org/officeDocument/2006/relationships/image" Target="../media/image2427.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1790" Type="http://schemas.openxmlformats.org/officeDocument/2006/relationships/image" Target="../media/image1790.jpeg"/><Relationship Id="rId1888" Type="http://schemas.openxmlformats.org/officeDocument/2006/relationships/image" Target="../media/image1888.jpeg"/><Relationship Id="rId2634" Type="http://schemas.openxmlformats.org/officeDocument/2006/relationships/image" Target="../media/image2634.jpeg"/><Relationship Id="rId82" Type="http://schemas.openxmlformats.org/officeDocument/2006/relationships/image" Target="../media/image82.pn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1650" Type="http://schemas.openxmlformats.org/officeDocument/2006/relationships/image" Target="../media/image1650.jpeg"/><Relationship Id="rId1748" Type="http://schemas.openxmlformats.org/officeDocument/2006/relationships/image" Target="../media/image1748.jpeg"/><Relationship Id="rId1303" Type="http://schemas.openxmlformats.org/officeDocument/2006/relationships/image" Target="../media/image1303.jpeg"/><Relationship Id="rId1510" Type="http://schemas.openxmlformats.org/officeDocument/2006/relationships/image" Target="../media/image1510.jpeg"/><Relationship Id="rId1955" Type="http://schemas.openxmlformats.org/officeDocument/2006/relationships/image" Target="../media/image1955.jpeg"/><Relationship Id="rId1608" Type="http://schemas.openxmlformats.org/officeDocument/2006/relationships/image" Target="../media/image1608.jpeg"/><Relationship Id="rId1815" Type="http://schemas.openxmlformats.org/officeDocument/2006/relationships/image" Target="../media/image1815.jpeg"/><Relationship Id="rId189" Type="http://schemas.openxmlformats.org/officeDocument/2006/relationships/image" Target="../media/image189.jpeg"/><Relationship Id="rId396" Type="http://schemas.openxmlformats.org/officeDocument/2006/relationships/image" Target="../media/image396.jpeg"/><Relationship Id="rId2077" Type="http://schemas.openxmlformats.org/officeDocument/2006/relationships/image" Target="../media/image2077.png"/><Relationship Id="rId2284" Type="http://schemas.openxmlformats.org/officeDocument/2006/relationships/image" Target="../media/image2284.jpeg"/><Relationship Id="rId2491" Type="http://schemas.openxmlformats.org/officeDocument/2006/relationships/image" Target="../media/image2491.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2144" Type="http://schemas.openxmlformats.org/officeDocument/2006/relationships/image" Target="../media/image2144.jpeg"/><Relationship Id="rId2351" Type="http://schemas.openxmlformats.org/officeDocument/2006/relationships/image" Target="../media/image2351.jpeg"/><Relationship Id="rId2589" Type="http://schemas.openxmlformats.org/officeDocument/2006/relationships/image" Target="../media/image2589.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2004" Type="http://schemas.openxmlformats.org/officeDocument/2006/relationships/image" Target="../media/image2004.jpeg"/><Relationship Id="rId2211" Type="http://schemas.openxmlformats.org/officeDocument/2006/relationships/image" Target="../media/image2211.png"/><Relationship Id="rId2449" Type="http://schemas.openxmlformats.org/officeDocument/2006/relationships/image" Target="../media/image2449.jpeg"/><Relationship Id="rId2656" Type="http://schemas.openxmlformats.org/officeDocument/2006/relationships/image" Target="../media/image2656.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1672" Type="http://schemas.openxmlformats.org/officeDocument/2006/relationships/image" Target="../media/image1672.jpeg"/><Relationship Id="rId2309" Type="http://schemas.openxmlformats.org/officeDocument/2006/relationships/image" Target="../media/image2309.jpeg"/><Relationship Id="rId2516" Type="http://schemas.openxmlformats.org/officeDocument/2006/relationships/image" Target="../media/image2516.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532" Type="http://schemas.openxmlformats.org/officeDocument/2006/relationships/image" Target="../media/image1532.jpeg"/><Relationship Id="rId1977" Type="http://schemas.openxmlformats.org/officeDocument/2006/relationships/image" Target="../media/image1977.jpeg"/><Relationship Id="rId902" Type="http://schemas.openxmlformats.org/officeDocument/2006/relationships/image" Target="../media/image902.jpeg"/><Relationship Id="rId1837" Type="http://schemas.openxmlformats.org/officeDocument/2006/relationships/image" Target="../media/image1837.jpeg"/><Relationship Id="rId31" Type="http://schemas.openxmlformats.org/officeDocument/2006/relationships/image" Target="../media/image31.png"/><Relationship Id="rId2099" Type="http://schemas.openxmlformats.org/officeDocument/2006/relationships/image" Target="../media/image2099.jpeg"/><Relationship Id="rId180" Type="http://schemas.openxmlformats.org/officeDocument/2006/relationships/image" Target="../media/image180.jpeg"/><Relationship Id="rId278" Type="http://schemas.openxmlformats.org/officeDocument/2006/relationships/image" Target="../media/image278.jpeg"/><Relationship Id="rId1904" Type="http://schemas.openxmlformats.org/officeDocument/2006/relationships/image" Target="../media/image1904.jpeg"/><Relationship Id="rId485" Type="http://schemas.openxmlformats.org/officeDocument/2006/relationships/image" Target="../media/image485.jpeg"/><Relationship Id="rId692" Type="http://schemas.openxmlformats.org/officeDocument/2006/relationships/image" Target="../media/image692.jpeg"/><Relationship Id="rId2166" Type="http://schemas.openxmlformats.org/officeDocument/2006/relationships/image" Target="../media/image2166.jpeg"/><Relationship Id="rId2373" Type="http://schemas.openxmlformats.org/officeDocument/2006/relationships/image" Target="../media/image2373.jpeg"/><Relationship Id="rId2580" Type="http://schemas.openxmlformats.org/officeDocument/2006/relationships/image" Target="../media/image2580.pn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2026" Type="http://schemas.openxmlformats.org/officeDocument/2006/relationships/image" Target="../media/image2026.png"/><Relationship Id="rId2233" Type="http://schemas.openxmlformats.org/officeDocument/2006/relationships/image" Target="../media/image2233.jpeg"/><Relationship Id="rId2440" Type="http://schemas.openxmlformats.org/officeDocument/2006/relationships/image" Target="../media/image2440.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1487" Type="http://schemas.openxmlformats.org/officeDocument/2006/relationships/image" Target="../media/image1487.jpeg"/><Relationship Id="rId1694" Type="http://schemas.openxmlformats.org/officeDocument/2006/relationships/image" Target="../media/image1694.jpeg"/><Relationship Id="rId2300" Type="http://schemas.openxmlformats.org/officeDocument/2006/relationships/image" Target="../media/image2300.jpeg"/><Relationship Id="rId2538" Type="http://schemas.openxmlformats.org/officeDocument/2006/relationships/image" Target="../media/image2538.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1761" Type="http://schemas.openxmlformats.org/officeDocument/2006/relationships/image" Target="../media/image1761.jpeg"/><Relationship Id="rId1999" Type="http://schemas.openxmlformats.org/officeDocument/2006/relationships/image" Target="../media/image1999.jpeg"/><Relationship Id="rId2605" Type="http://schemas.openxmlformats.org/officeDocument/2006/relationships/image" Target="../media/image2605.jpeg"/><Relationship Id="rId53" Type="http://schemas.openxmlformats.org/officeDocument/2006/relationships/image" Target="../media/image5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1859" Type="http://schemas.openxmlformats.org/officeDocument/2006/relationships/image" Target="../media/image1859.jpeg"/><Relationship Id="rId1719" Type="http://schemas.openxmlformats.org/officeDocument/2006/relationships/image" Target="../media/image1719.jpeg"/><Relationship Id="rId1926" Type="http://schemas.openxmlformats.org/officeDocument/2006/relationships/image" Target="../media/image1926.jpeg"/><Relationship Id="rId2090" Type="http://schemas.openxmlformats.org/officeDocument/2006/relationships/image" Target="../media/image2090.jpeg"/><Relationship Id="rId2188" Type="http://schemas.openxmlformats.org/officeDocument/2006/relationships/image" Target="../media/image2188.jpeg"/><Relationship Id="rId2395" Type="http://schemas.openxmlformats.org/officeDocument/2006/relationships/image" Target="../media/image2395.jpeg"/><Relationship Id="rId367" Type="http://schemas.openxmlformats.org/officeDocument/2006/relationships/image" Target="../media/image367.jpeg"/><Relationship Id="rId574" Type="http://schemas.openxmlformats.org/officeDocument/2006/relationships/image" Target="../media/image574.jpeg"/><Relationship Id="rId2048" Type="http://schemas.openxmlformats.org/officeDocument/2006/relationships/image" Target="../media/image2048.jpeg"/><Relationship Id="rId2255" Type="http://schemas.openxmlformats.org/officeDocument/2006/relationships/image" Target="../media/image2255.pn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2462" Type="http://schemas.openxmlformats.org/officeDocument/2006/relationships/image" Target="../media/image2462.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1576" Type="http://schemas.openxmlformats.org/officeDocument/2006/relationships/image" Target="../media/image1576.jpeg"/><Relationship Id="rId2115" Type="http://schemas.openxmlformats.org/officeDocument/2006/relationships/image" Target="../media/image2115.jpeg"/><Relationship Id="rId2322" Type="http://schemas.openxmlformats.org/officeDocument/2006/relationships/image" Target="../media/image2322.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1783" Type="http://schemas.openxmlformats.org/officeDocument/2006/relationships/image" Target="../media/image1783.jpeg"/><Relationship Id="rId1990" Type="http://schemas.openxmlformats.org/officeDocument/2006/relationships/image" Target="../media/image1990.jpeg"/><Relationship Id="rId2627" Type="http://schemas.openxmlformats.org/officeDocument/2006/relationships/image" Target="../media/image2627.jpeg"/><Relationship Id="rId75" Type="http://schemas.openxmlformats.org/officeDocument/2006/relationships/image" Target="../media/image75.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1850" Type="http://schemas.openxmlformats.org/officeDocument/2006/relationships/image" Target="../media/image1850.jpeg"/><Relationship Id="rId1503" Type="http://schemas.openxmlformats.org/officeDocument/2006/relationships/image" Target="../media/image1503.jpeg"/><Relationship Id="rId1710" Type="http://schemas.openxmlformats.org/officeDocument/2006/relationships/image" Target="../media/image1710.jpeg"/><Relationship Id="rId1948" Type="http://schemas.openxmlformats.org/officeDocument/2006/relationships/image" Target="../media/image1948.jpeg"/><Relationship Id="rId291" Type="http://schemas.openxmlformats.org/officeDocument/2006/relationships/image" Target="../media/image291.png"/><Relationship Id="rId1808" Type="http://schemas.openxmlformats.org/officeDocument/2006/relationships/image" Target="../media/image1808.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2277" Type="http://schemas.openxmlformats.org/officeDocument/2006/relationships/image" Target="../media/image2277.jpeg"/><Relationship Id="rId2484" Type="http://schemas.openxmlformats.org/officeDocument/2006/relationships/image" Target="../media/image2484.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2137" Type="http://schemas.openxmlformats.org/officeDocument/2006/relationships/image" Target="../media/image2137.jpeg"/><Relationship Id="rId2344" Type="http://schemas.openxmlformats.org/officeDocument/2006/relationships/image" Target="../media/image2344.jpeg"/><Relationship Id="rId2551" Type="http://schemas.openxmlformats.org/officeDocument/2006/relationships/image" Target="../media/image2551.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2204" Type="http://schemas.openxmlformats.org/officeDocument/2006/relationships/image" Target="../media/image2204.jpeg"/><Relationship Id="rId2649" Type="http://schemas.openxmlformats.org/officeDocument/2006/relationships/image" Target="../media/image2649.pn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65" Type="http://schemas.openxmlformats.org/officeDocument/2006/relationships/image" Target="../media/image1665.jpeg"/><Relationship Id="rId1872" Type="http://schemas.openxmlformats.org/officeDocument/2006/relationships/image" Target="../media/image1872.jpeg"/><Relationship Id="rId2411" Type="http://schemas.openxmlformats.org/officeDocument/2006/relationships/image" Target="../media/image2411.jpeg"/><Relationship Id="rId2509" Type="http://schemas.openxmlformats.org/officeDocument/2006/relationships/image" Target="../media/image2509.jpeg"/><Relationship Id="rId1220" Type="http://schemas.openxmlformats.org/officeDocument/2006/relationships/image" Target="../media/image1220.png"/><Relationship Id="rId1318" Type="http://schemas.openxmlformats.org/officeDocument/2006/relationships/image" Target="../media/image1318.jpeg"/><Relationship Id="rId1525" Type="http://schemas.openxmlformats.org/officeDocument/2006/relationships/image" Target="../media/image1525.jpeg"/><Relationship Id="rId1732" Type="http://schemas.openxmlformats.org/officeDocument/2006/relationships/image" Target="../media/image1732.jpeg"/><Relationship Id="rId24" Type="http://schemas.openxmlformats.org/officeDocument/2006/relationships/image" Target="../media/image24.png"/><Relationship Id="rId2299" Type="http://schemas.openxmlformats.org/officeDocument/2006/relationships/image" Target="../media/image2299.jpeg"/><Relationship Id="rId173" Type="http://schemas.openxmlformats.org/officeDocument/2006/relationships/image" Target="../media/image173.jpeg"/><Relationship Id="rId380" Type="http://schemas.openxmlformats.org/officeDocument/2006/relationships/image" Target="../media/image380.jpeg"/><Relationship Id="rId2061" Type="http://schemas.openxmlformats.org/officeDocument/2006/relationships/image" Target="../media/image206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2159" Type="http://schemas.openxmlformats.org/officeDocument/2006/relationships/image" Target="../media/image2159.png"/><Relationship Id="rId2366" Type="http://schemas.openxmlformats.org/officeDocument/2006/relationships/image" Target="../media/image2366.jpeg"/><Relationship Id="rId2573" Type="http://schemas.openxmlformats.org/officeDocument/2006/relationships/image" Target="../media/image2573.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eg"/><Relationship Id="rId2019" Type="http://schemas.openxmlformats.org/officeDocument/2006/relationships/image" Target="../media/image2019.jpeg"/><Relationship Id="rId2226" Type="http://schemas.openxmlformats.org/officeDocument/2006/relationships/image" Target="../media/image2226.jpeg"/><Relationship Id="rId2433" Type="http://schemas.openxmlformats.org/officeDocument/2006/relationships/image" Target="../media/image2433.jpeg"/><Relationship Id="rId2640" Type="http://schemas.openxmlformats.org/officeDocument/2006/relationships/image" Target="../media/image2640.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1687" Type="http://schemas.openxmlformats.org/officeDocument/2006/relationships/image" Target="../media/image1687.jpeg"/><Relationship Id="rId1894" Type="http://schemas.openxmlformats.org/officeDocument/2006/relationships/image" Target="../media/image1894.jpeg"/><Relationship Id="rId2500" Type="http://schemas.openxmlformats.org/officeDocument/2006/relationships/image" Target="../media/image2500.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1754" Type="http://schemas.openxmlformats.org/officeDocument/2006/relationships/image" Target="../media/image1754.jpeg"/><Relationship Id="rId1961" Type="http://schemas.openxmlformats.org/officeDocument/2006/relationships/image" Target="../media/image1961.jpeg"/><Relationship Id="rId46" Type="http://schemas.openxmlformats.org/officeDocument/2006/relationships/image" Target="../media/image46.jpeg"/><Relationship Id="rId1407" Type="http://schemas.openxmlformats.org/officeDocument/2006/relationships/image" Target="../media/image1407.jpeg"/><Relationship Id="rId1614" Type="http://schemas.openxmlformats.org/officeDocument/2006/relationships/image" Target="../media/image1614.jpeg"/><Relationship Id="rId1821" Type="http://schemas.openxmlformats.org/officeDocument/2006/relationships/image" Target="../media/image1821.jpeg"/><Relationship Id="rId195" Type="http://schemas.openxmlformats.org/officeDocument/2006/relationships/image" Target="../media/image195.jpeg"/><Relationship Id="rId1919" Type="http://schemas.openxmlformats.org/officeDocument/2006/relationships/image" Target="../media/image1919.jpeg"/><Relationship Id="rId2083" Type="http://schemas.openxmlformats.org/officeDocument/2006/relationships/image" Target="../media/image2083.png"/><Relationship Id="rId2290" Type="http://schemas.openxmlformats.org/officeDocument/2006/relationships/image" Target="../media/image2290.jpeg"/><Relationship Id="rId2388" Type="http://schemas.openxmlformats.org/officeDocument/2006/relationships/image" Target="../media/image2388.jpeg"/><Relationship Id="rId2595" Type="http://schemas.openxmlformats.org/officeDocument/2006/relationships/image" Target="../media/image2595.jpeg"/><Relationship Id="rId262" Type="http://schemas.openxmlformats.org/officeDocument/2006/relationships/image" Target="../media/image262.jpeg"/><Relationship Id="rId567" Type="http://schemas.openxmlformats.org/officeDocument/2006/relationships/image" Target="../media/image567.jpeg"/><Relationship Id="rId1197" Type="http://schemas.openxmlformats.org/officeDocument/2006/relationships/image" Target="../media/image1197.jpeg"/><Relationship Id="rId2150" Type="http://schemas.openxmlformats.org/officeDocument/2006/relationships/image" Target="../media/image2150.jpeg"/><Relationship Id="rId2248" Type="http://schemas.openxmlformats.org/officeDocument/2006/relationships/image" Target="../media/image2248.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2010" Type="http://schemas.openxmlformats.org/officeDocument/2006/relationships/image" Target="../media/image2010.jpeg"/><Relationship Id="rId2455" Type="http://schemas.openxmlformats.org/officeDocument/2006/relationships/image" Target="../media/image2455.jpeg"/><Relationship Id="rId2662" Type="http://schemas.openxmlformats.org/officeDocument/2006/relationships/image" Target="../media/image2662.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1471" Type="http://schemas.openxmlformats.org/officeDocument/2006/relationships/image" Target="../media/image1471.jpeg"/><Relationship Id="rId1569" Type="http://schemas.openxmlformats.org/officeDocument/2006/relationships/image" Target="../media/image1569.jpeg"/><Relationship Id="rId2108" Type="http://schemas.openxmlformats.org/officeDocument/2006/relationships/image" Target="../media/image2108.jpeg"/><Relationship Id="rId2315" Type="http://schemas.openxmlformats.org/officeDocument/2006/relationships/image" Target="../media/image2315.jpeg"/><Relationship Id="rId2522" Type="http://schemas.openxmlformats.org/officeDocument/2006/relationships/image" Target="../media/image2522.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1776" Type="http://schemas.openxmlformats.org/officeDocument/2006/relationships/image" Target="../media/image1776.jpeg"/><Relationship Id="rId1983" Type="http://schemas.openxmlformats.org/officeDocument/2006/relationships/image" Target="../media/image1983.jpeg"/><Relationship Id="rId68" Type="http://schemas.openxmlformats.org/officeDocument/2006/relationships/image" Target="../media/image68.jpeg"/><Relationship Id="rId1429" Type="http://schemas.openxmlformats.org/officeDocument/2006/relationships/image" Target="../media/image1429.jpeg"/><Relationship Id="rId1636" Type="http://schemas.openxmlformats.org/officeDocument/2006/relationships/image" Target="../media/image1636.jpeg"/><Relationship Id="rId1843" Type="http://schemas.openxmlformats.org/officeDocument/2006/relationships/image" Target="../media/image1843.jpeg"/><Relationship Id="rId1703" Type="http://schemas.openxmlformats.org/officeDocument/2006/relationships/image" Target="../media/image1703.jpeg"/><Relationship Id="rId1910" Type="http://schemas.openxmlformats.org/officeDocument/2006/relationships/image" Target="../media/image1910.jpeg"/><Relationship Id="rId284" Type="http://schemas.openxmlformats.org/officeDocument/2006/relationships/image" Target="../media/image284.jpeg"/><Relationship Id="rId491" Type="http://schemas.openxmlformats.org/officeDocument/2006/relationships/image" Target="../media/image491.jpeg"/><Relationship Id="rId2172" Type="http://schemas.openxmlformats.org/officeDocument/2006/relationships/image" Target="../media/image2172.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png"/><Relationship Id="rId2477" Type="http://schemas.openxmlformats.org/officeDocument/2006/relationships/image" Target="../media/image2477.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1493" Type="http://schemas.openxmlformats.org/officeDocument/2006/relationships/image" Target="../media/image1493.jpeg"/><Relationship Id="rId2032" Type="http://schemas.openxmlformats.org/officeDocument/2006/relationships/image" Target="../media/image2032.jpeg"/><Relationship Id="rId2337" Type="http://schemas.openxmlformats.org/officeDocument/2006/relationships/image" Target="../media/image2337.jpeg"/><Relationship Id="rId2544" Type="http://schemas.openxmlformats.org/officeDocument/2006/relationships/image" Target="../media/image2544.jpeg"/><Relationship Id="rId211" Type="http://schemas.openxmlformats.org/officeDocument/2006/relationships/image" Target="../media/image211.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1798" Type="http://schemas.openxmlformats.org/officeDocument/2006/relationships/image" Target="../media/image1798.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60" Type="http://schemas.openxmlformats.org/officeDocument/2006/relationships/image" Target="../media/image1560.jpeg"/><Relationship Id="rId1658" Type="http://schemas.openxmlformats.org/officeDocument/2006/relationships/image" Target="../media/image1658.png"/><Relationship Id="rId1865" Type="http://schemas.openxmlformats.org/officeDocument/2006/relationships/image" Target="../media/image1865.jpeg"/><Relationship Id="rId2404" Type="http://schemas.openxmlformats.org/officeDocument/2006/relationships/image" Target="../media/image2404.jpeg"/><Relationship Id="rId2611" Type="http://schemas.openxmlformats.org/officeDocument/2006/relationships/image" Target="../media/image2611.jpeg"/><Relationship Id="rId1213" Type="http://schemas.openxmlformats.org/officeDocument/2006/relationships/image" Target="../media/image1213.jpeg"/><Relationship Id="rId1420" Type="http://schemas.openxmlformats.org/officeDocument/2006/relationships/image" Target="../media/image1420.jpeg"/><Relationship Id="rId1518" Type="http://schemas.openxmlformats.org/officeDocument/2006/relationships/image" Target="../media/image1518.jpeg"/><Relationship Id="rId1725" Type="http://schemas.openxmlformats.org/officeDocument/2006/relationships/image" Target="../media/image1725.jpeg"/><Relationship Id="rId1932" Type="http://schemas.openxmlformats.org/officeDocument/2006/relationships/image" Target="../media/image1932.jpeg"/><Relationship Id="rId17" Type="http://schemas.openxmlformats.org/officeDocument/2006/relationships/image" Target="../media/image17.jpeg"/><Relationship Id="rId2194" Type="http://schemas.openxmlformats.org/officeDocument/2006/relationships/image" Target="../media/image2194.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2054" Type="http://schemas.openxmlformats.org/officeDocument/2006/relationships/image" Target="../media/image2054.jpeg"/><Relationship Id="rId2261" Type="http://schemas.openxmlformats.org/officeDocument/2006/relationships/image" Target="../media/image2261.jpeg"/><Relationship Id="rId2499" Type="http://schemas.openxmlformats.org/officeDocument/2006/relationships/image" Target="../media/image2499.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2121" Type="http://schemas.openxmlformats.org/officeDocument/2006/relationships/image" Target="../media/image2121.jpeg"/><Relationship Id="rId2359" Type="http://schemas.openxmlformats.org/officeDocument/2006/relationships/image" Target="../media/image2359.jpeg"/><Relationship Id="rId2566" Type="http://schemas.openxmlformats.org/officeDocument/2006/relationships/image" Target="../media/image2566.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1582" Type="http://schemas.openxmlformats.org/officeDocument/2006/relationships/image" Target="../media/image1582.jpeg"/><Relationship Id="rId2219" Type="http://schemas.openxmlformats.org/officeDocument/2006/relationships/image" Target="../media/image2219.jpeg"/><Relationship Id="rId2426" Type="http://schemas.openxmlformats.org/officeDocument/2006/relationships/image" Target="../media/image2426.jpeg"/><Relationship Id="rId2633" Type="http://schemas.openxmlformats.org/officeDocument/2006/relationships/image" Target="../media/image2633.png"/><Relationship Id="rId81" Type="http://schemas.openxmlformats.org/officeDocument/2006/relationships/image" Target="../media/image8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1887" Type="http://schemas.openxmlformats.org/officeDocument/2006/relationships/image" Target="../media/image1887.jpeg"/><Relationship Id="rId1302" Type="http://schemas.openxmlformats.org/officeDocument/2006/relationships/image" Target="../media/image1302.jpeg"/><Relationship Id="rId1747" Type="http://schemas.openxmlformats.org/officeDocument/2006/relationships/image" Target="../media/image1747.jpeg"/><Relationship Id="rId1954" Type="http://schemas.openxmlformats.org/officeDocument/2006/relationships/image" Target="../media/image1954.jpeg"/><Relationship Id="rId39" Type="http://schemas.openxmlformats.org/officeDocument/2006/relationships/image" Target="../media/image39.jpeg"/><Relationship Id="rId1607" Type="http://schemas.openxmlformats.org/officeDocument/2006/relationships/image" Target="../media/image1607.jpeg"/><Relationship Id="rId1814" Type="http://schemas.openxmlformats.org/officeDocument/2006/relationships/image" Target="../media/image1814.jpeg"/><Relationship Id="rId188" Type="http://schemas.openxmlformats.org/officeDocument/2006/relationships/image" Target="../media/image188.jpeg"/><Relationship Id="rId395" Type="http://schemas.openxmlformats.org/officeDocument/2006/relationships/image" Target="../media/image395.jpeg"/><Relationship Id="rId2076" Type="http://schemas.openxmlformats.org/officeDocument/2006/relationships/image" Target="../media/image2076.png"/><Relationship Id="rId2283" Type="http://schemas.openxmlformats.org/officeDocument/2006/relationships/image" Target="../media/image2283.jpeg"/><Relationship Id="rId2490" Type="http://schemas.openxmlformats.org/officeDocument/2006/relationships/image" Target="../media/image2490.jpeg"/><Relationship Id="rId2588" Type="http://schemas.openxmlformats.org/officeDocument/2006/relationships/image" Target="../media/image2588.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397" Type="http://schemas.openxmlformats.org/officeDocument/2006/relationships/image" Target="../media/image1397.jpeg"/><Relationship Id="rId2143" Type="http://schemas.openxmlformats.org/officeDocument/2006/relationships/image" Target="../media/image2143.png"/><Relationship Id="rId2350" Type="http://schemas.openxmlformats.org/officeDocument/2006/relationships/image" Target="../media/image2350.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2003" Type="http://schemas.openxmlformats.org/officeDocument/2006/relationships/image" Target="../media/image2003.jpeg"/><Relationship Id="rId2210" Type="http://schemas.openxmlformats.org/officeDocument/2006/relationships/image" Target="../media/image2210.jpeg"/><Relationship Id="rId2448" Type="http://schemas.openxmlformats.org/officeDocument/2006/relationships/image" Target="../media/image2448.jpeg"/><Relationship Id="rId2655" Type="http://schemas.openxmlformats.org/officeDocument/2006/relationships/image" Target="../media/image2655.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1464" Type="http://schemas.openxmlformats.org/officeDocument/2006/relationships/image" Target="../media/image1464.jpeg"/><Relationship Id="rId1671" Type="http://schemas.openxmlformats.org/officeDocument/2006/relationships/image" Target="../media/image1671.jpeg"/><Relationship Id="rId2308" Type="http://schemas.openxmlformats.org/officeDocument/2006/relationships/image" Target="../media/image2308.jpeg"/><Relationship Id="rId2515" Type="http://schemas.openxmlformats.org/officeDocument/2006/relationships/image" Target="../media/image2515.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1769" Type="http://schemas.openxmlformats.org/officeDocument/2006/relationships/image" Target="../media/image1769.jpeg"/><Relationship Id="rId1976" Type="http://schemas.openxmlformats.org/officeDocument/2006/relationships/image" Target="../media/image1976.jpeg"/><Relationship Id="rId30" Type="http://schemas.openxmlformats.org/officeDocument/2006/relationships/image" Target="../media/image30.png"/><Relationship Id="rId1629" Type="http://schemas.openxmlformats.org/officeDocument/2006/relationships/image" Target="../media/image1629.jpeg"/><Relationship Id="rId1836" Type="http://schemas.openxmlformats.org/officeDocument/2006/relationships/image" Target="../media/image1836.jpeg"/><Relationship Id="rId1903" Type="http://schemas.openxmlformats.org/officeDocument/2006/relationships/image" Target="../media/image1903.jpeg"/><Relationship Id="rId2098" Type="http://schemas.openxmlformats.org/officeDocument/2006/relationships/image" Target="../media/image2098.jpeg"/><Relationship Id="rId277" Type="http://schemas.openxmlformats.org/officeDocument/2006/relationships/image" Target="../media/image277.jpeg"/><Relationship Id="rId484" Type="http://schemas.openxmlformats.org/officeDocument/2006/relationships/image" Target="../media/image484.jpeg"/><Relationship Id="rId2165" Type="http://schemas.openxmlformats.org/officeDocument/2006/relationships/image" Target="../media/image2165.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96" Type="http://schemas.openxmlformats.org/officeDocument/2006/relationships/image" Target="../media/image996.jpeg"/><Relationship Id="rId2025" Type="http://schemas.openxmlformats.org/officeDocument/2006/relationships/image" Target="../media/image2025.png"/><Relationship Id="rId2372" Type="http://schemas.openxmlformats.org/officeDocument/2006/relationships/image" Target="../media/image2372.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86" Type="http://schemas.openxmlformats.org/officeDocument/2006/relationships/image" Target="../media/image1486.jpeg"/><Relationship Id="rId2232" Type="http://schemas.openxmlformats.org/officeDocument/2006/relationships/image" Target="../media/image2232.jpeg"/><Relationship Id="rId2537" Type="http://schemas.openxmlformats.org/officeDocument/2006/relationships/image" Target="../media/image2537.jpeg"/><Relationship Id="rId204" Type="http://schemas.openxmlformats.org/officeDocument/2006/relationships/image" Target="../media/image204.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1693" Type="http://schemas.openxmlformats.org/officeDocument/2006/relationships/image" Target="../media/image1693.jpeg"/><Relationship Id="rId1998" Type="http://schemas.openxmlformats.org/officeDocument/2006/relationships/image" Target="../media/image1998.jpe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1760" Type="http://schemas.openxmlformats.org/officeDocument/2006/relationships/image" Target="../media/image1760.jpeg"/><Relationship Id="rId1858" Type="http://schemas.openxmlformats.org/officeDocument/2006/relationships/image" Target="../media/image1858.jpeg"/><Relationship Id="rId2604" Type="http://schemas.openxmlformats.org/officeDocument/2006/relationships/image" Target="../media/image2604.jpeg"/><Relationship Id="rId52" Type="http://schemas.openxmlformats.org/officeDocument/2006/relationships/image" Target="../media/image5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1718" Type="http://schemas.openxmlformats.org/officeDocument/2006/relationships/image" Target="../media/image1718.jpeg"/><Relationship Id="rId1925" Type="http://schemas.openxmlformats.org/officeDocument/2006/relationships/image" Target="../media/image1925.jpeg"/><Relationship Id="rId299" Type="http://schemas.openxmlformats.org/officeDocument/2006/relationships/image" Target="../media/image299.jpeg"/><Relationship Id="rId2187" Type="http://schemas.openxmlformats.org/officeDocument/2006/relationships/image" Target="../media/image2187.jpeg"/><Relationship Id="rId2394" Type="http://schemas.openxmlformats.org/officeDocument/2006/relationships/image" Target="../media/image2394.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047" Type="http://schemas.openxmlformats.org/officeDocument/2006/relationships/image" Target="../media/image2047.jpeg"/><Relationship Id="rId2254" Type="http://schemas.openxmlformats.org/officeDocument/2006/relationships/image" Target="../media/image2254.jpeg"/><Relationship Id="rId2461" Type="http://schemas.openxmlformats.org/officeDocument/2006/relationships/image" Target="../media/image2461.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2114" Type="http://schemas.openxmlformats.org/officeDocument/2006/relationships/image" Target="../media/image2114.jpeg"/><Relationship Id="rId2559" Type="http://schemas.openxmlformats.org/officeDocument/2006/relationships/image" Target="../media/image2559.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1782" Type="http://schemas.openxmlformats.org/officeDocument/2006/relationships/image" Target="../media/image1782.jpeg"/><Relationship Id="rId2321" Type="http://schemas.openxmlformats.org/officeDocument/2006/relationships/image" Target="../media/image2321.jpeg"/><Relationship Id="rId2419" Type="http://schemas.openxmlformats.org/officeDocument/2006/relationships/image" Target="../media/image2419.jpeg"/><Relationship Id="rId2626" Type="http://schemas.openxmlformats.org/officeDocument/2006/relationships/image" Target="../media/image2626.jpeg"/><Relationship Id="rId74" Type="http://schemas.openxmlformats.org/officeDocument/2006/relationships/image" Target="../media/image74.jpeg"/><Relationship Id="rId500" Type="http://schemas.openxmlformats.org/officeDocument/2006/relationships/image" Target="../media/image500.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1642" Type="http://schemas.openxmlformats.org/officeDocument/2006/relationships/image" Target="../media/image1642.jpeg"/><Relationship Id="rId1947" Type="http://schemas.openxmlformats.org/officeDocument/2006/relationships/image" Target="../media/image1947.jpeg"/><Relationship Id="rId1502" Type="http://schemas.openxmlformats.org/officeDocument/2006/relationships/image" Target="../media/image1502.jpeg"/><Relationship Id="rId1807" Type="http://schemas.openxmlformats.org/officeDocument/2006/relationships/image" Target="../media/image1807.jpeg"/><Relationship Id="rId290" Type="http://schemas.openxmlformats.org/officeDocument/2006/relationships/image" Target="../media/image290.png"/><Relationship Id="rId388" Type="http://schemas.openxmlformats.org/officeDocument/2006/relationships/image" Target="../media/image388.jpeg"/><Relationship Id="rId2069" Type="http://schemas.openxmlformats.org/officeDocument/2006/relationships/image" Target="../media/image2069.jpeg"/><Relationship Id="rId150" Type="http://schemas.openxmlformats.org/officeDocument/2006/relationships/image" Target="../media/image150.jpeg"/><Relationship Id="rId595" Type="http://schemas.openxmlformats.org/officeDocument/2006/relationships/image" Target="../media/image595.jpeg"/><Relationship Id="rId2276" Type="http://schemas.openxmlformats.org/officeDocument/2006/relationships/image" Target="../media/image2276.jpeg"/><Relationship Id="rId2483" Type="http://schemas.openxmlformats.org/officeDocument/2006/relationships/image" Target="../media/image2483.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2136" Type="http://schemas.openxmlformats.org/officeDocument/2006/relationships/image" Target="../media/image2136.jpeg"/><Relationship Id="rId2343" Type="http://schemas.openxmlformats.org/officeDocument/2006/relationships/image" Target="../media/image2343.jpeg"/><Relationship Id="rId2550" Type="http://schemas.openxmlformats.org/officeDocument/2006/relationships/image" Target="../media/image2550.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2203" Type="http://schemas.openxmlformats.org/officeDocument/2006/relationships/image" Target="../media/image2203.jpeg"/><Relationship Id="rId2410" Type="http://schemas.openxmlformats.org/officeDocument/2006/relationships/image" Target="../media/image2410.jpeg"/><Relationship Id="rId2648" Type="http://schemas.openxmlformats.org/officeDocument/2006/relationships/image" Target="../media/image2648.jpeg"/><Relationship Id="rId96" Type="http://schemas.openxmlformats.org/officeDocument/2006/relationships/image" Target="../media/image96.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1664" Type="http://schemas.openxmlformats.org/officeDocument/2006/relationships/image" Target="../media/image1664.jpeg"/><Relationship Id="rId1871" Type="http://schemas.openxmlformats.org/officeDocument/2006/relationships/image" Target="../media/image1871.jpeg"/><Relationship Id="rId2508" Type="http://schemas.openxmlformats.org/officeDocument/2006/relationships/image" Target="../media/image2508.jpeg"/><Relationship Id="rId1317" Type="http://schemas.openxmlformats.org/officeDocument/2006/relationships/image" Target="../media/image1317.jpeg"/><Relationship Id="rId1524" Type="http://schemas.openxmlformats.org/officeDocument/2006/relationships/image" Target="../media/image1524.jpeg"/><Relationship Id="rId1731" Type="http://schemas.openxmlformats.org/officeDocument/2006/relationships/image" Target="../media/image1731.jpeg"/><Relationship Id="rId1969" Type="http://schemas.openxmlformats.org/officeDocument/2006/relationships/image" Target="../media/image1969.jpeg"/><Relationship Id="rId23" Type="http://schemas.openxmlformats.org/officeDocument/2006/relationships/image" Target="../media/image23.png"/><Relationship Id="rId1829" Type="http://schemas.openxmlformats.org/officeDocument/2006/relationships/image" Target="../media/image1829.png"/><Relationship Id="rId2298" Type="http://schemas.openxmlformats.org/officeDocument/2006/relationships/image" Target="../media/image2298.jpeg"/><Relationship Id="rId172" Type="http://schemas.openxmlformats.org/officeDocument/2006/relationships/image" Target="../media/image172.jpeg"/><Relationship Id="rId477" Type="http://schemas.openxmlformats.org/officeDocument/2006/relationships/image" Target="../media/image477.jpeg"/><Relationship Id="rId684" Type="http://schemas.openxmlformats.org/officeDocument/2006/relationships/image" Target="../media/image684.jpeg"/><Relationship Id="rId2060" Type="http://schemas.openxmlformats.org/officeDocument/2006/relationships/image" Target="../media/image2060.jpeg"/><Relationship Id="rId2158" Type="http://schemas.openxmlformats.org/officeDocument/2006/relationships/image" Target="../media/image2158.jpeg"/><Relationship Id="rId2365" Type="http://schemas.openxmlformats.org/officeDocument/2006/relationships/image" Target="../media/image2365.jpeg"/><Relationship Id="rId337" Type="http://schemas.openxmlformats.org/officeDocument/2006/relationships/image" Target="../media/image337.jpeg"/><Relationship Id="rId891" Type="http://schemas.openxmlformats.org/officeDocument/2006/relationships/image" Target="../media/image891.jpeg"/><Relationship Id="rId989" Type="http://schemas.openxmlformats.org/officeDocument/2006/relationships/image" Target="../media/image989.jpeg"/><Relationship Id="rId2018" Type="http://schemas.openxmlformats.org/officeDocument/2006/relationships/image" Target="../media/image2018.jpeg"/><Relationship Id="rId2572" Type="http://schemas.openxmlformats.org/officeDocument/2006/relationships/image" Target="../media/image2572.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479" Type="http://schemas.openxmlformats.org/officeDocument/2006/relationships/image" Target="../media/image1479.jpeg"/><Relationship Id="rId1686" Type="http://schemas.openxmlformats.org/officeDocument/2006/relationships/image" Target="../media/image1686.jpeg"/><Relationship Id="rId2225" Type="http://schemas.openxmlformats.org/officeDocument/2006/relationships/image" Target="../media/image2225.jpeg"/><Relationship Id="rId2432" Type="http://schemas.openxmlformats.org/officeDocument/2006/relationships/image" Target="../media/image2432.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1893" Type="http://schemas.openxmlformats.org/officeDocument/2006/relationships/image" Target="../media/image1893.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1753" Type="http://schemas.openxmlformats.org/officeDocument/2006/relationships/image" Target="../media/image1753.jpeg"/><Relationship Id="rId1960" Type="http://schemas.openxmlformats.org/officeDocument/2006/relationships/image" Target="../media/image1960.jpeg"/><Relationship Id="rId45" Type="http://schemas.openxmlformats.org/officeDocument/2006/relationships/image" Target="../media/image45.jpeg"/><Relationship Id="rId1406" Type="http://schemas.openxmlformats.org/officeDocument/2006/relationships/image" Target="../media/image1406.jpeg"/><Relationship Id="rId1613" Type="http://schemas.openxmlformats.org/officeDocument/2006/relationships/image" Target="../media/image1613.jpeg"/><Relationship Id="rId1820" Type="http://schemas.openxmlformats.org/officeDocument/2006/relationships/image" Target="../media/image1820.png"/><Relationship Id="rId194" Type="http://schemas.openxmlformats.org/officeDocument/2006/relationships/image" Target="../media/image194.jpeg"/><Relationship Id="rId1918" Type="http://schemas.openxmlformats.org/officeDocument/2006/relationships/image" Target="../media/image1918.jpeg"/><Relationship Id="rId2082" Type="http://schemas.openxmlformats.org/officeDocument/2006/relationships/image" Target="../media/image2082.jpeg"/><Relationship Id="rId261" Type="http://schemas.openxmlformats.org/officeDocument/2006/relationships/image" Target="../media/image261.jpeg"/><Relationship Id="rId499" Type="http://schemas.openxmlformats.org/officeDocument/2006/relationships/image" Target="../media/image499.jpeg"/><Relationship Id="rId2387" Type="http://schemas.openxmlformats.org/officeDocument/2006/relationships/image" Target="../media/image2387.jpeg"/><Relationship Id="rId2594" Type="http://schemas.openxmlformats.org/officeDocument/2006/relationships/image" Target="../media/image2594.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2247" Type="http://schemas.openxmlformats.org/officeDocument/2006/relationships/image" Target="../media/image2247.jpeg"/><Relationship Id="rId2454" Type="http://schemas.openxmlformats.org/officeDocument/2006/relationships/image" Target="../media/image2454.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2107" Type="http://schemas.openxmlformats.org/officeDocument/2006/relationships/image" Target="../media/image2107.jpeg"/><Relationship Id="rId2314" Type="http://schemas.openxmlformats.org/officeDocument/2006/relationships/image" Target="../media/image2314.jpeg"/><Relationship Id="rId2661" Type="http://schemas.openxmlformats.org/officeDocument/2006/relationships/image" Target="../media/image2661.pn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1775" Type="http://schemas.openxmlformats.org/officeDocument/2006/relationships/image" Target="../media/image1775.jpeg"/><Relationship Id="rId2521" Type="http://schemas.openxmlformats.org/officeDocument/2006/relationships/image" Target="../media/image2521.jpeg"/><Relationship Id="rId2619" Type="http://schemas.openxmlformats.org/officeDocument/2006/relationships/image" Target="../media/image2619.jpeg"/><Relationship Id="rId67" Type="http://schemas.openxmlformats.org/officeDocument/2006/relationships/image" Target="../media/image6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635" Type="http://schemas.openxmlformats.org/officeDocument/2006/relationships/image" Target="../media/image1635.jpeg"/><Relationship Id="rId1982" Type="http://schemas.openxmlformats.org/officeDocument/2006/relationships/image" Target="../media/image1982.jpeg"/><Relationship Id="rId1842" Type="http://schemas.openxmlformats.org/officeDocument/2006/relationships/image" Target="../media/image1842.jpeg"/><Relationship Id="rId1702" Type="http://schemas.openxmlformats.org/officeDocument/2006/relationships/image" Target="../media/image1702.jpeg"/><Relationship Id="rId283" Type="http://schemas.openxmlformats.org/officeDocument/2006/relationships/image" Target="../media/image283.jpeg"/><Relationship Id="rId490" Type="http://schemas.openxmlformats.org/officeDocument/2006/relationships/image" Target="../media/image490.jpeg"/><Relationship Id="rId2171" Type="http://schemas.openxmlformats.org/officeDocument/2006/relationships/image" Target="../media/image2171.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png"/><Relationship Id="rId2031" Type="http://schemas.openxmlformats.org/officeDocument/2006/relationships/image" Target="../media/image2031.jpeg"/><Relationship Id="rId2269" Type="http://schemas.openxmlformats.org/officeDocument/2006/relationships/image" Target="../media/image2269.jpeg"/><Relationship Id="rId2476" Type="http://schemas.openxmlformats.org/officeDocument/2006/relationships/image" Target="../media/image2476.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1492" Type="http://schemas.openxmlformats.org/officeDocument/2006/relationships/image" Target="../media/image1492.jpeg"/><Relationship Id="rId2129" Type="http://schemas.openxmlformats.org/officeDocument/2006/relationships/image" Target="../media/image2129.jpeg"/><Relationship Id="rId2336" Type="http://schemas.openxmlformats.org/officeDocument/2006/relationships/image" Target="../media/image2336.jpeg"/><Relationship Id="rId2543" Type="http://schemas.openxmlformats.org/officeDocument/2006/relationships/image" Target="../media/image2543.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1797" Type="http://schemas.openxmlformats.org/officeDocument/2006/relationships/image" Target="../media/image1797.jpeg"/><Relationship Id="rId2403" Type="http://schemas.openxmlformats.org/officeDocument/2006/relationships/image" Target="../media/image2403.jpeg"/><Relationship Id="rId89" Type="http://schemas.openxmlformats.org/officeDocument/2006/relationships/image" Target="../media/image89.jpeg"/><Relationship Id="rId1005" Type="http://schemas.openxmlformats.org/officeDocument/2006/relationships/image" Target="../media/image1005.jpeg"/><Relationship Id="rId1212" Type="http://schemas.openxmlformats.org/officeDocument/2006/relationships/image" Target="../media/image1212.jpeg"/><Relationship Id="rId1657" Type="http://schemas.openxmlformats.org/officeDocument/2006/relationships/image" Target="../media/image1657.jpeg"/><Relationship Id="rId1864" Type="http://schemas.openxmlformats.org/officeDocument/2006/relationships/image" Target="../media/image1864.jpeg"/><Relationship Id="rId2610" Type="http://schemas.openxmlformats.org/officeDocument/2006/relationships/image" Target="../media/image2610.jpeg"/><Relationship Id="rId1517" Type="http://schemas.openxmlformats.org/officeDocument/2006/relationships/image" Target="../media/image1517.jpeg"/><Relationship Id="rId1724" Type="http://schemas.openxmlformats.org/officeDocument/2006/relationships/image" Target="../media/image1724.jpeg"/><Relationship Id="rId16" Type="http://schemas.openxmlformats.org/officeDocument/2006/relationships/image" Target="../media/image16.jpeg"/><Relationship Id="rId1931" Type="http://schemas.openxmlformats.org/officeDocument/2006/relationships/image" Target="../media/image1931.jpeg"/><Relationship Id="rId2193" Type="http://schemas.openxmlformats.org/officeDocument/2006/relationships/image" Target="../media/image2193.jpeg"/><Relationship Id="rId2498" Type="http://schemas.openxmlformats.org/officeDocument/2006/relationships/image" Target="../media/image2498.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2053" Type="http://schemas.openxmlformats.org/officeDocument/2006/relationships/image" Target="../media/image2053.jpeg"/><Relationship Id="rId2260" Type="http://schemas.openxmlformats.org/officeDocument/2006/relationships/image" Target="../media/image2260.jpeg"/><Relationship Id="rId2358" Type="http://schemas.openxmlformats.org/officeDocument/2006/relationships/image" Target="../media/image2358.jpeg"/><Relationship Id="rId232" Type="http://schemas.openxmlformats.org/officeDocument/2006/relationships/image" Target="../media/image232.jpeg"/><Relationship Id="rId884" Type="http://schemas.openxmlformats.org/officeDocument/2006/relationships/image" Target="../media/image884.jpeg"/><Relationship Id="rId2120" Type="http://schemas.openxmlformats.org/officeDocument/2006/relationships/image" Target="../media/image2120.jpeg"/><Relationship Id="rId2565" Type="http://schemas.openxmlformats.org/officeDocument/2006/relationships/image" Target="../media/image2565.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1581" Type="http://schemas.openxmlformats.org/officeDocument/2006/relationships/image" Target="../media/image1581.jpeg"/><Relationship Id="rId1679" Type="http://schemas.openxmlformats.org/officeDocument/2006/relationships/image" Target="../media/image1679.jpeg"/><Relationship Id="rId2218" Type="http://schemas.openxmlformats.org/officeDocument/2006/relationships/image" Target="../media/image2218.jpeg"/><Relationship Id="rId2425" Type="http://schemas.openxmlformats.org/officeDocument/2006/relationships/image" Target="../media/image2425.jpeg"/><Relationship Id="rId2632" Type="http://schemas.openxmlformats.org/officeDocument/2006/relationships/image" Target="../media/image2632.jpeg"/><Relationship Id="rId80" Type="http://schemas.openxmlformats.org/officeDocument/2006/relationships/image" Target="../media/image8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1886" Type="http://schemas.openxmlformats.org/officeDocument/2006/relationships/image" Target="../media/image1886.png"/><Relationship Id="rId909" Type="http://schemas.openxmlformats.org/officeDocument/2006/relationships/image" Target="../media/image909.jpeg"/><Relationship Id="rId1301" Type="http://schemas.openxmlformats.org/officeDocument/2006/relationships/image" Target="../media/image1301.jpeg"/><Relationship Id="rId1539" Type="http://schemas.openxmlformats.org/officeDocument/2006/relationships/image" Target="../media/image1539.jpeg"/><Relationship Id="rId1746" Type="http://schemas.openxmlformats.org/officeDocument/2006/relationships/image" Target="../media/image1746.jpeg"/><Relationship Id="rId1953" Type="http://schemas.openxmlformats.org/officeDocument/2006/relationships/image" Target="../media/image1953.jpeg"/><Relationship Id="rId38" Type="http://schemas.openxmlformats.org/officeDocument/2006/relationships/image" Target="../media/image38.jpeg"/><Relationship Id="rId1606" Type="http://schemas.openxmlformats.org/officeDocument/2006/relationships/image" Target="../media/image1606.jpeg"/><Relationship Id="rId1813" Type="http://schemas.openxmlformats.org/officeDocument/2006/relationships/image" Target="../media/image1813.jpeg"/><Relationship Id="rId187" Type="http://schemas.openxmlformats.org/officeDocument/2006/relationships/image" Target="../media/image187.jpeg"/><Relationship Id="rId394" Type="http://schemas.openxmlformats.org/officeDocument/2006/relationships/image" Target="../media/image394.jpeg"/><Relationship Id="rId2075" Type="http://schemas.openxmlformats.org/officeDocument/2006/relationships/image" Target="../media/image2075.jpeg"/><Relationship Id="rId2282" Type="http://schemas.openxmlformats.org/officeDocument/2006/relationships/image" Target="../media/image2282.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2587" Type="http://schemas.openxmlformats.org/officeDocument/2006/relationships/image" Target="../media/image2587.pn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2142" Type="http://schemas.openxmlformats.org/officeDocument/2006/relationships/image" Target="../media/image2142.jpeg"/><Relationship Id="rId2447" Type="http://schemas.openxmlformats.org/officeDocument/2006/relationships/image" Target="../media/image2447.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2002" Type="http://schemas.openxmlformats.org/officeDocument/2006/relationships/image" Target="../media/image2002.jpeg"/><Relationship Id="rId2307" Type="http://schemas.openxmlformats.org/officeDocument/2006/relationships/image" Target="../media/image2307.jpeg"/><Relationship Id="rId2654" Type="http://schemas.openxmlformats.org/officeDocument/2006/relationships/image" Target="../media/image2654.jpeg"/><Relationship Id="rId833" Type="http://schemas.openxmlformats.org/officeDocument/2006/relationships/image" Target="../media/image833.jpeg"/><Relationship Id="rId1116" Type="http://schemas.openxmlformats.org/officeDocument/2006/relationships/image" Target="../media/image1116.jpeg"/><Relationship Id="rId1463" Type="http://schemas.openxmlformats.org/officeDocument/2006/relationships/image" Target="../media/image1463.jpeg"/><Relationship Id="rId1670" Type="http://schemas.openxmlformats.org/officeDocument/2006/relationships/image" Target="../media/image1670.jpeg"/><Relationship Id="rId1768" Type="http://schemas.openxmlformats.org/officeDocument/2006/relationships/image" Target="../media/image1768.jpeg"/><Relationship Id="rId2514" Type="http://schemas.openxmlformats.org/officeDocument/2006/relationships/image" Target="../media/image2514.jpeg"/><Relationship Id="rId900" Type="http://schemas.openxmlformats.org/officeDocument/2006/relationships/image" Target="../media/image900.jpeg"/><Relationship Id="rId1323" Type="http://schemas.openxmlformats.org/officeDocument/2006/relationships/image" Target="../media/image1323.jpeg"/><Relationship Id="rId1530" Type="http://schemas.openxmlformats.org/officeDocument/2006/relationships/image" Target="../media/image1530.jpeg"/><Relationship Id="rId1628" Type="http://schemas.openxmlformats.org/officeDocument/2006/relationships/image" Target="../media/image1628.jpeg"/><Relationship Id="rId1975" Type="http://schemas.openxmlformats.org/officeDocument/2006/relationships/image" Target="../media/image1975.jpeg"/><Relationship Id="rId1835" Type="http://schemas.openxmlformats.org/officeDocument/2006/relationships/image" Target="../media/image1835.jpeg"/><Relationship Id="rId1902" Type="http://schemas.openxmlformats.org/officeDocument/2006/relationships/image" Target="../media/image1902.jpeg"/><Relationship Id="rId2097" Type="http://schemas.openxmlformats.org/officeDocument/2006/relationships/image" Target="../media/image209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2164" Type="http://schemas.openxmlformats.org/officeDocument/2006/relationships/image" Target="../media/image2164.jpeg"/><Relationship Id="rId2371" Type="http://schemas.openxmlformats.org/officeDocument/2006/relationships/image" Target="../media/image2371.jpeg"/><Relationship Id="rId136" Type="http://schemas.openxmlformats.org/officeDocument/2006/relationships/image" Target="../media/image136.pn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24" Type="http://schemas.openxmlformats.org/officeDocument/2006/relationships/image" Target="../media/image2024.jpeg"/><Relationship Id="rId2231" Type="http://schemas.openxmlformats.org/officeDocument/2006/relationships/image" Target="../media/image2231.jpeg"/><Relationship Id="rId2469" Type="http://schemas.openxmlformats.org/officeDocument/2006/relationships/image" Target="../media/image2469.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1485" Type="http://schemas.openxmlformats.org/officeDocument/2006/relationships/image" Target="../media/image1485.jpeg"/><Relationship Id="rId1692" Type="http://schemas.openxmlformats.org/officeDocument/2006/relationships/image" Target="../media/image1692.jpeg"/><Relationship Id="rId2329" Type="http://schemas.openxmlformats.org/officeDocument/2006/relationships/image" Target="../media/image2329.jpeg"/><Relationship Id="rId2536" Type="http://schemas.openxmlformats.org/officeDocument/2006/relationships/image" Target="../media/image2536.jpeg"/><Relationship Id="rId410" Type="http://schemas.openxmlformats.org/officeDocument/2006/relationships/image" Target="../media/image410.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997" Type="http://schemas.openxmlformats.org/officeDocument/2006/relationships/image" Target="../media/image1997.png"/><Relationship Id="rId2603" Type="http://schemas.openxmlformats.org/officeDocument/2006/relationships/image" Target="../media/image2603.jpeg"/><Relationship Id="rId1205" Type="http://schemas.openxmlformats.org/officeDocument/2006/relationships/image" Target="../media/image1205.jpeg"/><Relationship Id="rId1857" Type="http://schemas.openxmlformats.org/officeDocument/2006/relationships/image" Target="../media/image1857.jpeg"/><Relationship Id="rId51" Type="http://schemas.openxmlformats.org/officeDocument/2006/relationships/image" Target="../media/image51.jpeg"/><Relationship Id="rId1412" Type="http://schemas.openxmlformats.org/officeDocument/2006/relationships/image" Target="../media/image1412.jpeg"/><Relationship Id="rId1717" Type="http://schemas.openxmlformats.org/officeDocument/2006/relationships/image" Target="../media/image1717.jpeg"/><Relationship Id="rId1924" Type="http://schemas.openxmlformats.org/officeDocument/2006/relationships/image" Target="../media/image1924.jpeg"/><Relationship Id="rId298" Type="http://schemas.openxmlformats.org/officeDocument/2006/relationships/image" Target="../media/image298.jpeg"/><Relationship Id="rId158" Type="http://schemas.openxmlformats.org/officeDocument/2006/relationships/image" Target="../media/image158.jpeg"/><Relationship Id="rId2186" Type="http://schemas.openxmlformats.org/officeDocument/2006/relationships/image" Target="../media/image2186.jpeg"/><Relationship Id="rId2393" Type="http://schemas.openxmlformats.org/officeDocument/2006/relationships/image" Target="../media/image2393.jpeg"/><Relationship Id="rId365" Type="http://schemas.openxmlformats.org/officeDocument/2006/relationships/image" Target="../media/image365.png"/><Relationship Id="rId572" Type="http://schemas.openxmlformats.org/officeDocument/2006/relationships/image" Target="../media/image572.jpeg"/><Relationship Id="rId2046" Type="http://schemas.openxmlformats.org/officeDocument/2006/relationships/image" Target="../media/image2046.jpeg"/><Relationship Id="rId2253" Type="http://schemas.openxmlformats.org/officeDocument/2006/relationships/image" Target="../media/image2253.jpeg"/><Relationship Id="rId2460" Type="http://schemas.openxmlformats.org/officeDocument/2006/relationships/image" Target="../media/image2460.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2113" Type="http://schemas.openxmlformats.org/officeDocument/2006/relationships/image" Target="../media/image2113.jpeg"/><Relationship Id="rId2320" Type="http://schemas.openxmlformats.org/officeDocument/2006/relationships/image" Target="../media/image2320.jpeg"/><Relationship Id="rId2558" Type="http://schemas.openxmlformats.org/officeDocument/2006/relationships/image" Target="../media/image2558.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1574" Type="http://schemas.openxmlformats.org/officeDocument/2006/relationships/image" Target="../media/image1574.jpeg"/><Relationship Id="rId1781" Type="http://schemas.openxmlformats.org/officeDocument/2006/relationships/image" Target="../media/image1781.jpeg"/><Relationship Id="rId2418" Type="http://schemas.openxmlformats.org/officeDocument/2006/relationships/image" Target="../media/image2418.jpeg"/><Relationship Id="rId2625" Type="http://schemas.openxmlformats.org/officeDocument/2006/relationships/image" Target="../media/image2625.jpeg"/><Relationship Id="rId73" Type="http://schemas.openxmlformats.org/officeDocument/2006/relationships/image" Target="../media/image73.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1879" Type="http://schemas.openxmlformats.org/officeDocument/2006/relationships/image" Target="../media/image1879.jpeg"/><Relationship Id="rId1501" Type="http://schemas.openxmlformats.org/officeDocument/2006/relationships/image" Target="../media/image1501.jpeg"/><Relationship Id="rId1739" Type="http://schemas.openxmlformats.org/officeDocument/2006/relationships/image" Target="../media/image1739.jpeg"/><Relationship Id="rId1946" Type="http://schemas.openxmlformats.org/officeDocument/2006/relationships/image" Target="../media/image1946.jpeg"/><Relationship Id="rId1806" Type="http://schemas.openxmlformats.org/officeDocument/2006/relationships/image" Target="../media/image1806.jpeg"/><Relationship Id="rId387" Type="http://schemas.openxmlformats.org/officeDocument/2006/relationships/image" Target="../media/image387.jpeg"/><Relationship Id="rId594" Type="http://schemas.openxmlformats.org/officeDocument/2006/relationships/image" Target="../media/image594.jpeg"/><Relationship Id="rId2068" Type="http://schemas.openxmlformats.org/officeDocument/2006/relationships/image" Target="../media/image2068.jpeg"/><Relationship Id="rId2275" Type="http://schemas.openxmlformats.org/officeDocument/2006/relationships/image" Target="../media/image2275.jpeg"/><Relationship Id="rId247" Type="http://schemas.openxmlformats.org/officeDocument/2006/relationships/image" Target="../media/image247.jpeg"/><Relationship Id="rId899" Type="http://schemas.openxmlformats.org/officeDocument/2006/relationships/image" Target="../media/image899.jpeg"/><Relationship Id="rId1084" Type="http://schemas.openxmlformats.org/officeDocument/2006/relationships/image" Target="../media/image1084.jpeg"/><Relationship Id="rId2482" Type="http://schemas.openxmlformats.org/officeDocument/2006/relationships/image" Target="../media/image2482.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596" Type="http://schemas.openxmlformats.org/officeDocument/2006/relationships/image" Target="../media/image1596.jpeg"/><Relationship Id="rId2135" Type="http://schemas.openxmlformats.org/officeDocument/2006/relationships/image" Target="../media/image2135.jpeg"/><Relationship Id="rId2342" Type="http://schemas.openxmlformats.org/officeDocument/2006/relationships/image" Target="../media/image2342.jpeg"/><Relationship Id="rId2647" Type="http://schemas.openxmlformats.org/officeDocument/2006/relationships/image" Target="../media/image2647.jpeg"/><Relationship Id="rId314" Type="http://schemas.openxmlformats.org/officeDocument/2006/relationships/image" Target="../media/image314.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2202" Type="http://schemas.openxmlformats.org/officeDocument/2006/relationships/image" Target="../media/image2202.jpeg"/><Relationship Id="rId95" Type="http://schemas.openxmlformats.org/officeDocument/2006/relationships/image" Target="../media/image95.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1663" Type="http://schemas.openxmlformats.org/officeDocument/2006/relationships/image" Target="../media/image1663.jpeg"/><Relationship Id="rId1870" Type="http://schemas.openxmlformats.org/officeDocument/2006/relationships/image" Target="../media/image1870.jpeg"/><Relationship Id="rId1968" Type="http://schemas.openxmlformats.org/officeDocument/2006/relationships/image" Target="../media/image1968.jpeg"/><Relationship Id="rId2507" Type="http://schemas.openxmlformats.org/officeDocument/2006/relationships/image" Target="../media/image2507.jpeg"/><Relationship Id="rId1316" Type="http://schemas.openxmlformats.org/officeDocument/2006/relationships/image" Target="../media/image1316.jpeg"/><Relationship Id="rId1523" Type="http://schemas.openxmlformats.org/officeDocument/2006/relationships/image" Target="../media/image1523.jpeg"/><Relationship Id="rId1730" Type="http://schemas.openxmlformats.org/officeDocument/2006/relationships/image" Target="../media/image1730.jpeg"/><Relationship Id="rId22" Type="http://schemas.openxmlformats.org/officeDocument/2006/relationships/image" Target="../media/image22.png"/><Relationship Id="rId1828" Type="http://schemas.openxmlformats.org/officeDocument/2006/relationships/image" Target="../media/image1828.jpeg"/><Relationship Id="rId171" Type="http://schemas.openxmlformats.org/officeDocument/2006/relationships/image" Target="../media/image171.jpeg"/><Relationship Id="rId2297" Type="http://schemas.openxmlformats.org/officeDocument/2006/relationships/image" Target="../media/image2297.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2157" Type="http://schemas.openxmlformats.org/officeDocument/2006/relationships/image" Target="../media/image2157.jpeg"/><Relationship Id="rId2364" Type="http://schemas.openxmlformats.org/officeDocument/2006/relationships/image" Target="../media/image2364.jpeg"/><Relationship Id="rId2571" Type="http://schemas.openxmlformats.org/officeDocument/2006/relationships/image" Target="../media/image2571.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2017" Type="http://schemas.openxmlformats.org/officeDocument/2006/relationships/image" Target="../media/image2017.jpeg"/><Relationship Id="rId2224" Type="http://schemas.openxmlformats.org/officeDocument/2006/relationships/image" Target="../media/image2224.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jpeg"/><Relationship Id="rId1685" Type="http://schemas.openxmlformats.org/officeDocument/2006/relationships/image" Target="../media/image1685.jpeg"/><Relationship Id="rId1892" Type="http://schemas.openxmlformats.org/officeDocument/2006/relationships/image" Target="../media/image1892.jpeg"/><Relationship Id="rId2431" Type="http://schemas.openxmlformats.org/officeDocument/2006/relationships/image" Target="../media/image2431.jpeg"/><Relationship Id="rId2529" Type="http://schemas.openxmlformats.org/officeDocument/2006/relationships/image" Target="../media/image2529.jpeg"/><Relationship Id="rId610" Type="http://schemas.openxmlformats.org/officeDocument/2006/relationships/image" Target="../media/image610.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1545" Type="http://schemas.openxmlformats.org/officeDocument/2006/relationships/image" Target="../media/image1545.jpeg"/><Relationship Id="rId1100" Type="http://schemas.openxmlformats.org/officeDocument/2006/relationships/image" Target="../media/image1100.jpeg"/><Relationship Id="rId1405" Type="http://schemas.openxmlformats.org/officeDocument/2006/relationships/image" Target="../media/image1405.jpeg"/><Relationship Id="rId1752" Type="http://schemas.openxmlformats.org/officeDocument/2006/relationships/image" Target="../media/image1752.jpeg"/><Relationship Id="rId44" Type="http://schemas.openxmlformats.org/officeDocument/2006/relationships/image" Target="../media/image44.jpeg"/><Relationship Id="rId1612" Type="http://schemas.openxmlformats.org/officeDocument/2006/relationships/image" Target="../media/image1612.jpeg"/><Relationship Id="rId1917" Type="http://schemas.openxmlformats.org/officeDocument/2006/relationships/image" Target="../media/image1917.jpeg"/><Relationship Id="rId193" Type="http://schemas.openxmlformats.org/officeDocument/2006/relationships/image" Target="../media/image193.jpeg"/><Relationship Id="rId498" Type="http://schemas.openxmlformats.org/officeDocument/2006/relationships/image" Target="../media/image498.jpeg"/><Relationship Id="rId2081" Type="http://schemas.openxmlformats.org/officeDocument/2006/relationships/image" Target="../media/image2081.jpeg"/><Relationship Id="rId2179" Type="http://schemas.openxmlformats.org/officeDocument/2006/relationships/image" Target="../media/image2179.jpeg"/><Relationship Id="rId260" Type="http://schemas.openxmlformats.org/officeDocument/2006/relationships/image" Target="../media/image260.jpeg"/><Relationship Id="rId2386" Type="http://schemas.openxmlformats.org/officeDocument/2006/relationships/image" Target="../media/image2386.jpeg"/><Relationship Id="rId2593" Type="http://schemas.openxmlformats.org/officeDocument/2006/relationships/image" Target="../media/image2593.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2039" Type="http://schemas.openxmlformats.org/officeDocument/2006/relationships/image" Target="../media/image2039.jpeg"/><Relationship Id="rId2246" Type="http://schemas.openxmlformats.org/officeDocument/2006/relationships/image" Target="../media/image2246.jpeg"/><Relationship Id="rId2453" Type="http://schemas.openxmlformats.org/officeDocument/2006/relationships/image" Target="../media/image2453.jpeg"/><Relationship Id="rId2660" Type="http://schemas.openxmlformats.org/officeDocument/2006/relationships/image" Target="../media/image2660.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106" Type="http://schemas.openxmlformats.org/officeDocument/2006/relationships/image" Target="../media/image2106.jpeg"/><Relationship Id="rId2313" Type="http://schemas.openxmlformats.org/officeDocument/2006/relationships/image" Target="../media/image2313.jpeg"/><Relationship Id="rId2520" Type="http://schemas.openxmlformats.org/officeDocument/2006/relationships/image" Target="../media/image2520.jpeg"/><Relationship Id="rId937" Type="http://schemas.openxmlformats.org/officeDocument/2006/relationships/image" Target="../media/image937.jpeg"/><Relationship Id="rId1122" Type="http://schemas.openxmlformats.org/officeDocument/2006/relationships/image" Target="../media/image1122.jpeg"/><Relationship Id="rId1567" Type="http://schemas.openxmlformats.org/officeDocument/2006/relationships/image" Target="../media/image1567.jpeg"/><Relationship Id="rId1774" Type="http://schemas.openxmlformats.org/officeDocument/2006/relationships/image" Target="../media/image1774.jpeg"/><Relationship Id="rId1981" Type="http://schemas.openxmlformats.org/officeDocument/2006/relationships/image" Target="../media/image1981.jpeg"/><Relationship Id="rId2618" Type="http://schemas.openxmlformats.org/officeDocument/2006/relationships/image" Target="../media/image2618.jpeg"/><Relationship Id="rId66" Type="http://schemas.openxmlformats.org/officeDocument/2006/relationships/image" Target="../media/image66.jpeg"/><Relationship Id="rId1427" Type="http://schemas.openxmlformats.org/officeDocument/2006/relationships/image" Target="../media/image1427.jpeg"/><Relationship Id="rId1634" Type="http://schemas.openxmlformats.org/officeDocument/2006/relationships/image" Target="../media/image1634.jpeg"/><Relationship Id="rId1841" Type="http://schemas.openxmlformats.org/officeDocument/2006/relationships/image" Target="../media/image1841.jpeg"/><Relationship Id="rId1939" Type="http://schemas.openxmlformats.org/officeDocument/2006/relationships/image" Target="../media/image1939.jpeg"/><Relationship Id="rId1701" Type="http://schemas.openxmlformats.org/officeDocument/2006/relationships/image" Target="../media/image1701.jpeg"/><Relationship Id="rId282" Type="http://schemas.openxmlformats.org/officeDocument/2006/relationships/image" Target="../media/image282.jpeg"/><Relationship Id="rId587" Type="http://schemas.openxmlformats.org/officeDocument/2006/relationships/image" Target="../media/image587.jpeg"/><Relationship Id="rId2170" Type="http://schemas.openxmlformats.org/officeDocument/2006/relationships/image" Target="../media/image2170.jpeg"/><Relationship Id="rId2268" Type="http://schemas.openxmlformats.org/officeDocument/2006/relationships/image" Target="../media/image226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2030" Type="http://schemas.openxmlformats.org/officeDocument/2006/relationships/image" Target="../media/image2030.png"/><Relationship Id="rId2128" Type="http://schemas.openxmlformats.org/officeDocument/2006/relationships/image" Target="../media/image2128.jpeg"/><Relationship Id="rId2475" Type="http://schemas.openxmlformats.org/officeDocument/2006/relationships/image" Target="../media/image2475.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1491" Type="http://schemas.openxmlformats.org/officeDocument/2006/relationships/image" Target="../media/image1491.jpeg"/><Relationship Id="rId1589" Type="http://schemas.openxmlformats.org/officeDocument/2006/relationships/image" Target="../media/image1589.jpeg"/><Relationship Id="rId2335" Type="http://schemas.openxmlformats.org/officeDocument/2006/relationships/image" Target="../media/image2335.jpeg"/><Relationship Id="rId2542" Type="http://schemas.openxmlformats.org/officeDocument/2006/relationships/image" Target="../media/image2542.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1796" Type="http://schemas.openxmlformats.org/officeDocument/2006/relationships/image" Target="../media/image1796.jpeg"/><Relationship Id="rId2402" Type="http://schemas.openxmlformats.org/officeDocument/2006/relationships/image" Target="../media/image2402.jpeg"/><Relationship Id="rId88" Type="http://schemas.openxmlformats.org/officeDocument/2006/relationships/image" Target="../media/image8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1656" Type="http://schemas.openxmlformats.org/officeDocument/2006/relationships/image" Target="../media/image1656.jpeg"/><Relationship Id="rId1863" Type="http://schemas.openxmlformats.org/officeDocument/2006/relationships/image" Target="../media/image1863.jpeg"/><Relationship Id="rId1309" Type="http://schemas.openxmlformats.org/officeDocument/2006/relationships/image" Target="../media/image1309.jpeg"/><Relationship Id="rId1516" Type="http://schemas.openxmlformats.org/officeDocument/2006/relationships/image" Target="../media/image1516.jpeg"/><Relationship Id="rId1723" Type="http://schemas.openxmlformats.org/officeDocument/2006/relationships/image" Target="../media/image1723.jpeg"/><Relationship Id="rId1930" Type="http://schemas.openxmlformats.org/officeDocument/2006/relationships/image" Target="../media/image1930.jpeg"/><Relationship Id="rId15" Type="http://schemas.openxmlformats.org/officeDocument/2006/relationships/image" Target="../media/image15.jpeg"/><Relationship Id="rId2192" Type="http://schemas.openxmlformats.org/officeDocument/2006/relationships/image" Target="../media/image2192.jpeg"/><Relationship Id="rId164" Type="http://schemas.openxmlformats.org/officeDocument/2006/relationships/image" Target="../media/image164.jpeg"/><Relationship Id="rId371" Type="http://schemas.openxmlformats.org/officeDocument/2006/relationships/image" Target="../media/image371.jpeg"/><Relationship Id="rId2052" Type="http://schemas.openxmlformats.org/officeDocument/2006/relationships/image" Target="../media/image2052.png"/><Relationship Id="rId2497" Type="http://schemas.openxmlformats.org/officeDocument/2006/relationships/image" Target="../media/image2497.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2357" Type="http://schemas.openxmlformats.org/officeDocument/2006/relationships/image" Target="../media/image2357.jpeg"/><Relationship Id="rId2564" Type="http://schemas.openxmlformats.org/officeDocument/2006/relationships/image" Target="../media/image2564.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2217" Type="http://schemas.openxmlformats.org/officeDocument/2006/relationships/image" Target="../media/image2217.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jpeg"/><Relationship Id="rId1678" Type="http://schemas.openxmlformats.org/officeDocument/2006/relationships/image" Target="../media/image1678.jpeg"/><Relationship Id="rId1885" Type="http://schemas.openxmlformats.org/officeDocument/2006/relationships/image" Target="../media/image1885.jpeg"/><Relationship Id="rId2424" Type="http://schemas.openxmlformats.org/officeDocument/2006/relationships/image" Target="../media/image2424.jpeg"/><Relationship Id="rId2631" Type="http://schemas.openxmlformats.org/officeDocument/2006/relationships/image" Target="../media/image2631.jpeg"/><Relationship Id="rId603" Type="http://schemas.openxmlformats.org/officeDocument/2006/relationships/image" Target="../media/image603.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1538" Type="http://schemas.openxmlformats.org/officeDocument/2006/relationships/image" Target="../media/image1538.jpeg"/><Relationship Id="rId1300" Type="http://schemas.openxmlformats.org/officeDocument/2006/relationships/image" Target="../media/image1300.jpeg"/><Relationship Id="rId1745" Type="http://schemas.openxmlformats.org/officeDocument/2006/relationships/image" Target="../media/image1745.jpeg"/><Relationship Id="rId1952" Type="http://schemas.openxmlformats.org/officeDocument/2006/relationships/image" Target="../media/image1952.jpeg"/><Relationship Id="rId37" Type="http://schemas.openxmlformats.org/officeDocument/2006/relationships/image" Target="../media/image37.jpeg"/><Relationship Id="rId1605" Type="http://schemas.openxmlformats.org/officeDocument/2006/relationships/image" Target="../media/image1605.jpeg"/><Relationship Id="rId1812" Type="http://schemas.openxmlformats.org/officeDocument/2006/relationships/image" Target="../media/image1812.jpeg"/><Relationship Id="rId186" Type="http://schemas.openxmlformats.org/officeDocument/2006/relationships/image" Target="../media/image186.jpeg"/><Relationship Id="rId393" Type="http://schemas.openxmlformats.org/officeDocument/2006/relationships/image" Target="../media/image393.jpeg"/><Relationship Id="rId2074" Type="http://schemas.openxmlformats.org/officeDocument/2006/relationships/image" Target="../media/image2074.jpeg"/><Relationship Id="rId2281" Type="http://schemas.openxmlformats.org/officeDocument/2006/relationships/image" Target="../media/image228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1090" Type="http://schemas.openxmlformats.org/officeDocument/2006/relationships/image" Target="../media/image1090.jpeg"/><Relationship Id="rId2141" Type="http://schemas.openxmlformats.org/officeDocument/2006/relationships/image" Target="../media/image2141.png"/><Relationship Id="rId2379" Type="http://schemas.openxmlformats.org/officeDocument/2006/relationships/image" Target="../media/image2379.jpeg"/><Relationship Id="rId2586" Type="http://schemas.openxmlformats.org/officeDocument/2006/relationships/image" Target="../media/image2586.pn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2001" Type="http://schemas.openxmlformats.org/officeDocument/2006/relationships/image" Target="../media/image2001.jpeg"/><Relationship Id="rId2239" Type="http://schemas.openxmlformats.org/officeDocument/2006/relationships/image" Target="../media/image2239.jpeg"/><Relationship Id="rId2446" Type="http://schemas.openxmlformats.org/officeDocument/2006/relationships/image" Target="../media/image2446.jpeg"/><Relationship Id="rId2653" Type="http://schemas.openxmlformats.org/officeDocument/2006/relationships/image" Target="../media/image2653.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306" Type="http://schemas.openxmlformats.org/officeDocument/2006/relationships/image" Target="../media/image2306.jpeg"/><Relationship Id="rId2513" Type="http://schemas.openxmlformats.org/officeDocument/2006/relationships/image" Target="../media/image2513.jpeg"/><Relationship Id="rId1115" Type="http://schemas.openxmlformats.org/officeDocument/2006/relationships/image" Target="../media/image1115.jpeg"/><Relationship Id="rId1322" Type="http://schemas.openxmlformats.org/officeDocument/2006/relationships/image" Target="../media/image1322.jpeg"/><Relationship Id="rId1767" Type="http://schemas.openxmlformats.org/officeDocument/2006/relationships/image" Target="../media/image1767.jpeg"/><Relationship Id="rId1974" Type="http://schemas.openxmlformats.org/officeDocument/2006/relationships/image" Target="../media/image1974.jpeg"/><Relationship Id="rId59" Type="http://schemas.openxmlformats.org/officeDocument/2006/relationships/image" Target="../media/image59.jpeg"/><Relationship Id="rId1627" Type="http://schemas.openxmlformats.org/officeDocument/2006/relationships/image" Target="../media/image1627.jpeg"/><Relationship Id="rId1834" Type="http://schemas.openxmlformats.org/officeDocument/2006/relationships/image" Target="../media/image1834.jpeg"/><Relationship Id="rId2096" Type="http://schemas.openxmlformats.org/officeDocument/2006/relationships/image" Target="../media/image2096.jpeg"/><Relationship Id="rId1901" Type="http://schemas.openxmlformats.org/officeDocument/2006/relationships/image" Target="../media/image1901.jpeg"/><Relationship Id="rId275" Type="http://schemas.openxmlformats.org/officeDocument/2006/relationships/image" Target="../media/image275.jpeg"/><Relationship Id="rId482" Type="http://schemas.openxmlformats.org/officeDocument/2006/relationships/image" Target="../media/image482.jpeg"/><Relationship Id="rId2163" Type="http://schemas.openxmlformats.org/officeDocument/2006/relationships/image" Target="../media/image2163.png"/><Relationship Id="rId2370" Type="http://schemas.openxmlformats.org/officeDocument/2006/relationships/image" Target="../media/image2370.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png"/><Relationship Id="rId994" Type="http://schemas.openxmlformats.org/officeDocument/2006/relationships/image" Target="../media/image994.jpeg"/><Relationship Id="rId2023" Type="http://schemas.openxmlformats.org/officeDocument/2006/relationships/image" Target="../media/image2023.jpeg"/><Relationship Id="rId2230" Type="http://schemas.openxmlformats.org/officeDocument/2006/relationships/image" Target="../media/image2230.jpeg"/><Relationship Id="rId2468" Type="http://schemas.openxmlformats.org/officeDocument/2006/relationships/image" Target="../media/image2468.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1484" Type="http://schemas.openxmlformats.org/officeDocument/2006/relationships/image" Target="../media/image1484.png"/><Relationship Id="rId1691" Type="http://schemas.openxmlformats.org/officeDocument/2006/relationships/image" Target="../media/image1691.jpeg"/><Relationship Id="rId2328" Type="http://schemas.openxmlformats.org/officeDocument/2006/relationships/image" Target="../media/image2328.jpeg"/><Relationship Id="rId2535" Type="http://schemas.openxmlformats.org/officeDocument/2006/relationships/image" Target="../media/image2535.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 Id="rId1551" Type="http://schemas.openxmlformats.org/officeDocument/2006/relationships/image" Target="../media/image1551.jpeg"/><Relationship Id="rId1789" Type="http://schemas.openxmlformats.org/officeDocument/2006/relationships/image" Target="../media/image1789.jpeg"/><Relationship Id="rId1996" Type="http://schemas.openxmlformats.org/officeDocument/2006/relationships/image" Target="../media/image1996.jpeg"/><Relationship Id="rId2602" Type="http://schemas.openxmlformats.org/officeDocument/2006/relationships/image" Target="../media/image2602.jpeg"/><Relationship Id="rId50" Type="http://schemas.openxmlformats.org/officeDocument/2006/relationships/image" Target="../media/image50.jpeg"/><Relationship Id="rId1204" Type="http://schemas.openxmlformats.org/officeDocument/2006/relationships/image" Target="../media/image1204.jpeg"/><Relationship Id="rId1411" Type="http://schemas.openxmlformats.org/officeDocument/2006/relationships/image" Target="../media/image1411.jpeg"/><Relationship Id="rId1649" Type="http://schemas.openxmlformats.org/officeDocument/2006/relationships/image" Target="../media/image1649.jpeg"/><Relationship Id="rId1856" Type="http://schemas.openxmlformats.org/officeDocument/2006/relationships/image" Target="../media/image1856.jpeg"/><Relationship Id="rId1509" Type="http://schemas.openxmlformats.org/officeDocument/2006/relationships/image" Target="../media/image1509.jpeg"/><Relationship Id="rId1716" Type="http://schemas.openxmlformats.org/officeDocument/2006/relationships/image" Target="../media/image1716.jpeg"/><Relationship Id="rId1923" Type="http://schemas.openxmlformats.org/officeDocument/2006/relationships/image" Target="../media/image1923.jpeg"/><Relationship Id="rId297" Type="http://schemas.openxmlformats.org/officeDocument/2006/relationships/image" Target="../media/image297.jpeg"/><Relationship Id="rId2185" Type="http://schemas.openxmlformats.org/officeDocument/2006/relationships/image" Target="../media/image2185.jpeg"/><Relationship Id="rId2392" Type="http://schemas.openxmlformats.org/officeDocument/2006/relationships/image" Target="../media/image2392.jpeg"/><Relationship Id="rId157" Type="http://schemas.openxmlformats.org/officeDocument/2006/relationships/image" Target="../media/image157.jpeg"/><Relationship Id="rId364" Type="http://schemas.openxmlformats.org/officeDocument/2006/relationships/image" Target="../media/image364.jpeg"/><Relationship Id="rId2045" Type="http://schemas.openxmlformats.org/officeDocument/2006/relationships/image" Target="../media/image2045.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2252" Type="http://schemas.openxmlformats.org/officeDocument/2006/relationships/image" Target="../media/image2252.jpeg"/><Relationship Id="rId2557" Type="http://schemas.openxmlformats.org/officeDocument/2006/relationships/image" Target="../media/image2557.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2112" Type="http://schemas.openxmlformats.org/officeDocument/2006/relationships/image" Target="../media/image2112.jpeg"/><Relationship Id="rId2417" Type="http://schemas.openxmlformats.org/officeDocument/2006/relationships/image" Target="../media/image2417.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jpeg"/><Relationship Id="rId1780" Type="http://schemas.openxmlformats.org/officeDocument/2006/relationships/image" Target="../media/image1780.jpeg"/><Relationship Id="rId1878" Type="http://schemas.openxmlformats.org/officeDocument/2006/relationships/image" Target="../media/image1878.jpeg"/><Relationship Id="rId2624" Type="http://schemas.openxmlformats.org/officeDocument/2006/relationships/image" Target="../media/image2624.jpeg"/><Relationship Id="rId72" Type="http://schemas.openxmlformats.org/officeDocument/2006/relationships/image" Target="../media/image72.jpeg"/><Relationship Id="rId803" Type="http://schemas.openxmlformats.org/officeDocument/2006/relationships/image" Target="../media/image803.jpeg"/><Relationship Id="rId1226" Type="http://schemas.openxmlformats.org/officeDocument/2006/relationships/image" Target="../media/image1226.jpeg"/><Relationship Id="rId1433" Type="http://schemas.openxmlformats.org/officeDocument/2006/relationships/image" Target="../media/image1433.jpeg"/><Relationship Id="rId1640" Type="http://schemas.openxmlformats.org/officeDocument/2006/relationships/image" Target="../media/image1640.jpeg"/><Relationship Id="rId1738" Type="http://schemas.openxmlformats.org/officeDocument/2006/relationships/image" Target="../media/image1738.jpeg"/><Relationship Id="rId1500" Type="http://schemas.openxmlformats.org/officeDocument/2006/relationships/image" Target="../media/image1500.jpeg"/><Relationship Id="rId1945" Type="http://schemas.openxmlformats.org/officeDocument/2006/relationships/image" Target="../media/image1945.jpeg"/><Relationship Id="rId1805" Type="http://schemas.openxmlformats.org/officeDocument/2006/relationships/image" Target="../media/image1805.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2067" Type="http://schemas.openxmlformats.org/officeDocument/2006/relationships/image" Target="../media/image2067.jpeg"/><Relationship Id="rId2274" Type="http://schemas.openxmlformats.org/officeDocument/2006/relationships/image" Target="../media/image2274.jpeg"/><Relationship Id="rId2481" Type="http://schemas.openxmlformats.org/officeDocument/2006/relationships/image" Target="../media/image2481.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2134" Type="http://schemas.openxmlformats.org/officeDocument/2006/relationships/image" Target="../media/image2134.jpeg"/><Relationship Id="rId2341" Type="http://schemas.openxmlformats.org/officeDocument/2006/relationships/image" Target="../media/image2341.jpeg"/><Relationship Id="rId2579" Type="http://schemas.openxmlformats.org/officeDocument/2006/relationships/image" Target="../media/image2579.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595" Type="http://schemas.openxmlformats.org/officeDocument/2006/relationships/image" Target="../media/image1595.jpeg"/><Relationship Id="rId2439" Type="http://schemas.openxmlformats.org/officeDocument/2006/relationships/image" Target="../media/image2439.jpeg"/><Relationship Id="rId2646" Type="http://schemas.openxmlformats.org/officeDocument/2006/relationships/image" Target="../media/image2646.jpeg"/><Relationship Id="rId94" Type="http://schemas.openxmlformats.org/officeDocument/2006/relationships/image" Target="../media/image94.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1455" Type="http://schemas.openxmlformats.org/officeDocument/2006/relationships/image" Target="../media/image1455.jpeg"/><Relationship Id="rId1662" Type="http://schemas.openxmlformats.org/officeDocument/2006/relationships/image" Target="../media/image1662.jpeg"/><Relationship Id="rId2201" Type="http://schemas.openxmlformats.org/officeDocument/2006/relationships/image" Target="../media/image2201.jpeg"/><Relationship Id="rId2506" Type="http://schemas.openxmlformats.org/officeDocument/2006/relationships/image" Target="../media/image2506.jpeg"/><Relationship Id="rId1010" Type="http://schemas.openxmlformats.org/officeDocument/2006/relationships/image" Target="../media/image1010.jpeg"/><Relationship Id="rId1108" Type="http://schemas.openxmlformats.org/officeDocument/2006/relationships/image" Target="../media/image1108.jpeg"/><Relationship Id="rId1315" Type="http://schemas.openxmlformats.org/officeDocument/2006/relationships/image" Target="../media/image1315.jpeg"/><Relationship Id="rId1967" Type="http://schemas.openxmlformats.org/officeDocument/2006/relationships/image" Target="../media/image1967.jpeg"/><Relationship Id="rId1522" Type="http://schemas.openxmlformats.org/officeDocument/2006/relationships/image" Target="../media/image1522.jpeg"/><Relationship Id="rId21" Type="http://schemas.openxmlformats.org/officeDocument/2006/relationships/image" Target="../media/image21.jpeg"/><Relationship Id="rId2089" Type="http://schemas.openxmlformats.org/officeDocument/2006/relationships/image" Target="../media/image2089.jpeg"/><Relationship Id="rId2296" Type="http://schemas.openxmlformats.org/officeDocument/2006/relationships/image" Target="../media/image229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2156" Type="http://schemas.openxmlformats.org/officeDocument/2006/relationships/image" Target="../media/image2156.jpeg"/><Relationship Id="rId2363" Type="http://schemas.openxmlformats.org/officeDocument/2006/relationships/image" Target="../media/image2363.jpeg"/><Relationship Id="rId2570" Type="http://schemas.openxmlformats.org/officeDocument/2006/relationships/image" Target="../media/image2570.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172" Type="http://schemas.openxmlformats.org/officeDocument/2006/relationships/image" Target="../media/image1172.jpeg"/><Relationship Id="rId2016" Type="http://schemas.openxmlformats.org/officeDocument/2006/relationships/image" Target="../media/image2016.jpeg"/><Relationship Id="rId2223" Type="http://schemas.openxmlformats.org/officeDocument/2006/relationships/image" Target="../media/image2223.jpeg"/><Relationship Id="rId2430" Type="http://schemas.openxmlformats.org/officeDocument/2006/relationships/image" Target="../media/image2430.jpeg"/><Relationship Id="rId402" Type="http://schemas.openxmlformats.org/officeDocument/2006/relationships/image" Target="../media/image402.jpeg"/><Relationship Id="rId1032" Type="http://schemas.openxmlformats.org/officeDocument/2006/relationships/image" Target="../media/image1032.jpeg"/><Relationship Id="rId1989" Type="http://schemas.openxmlformats.org/officeDocument/2006/relationships/image" Target="../media/image1989.jpeg"/><Relationship Id="rId1849" Type="http://schemas.openxmlformats.org/officeDocument/2006/relationships/image" Target="../media/image1849.png"/><Relationship Id="rId192" Type="http://schemas.openxmlformats.org/officeDocument/2006/relationships/image" Target="../media/image192.jpeg"/><Relationship Id="rId1709" Type="http://schemas.openxmlformats.org/officeDocument/2006/relationships/image" Target="../media/image1709.jpeg"/><Relationship Id="rId1916" Type="http://schemas.openxmlformats.org/officeDocument/2006/relationships/image" Target="../media/image1916.jpeg"/><Relationship Id="rId2080" Type="http://schemas.openxmlformats.org/officeDocument/2006/relationships/image" Target="../media/image2080.jpeg"/><Relationship Id="rId869" Type="http://schemas.openxmlformats.org/officeDocument/2006/relationships/image" Target="../media/image869.jpeg"/><Relationship Id="rId1499" Type="http://schemas.openxmlformats.org/officeDocument/2006/relationships/image" Target="../media/image1499.jpeg"/><Relationship Id="rId729" Type="http://schemas.openxmlformats.org/officeDocument/2006/relationships/image" Target="../media/image729.jpeg"/><Relationship Id="rId1359" Type="http://schemas.openxmlformats.org/officeDocument/2006/relationships/image" Target="../media/image1359.jpeg"/><Relationship Id="rId936" Type="http://schemas.openxmlformats.org/officeDocument/2006/relationships/image" Target="../media/image936.jpeg"/><Relationship Id="rId1219" Type="http://schemas.openxmlformats.org/officeDocument/2006/relationships/image" Target="../media/image1219.png"/><Relationship Id="rId1566" Type="http://schemas.openxmlformats.org/officeDocument/2006/relationships/image" Target="../media/image1566.jpeg"/><Relationship Id="rId1773" Type="http://schemas.openxmlformats.org/officeDocument/2006/relationships/image" Target="../media/image1773.jpeg"/><Relationship Id="rId1980" Type="http://schemas.openxmlformats.org/officeDocument/2006/relationships/image" Target="../media/image1980.png"/><Relationship Id="rId2617" Type="http://schemas.openxmlformats.org/officeDocument/2006/relationships/image" Target="../media/image2617.jpeg"/><Relationship Id="rId65" Type="http://schemas.openxmlformats.org/officeDocument/2006/relationships/image" Target="../media/image65.jpeg"/><Relationship Id="rId1426" Type="http://schemas.openxmlformats.org/officeDocument/2006/relationships/image" Target="../media/image1426.jpeg"/><Relationship Id="rId1633" Type="http://schemas.openxmlformats.org/officeDocument/2006/relationships/image" Target="../media/image1633.jpeg"/><Relationship Id="rId1840" Type="http://schemas.openxmlformats.org/officeDocument/2006/relationships/image" Target="../media/image1840.jpeg"/><Relationship Id="rId1700" Type="http://schemas.openxmlformats.org/officeDocument/2006/relationships/image" Target="../media/image1700.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2267" Type="http://schemas.openxmlformats.org/officeDocument/2006/relationships/image" Target="../media/image2267.jpeg"/><Relationship Id="rId2474" Type="http://schemas.openxmlformats.org/officeDocument/2006/relationships/image" Target="../media/image2474.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1490" Type="http://schemas.openxmlformats.org/officeDocument/2006/relationships/image" Target="../media/image1490.jpeg"/><Relationship Id="rId2127" Type="http://schemas.openxmlformats.org/officeDocument/2006/relationships/image" Target="../media/image2127.jpeg"/><Relationship Id="rId2334" Type="http://schemas.openxmlformats.org/officeDocument/2006/relationships/image" Target="../media/image2334.jpeg"/><Relationship Id="rId306" Type="http://schemas.openxmlformats.org/officeDocument/2006/relationships/image" Target="../media/image306.jpeg"/><Relationship Id="rId860" Type="http://schemas.openxmlformats.org/officeDocument/2006/relationships/image" Target="../media/image860.jpeg"/><Relationship Id="rId1143" Type="http://schemas.openxmlformats.org/officeDocument/2006/relationships/image" Target="../media/image1143.jpeg"/><Relationship Id="rId2541" Type="http://schemas.openxmlformats.org/officeDocument/2006/relationships/image" Target="../media/image2541.jpeg"/><Relationship Id="rId513" Type="http://schemas.openxmlformats.org/officeDocument/2006/relationships/image" Target="../media/image513.jpeg"/><Relationship Id="rId720" Type="http://schemas.openxmlformats.org/officeDocument/2006/relationships/image" Target="../media/image720.jpeg"/><Relationship Id="rId1350" Type="http://schemas.openxmlformats.org/officeDocument/2006/relationships/image" Target="../media/image1350.jpeg"/><Relationship Id="rId2401" Type="http://schemas.openxmlformats.org/officeDocument/2006/relationships/image" Target="../media/image2401.jpeg"/><Relationship Id="rId1003" Type="http://schemas.openxmlformats.org/officeDocument/2006/relationships/image" Target="../media/image1003.jpeg"/><Relationship Id="rId1210" Type="http://schemas.openxmlformats.org/officeDocument/2006/relationships/image" Target="../media/image1210.jpeg"/><Relationship Id="rId2191" Type="http://schemas.openxmlformats.org/officeDocument/2006/relationships/image" Target="../media/image2191.jpeg"/><Relationship Id="rId163" Type="http://schemas.openxmlformats.org/officeDocument/2006/relationships/image" Target="../media/image163.jpeg"/><Relationship Id="rId370" Type="http://schemas.openxmlformats.org/officeDocument/2006/relationships/image" Target="../media/image370.jpeg"/><Relationship Id="rId2051" Type="http://schemas.openxmlformats.org/officeDocument/2006/relationships/image" Target="../media/image2051.jpeg"/><Relationship Id="rId230" Type="http://schemas.openxmlformats.org/officeDocument/2006/relationships/image" Target="../media/image230.jpeg"/><Relationship Id="rId1677" Type="http://schemas.openxmlformats.org/officeDocument/2006/relationships/image" Target="../media/image1677.jpeg"/><Relationship Id="rId1884" Type="http://schemas.openxmlformats.org/officeDocument/2006/relationships/image" Target="../media/image1884.png"/><Relationship Id="rId907" Type="http://schemas.openxmlformats.org/officeDocument/2006/relationships/image" Target="../media/image907.jpeg"/><Relationship Id="rId1537" Type="http://schemas.openxmlformats.org/officeDocument/2006/relationships/image" Target="../media/image1537.jpeg"/><Relationship Id="rId1744" Type="http://schemas.openxmlformats.org/officeDocument/2006/relationships/image" Target="../media/image1744.jpeg"/><Relationship Id="rId1951" Type="http://schemas.openxmlformats.org/officeDocument/2006/relationships/image" Target="../media/image1951.jpeg"/><Relationship Id="rId36" Type="http://schemas.openxmlformats.org/officeDocument/2006/relationships/image" Target="../media/image36.png"/><Relationship Id="rId1604" Type="http://schemas.openxmlformats.org/officeDocument/2006/relationships/image" Target="../media/image1604.jpeg"/><Relationship Id="rId1811" Type="http://schemas.openxmlformats.org/officeDocument/2006/relationships/image" Target="../media/image1811.jpeg"/><Relationship Id="rId697" Type="http://schemas.openxmlformats.org/officeDocument/2006/relationships/image" Target="../media/image697.jpeg"/><Relationship Id="rId2378" Type="http://schemas.openxmlformats.org/officeDocument/2006/relationships/image" Target="../media/image2378.jpeg"/><Relationship Id="rId1187" Type="http://schemas.openxmlformats.org/officeDocument/2006/relationships/image" Target="../media/image1187.jpeg"/><Relationship Id="rId2585" Type="http://schemas.openxmlformats.org/officeDocument/2006/relationships/image" Target="../media/image2585.pn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2238" Type="http://schemas.openxmlformats.org/officeDocument/2006/relationships/image" Target="../media/image2238.jpeg"/><Relationship Id="rId2445" Type="http://schemas.openxmlformats.org/officeDocument/2006/relationships/image" Target="../media/image2445.jpeg"/><Relationship Id="rId2652" Type="http://schemas.openxmlformats.org/officeDocument/2006/relationships/image" Target="../media/image2652.pn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2305" Type="http://schemas.openxmlformats.org/officeDocument/2006/relationships/image" Target="../media/image2305.jpeg"/><Relationship Id="rId2512" Type="http://schemas.openxmlformats.org/officeDocument/2006/relationships/image" Target="../media/image2512.jpeg"/><Relationship Id="rId1114" Type="http://schemas.openxmlformats.org/officeDocument/2006/relationships/image" Target="../media/image1114.jpeg"/><Relationship Id="rId1321" Type="http://schemas.openxmlformats.org/officeDocument/2006/relationships/image" Target="../media/image1321.jpeg"/><Relationship Id="rId2095" Type="http://schemas.openxmlformats.org/officeDocument/2006/relationships/image" Target="../media/image2095.jpeg"/><Relationship Id="rId274" Type="http://schemas.openxmlformats.org/officeDocument/2006/relationships/image" Target="../media/image274.jpeg"/><Relationship Id="rId481" Type="http://schemas.openxmlformats.org/officeDocument/2006/relationships/image" Target="../media/image481.jpeg"/><Relationship Id="rId2162" Type="http://schemas.openxmlformats.org/officeDocument/2006/relationships/image" Target="../media/image2162.jpeg"/><Relationship Id="rId134" Type="http://schemas.openxmlformats.org/officeDocument/2006/relationships/image" Target="../media/image134.jpeg"/><Relationship Id="rId341" Type="http://schemas.openxmlformats.org/officeDocument/2006/relationships/image" Target="../media/image341.jpeg"/><Relationship Id="rId2022" Type="http://schemas.openxmlformats.org/officeDocument/2006/relationships/image" Target="../media/image2022.jpeg"/><Relationship Id="rId201" Type="http://schemas.openxmlformats.org/officeDocument/2006/relationships/image" Target="../media/image201.jpeg"/><Relationship Id="rId1788" Type="http://schemas.openxmlformats.org/officeDocument/2006/relationships/image" Target="../media/image1788.jpeg"/><Relationship Id="rId1995" Type="http://schemas.openxmlformats.org/officeDocument/2006/relationships/image" Target="../media/image1995.jpeg"/><Relationship Id="rId1648" Type="http://schemas.openxmlformats.org/officeDocument/2006/relationships/image" Target="../media/image1648.jpeg"/><Relationship Id="rId1508" Type="http://schemas.openxmlformats.org/officeDocument/2006/relationships/image" Target="../media/image1508.jpeg"/><Relationship Id="rId1855" Type="http://schemas.openxmlformats.org/officeDocument/2006/relationships/image" Target="../media/image1855.jpeg"/><Relationship Id="rId1715" Type="http://schemas.openxmlformats.org/officeDocument/2006/relationships/image" Target="../media/image1715.jpeg"/><Relationship Id="rId1922" Type="http://schemas.openxmlformats.org/officeDocument/2006/relationships/image" Target="../media/image1922.jpeg"/><Relationship Id="rId2489" Type="http://schemas.openxmlformats.org/officeDocument/2006/relationships/image" Target="../media/image2489.jpeg"/><Relationship Id="rId668" Type="http://schemas.openxmlformats.org/officeDocument/2006/relationships/image" Target="../media/image668.jpeg"/><Relationship Id="rId875" Type="http://schemas.openxmlformats.org/officeDocument/2006/relationships/image" Target="../media/image875.jpeg"/><Relationship Id="rId1298" Type="http://schemas.openxmlformats.org/officeDocument/2006/relationships/image" Target="../media/image1298.jpeg"/><Relationship Id="rId2349" Type="http://schemas.openxmlformats.org/officeDocument/2006/relationships/image" Target="../media/image2349.jpeg"/><Relationship Id="rId2556" Type="http://schemas.openxmlformats.org/officeDocument/2006/relationships/image" Target="../media/image2556.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572" Type="http://schemas.openxmlformats.org/officeDocument/2006/relationships/image" Target="../media/image1572.jpeg"/><Relationship Id="rId2209" Type="http://schemas.openxmlformats.org/officeDocument/2006/relationships/image" Target="../media/image2209.jpeg"/><Relationship Id="rId2416" Type="http://schemas.openxmlformats.org/officeDocument/2006/relationships/image" Target="../media/image2416.jpeg"/><Relationship Id="rId2623" Type="http://schemas.openxmlformats.org/officeDocument/2006/relationships/image" Target="../media/image2623.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802" Type="http://schemas.openxmlformats.org/officeDocument/2006/relationships/image" Target="../media/image802.jpeg"/><Relationship Id="rId178" Type="http://schemas.openxmlformats.org/officeDocument/2006/relationships/image" Target="../media/image178.jpeg"/><Relationship Id="rId385" Type="http://schemas.openxmlformats.org/officeDocument/2006/relationships/image" Target="../media/image385.png"/><Relationship Id="rId592" Type="http://schemas.openxmlformats.org/officeDocument/2006/relationships/image" Target="../media/image592.jpeg"/><Relationship Id="rId2066" Type="http://schemas.openxmlformats.org/officeDocument/2006/relationships/image" Target="../media/image2066.jpeg"/><Relationship Id="rId2273" Type="http://schemas.openxmlformats.org/officeDocument/2006/relationships/image" Target="../media/image2273.jpeg"/><Relationship Id="rId2480" Type="http://schemas.openxmlformats.org/officeDocument/2006/relationships/image" Target="../media/image2480.jpeg"/><Relationship Id="rId245" Type="http://schemas.openxmlformats.org/officeDocument/2006/relationships/image" Target="../media/image245.jpeg"/><Relationship Id="rId452" Type="http://schemas.openxmlformats.org/officeDocument/2006/relationships/image" Target="../media/image452.jpeg"/><Relationship Id="rId1082" Type="http://schemas.openxmlformats.org/officeDocument/2006/relationships/image" Target="../media/image1082.jpeg"/><Relationship Id="rId2133" Type="http://schemas.openxmlformats.org/officeDocument/2006/relationships/image" Target="../media/image2133.jpeg"/><Relationship Id="rId2340" Type="http://schemas.openxmlformats.org/officeDocument/2006/relationships/image" Target="../media/image2340.jpeg"/><Relationship Id="rId105" Type="http://schemas.openxmlformats.org/officeDocument/2006/relationships/image" Target="../media/image105.jpeg"/><Relationship Id="rId312" Type="http://schemas.openxmlformats.org/officeDocument/2006/relationships/image" Target="../media/image312.jpeg"/><Relationship Id="rId2200" Type="http://schemas.openxmlformats.org/officeDocument/2006/relationships/image" Target="../media/image2200.jpeg"/><Relationship Id="rId1899" Type="http://schemas.openxmlformats.org/officeDocument/2006/relationships/image" Target="../media/image1899.jpeg"/><Relationship Id="rId1759" Type="http://schemas.openxmlformats.org/officeDocument/2006/relationships/image" Target="../media/image1759.jpeg"/><Relationship Id="rId1966" Type="http://schemas.openxmlformats.org/officeDocument/2006/relationships/image" Target="../media/image1966.jpeg"/><Relationship Id="rId1619" Type="http://schemas.openxmlformats.org/officeDocument/2006/relationships/image" Target="../media/image1619.jpeg"/><Relationship Id="rId1826" Type="http://schemas.openxmlformats.org/officeDocument/2006/relationships/image" Target="../media/image1826.jpeg"/><Relationship Id="rId779" Type="http://schemas.openxmlformats.org/officeDocument/2006/relationships/image" Target="../media/image779.jpeg"/><Relationship Id="rId986" Type="http://schemas.openxmlformats.org/officeDocument/2006/relationships/image" Target="../media/image986.jpeg"/><Relationship Id="rId639" Type="http://schemas.openxmlformats.org/officeDocument/2006/relationships/image" Target="../media/image639.jpeg"/><Relationship Id="rId1269" Type="http://schemas.openxmlformats.org/officeDocument/2006/relationships/image" Target="../media/image1269.jpeg"/><Relationship Id="rId1476" Type="http://schemas.openxmlformats.org/officeDocument/2006/relationships/image" Target="../media/image1476.jpeg"/><Relationship Id="rId846" Type="http://schemas.openxmlformats.org/officeDocument/2006/relationships/image" Target="../media/image846.jpeg"/><Relationship Id="rId1129" Type="http://schemas.openxmlformats.org/officeDocument/2006/relationships/image" Target="../media/image1129.jpeg"/><Relationship Id="rId1683" Type="http://schemas.openxmlformats.org/officeDocument/2006/relationships/image" Target="../media/image1683.jpeg"/><Relationship Id="rId1890" Type="http://schemas.openxmlformats.org/officeDocument/2006/relationships/image" Target="../media/image1890.jpeg"/><Relationship Id="rId2527" Type="http://schemas.openxmlformats.org/officeDocument/2006/relationships/image" Target="../media/image2527.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1750" Type="http://schemas.openxmlformats.org/officeDocument/2006/relationships/image" Target="../media/image1750.jpeg"/><Relationship Id="rId42" Type="http://schemas.openxmlformats.org/officeDocument/2006/relationships/image" Target="../media/image42.png"/><Relationship Id="rId1403" Type="http://schemas.openxmlformats.org/officeDocument/2006/relationships/image" Target="../media/image1403.jpeg"/><Relationship Id="rId1610" Type="http://schemas.openxmlformats.org/officeDocument/2006/relationships/image" Target="../media/image1610.jpeg"/><Relationship Id="rId289" Type="http://schemas.openxmlformats.org/officeDocument/2006/relationships/image" Target="../media/image289.jpeg"/><Relationship Id="rId496" Type="http://schemas.openxmlformats.org/officeDocument/2006/relationships/image" Target="../media/image496.jpeg"/><Relationship Id="rId2177" Type="http://schemas.openxmlformats.org/officeDocument/2006/relationships/image" Target="../media/image2177.jpeg"/><Relationship Id="rId2384" Type="http://schemas.openxmlformats.org/officeDocument/2006/relationships/image" Target="../media/image2384.jpeg"/><Relationship Id="rId2591" Type="http://schemas.openxmlformats.org/officeDocument/2006/relationships/image" Target="../media/image2591.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2037" Type="http://schemas.openxmlformats.org/officeDocument/2006/relationships/image" Target="../media/image2037.jpeg"/><Relationship Id="rId2244" Type="http://schemas.openxmlformats.org/officeDocument/2006/relationships/image" Target="../media/image2244.jpeg"/><Relationship Id="rId2451" Type="http://schemas.openxmlformats.org/officeDocument/2006/relationships/image" Target="../media/image2451.jpeg"/><Relationship Id="rId216" Type="http://schemas.openxmlformats.org/officeDocument/2006/relationships/image" Target="../media/image216.jpeg"/><Relationship Id="rId423" Type="http://schemas.openxmlformats.org/officeDocument/2006/relationships/image" Target="../media/image423.jpeg"/><Relationship Id="rId1053" Type="http://schemas.openxmlformats.org/officeDocument/2006/relationships/image" Target="../media/image1053.jpeg"/><Relationship Id="rId1260" Type="http://schemas.openxmlformats.org/officeDocument/2006/relationships/image" Target="../media/image1260.jpeg"/><Relationship Id="rId2104" Type="http://schemas.openxmlformats.org/officeDocument/2006/relationships/image" Target="../media/image2104.jpeg"/><Relationship Id="rId630" Type="http://schemas.openxmlformats.org/officeDocument/2006/relationships/image" Target="../media/image630.jpeg"/><Relationship Id="rId2311" Type="http://schemas.openxmlformats.org/officeDocument/2006/relationships/image" Target="../media/image2311.jpeg"/><Relationship Id="rId1120" Type="http://schemas.openxmlformats.org/officeDocument/2006/relationships/image" Target="../media/image1120.jpeg"/><Relationship Id="rId1937" Type="http://schemas.openxmlformats.org/officeDocument/2006/relationships/image" Target="../media/image1937.jpeg"/><Relationship Id="rId280" Type="http://schemas.openxmlformats.org/officeDocument/2006/relationships/image" Target="../media/image280.jpeg"/><Relationship Id="rId140" Type="http://schemas.openxmlformats.org/officeDocument/2006/relationships/image" Target="../media/image140.jpeg"/><Relationship Id="rId6" Type="http://schemas.openxmlformats.org/officeDocument/2006/relationships/image" Target="../media/image6.jpeg"/><Relationship Id="rId957" Type="http://schemas.openxmlformats.org/officeDocument/2006/relationships/image" Target="../media/image957.jpeg"/><Relationship Id="rId1587" Type="http://schemas.openxmlformats.org/officeDocument/2006/relationships/image" Target="../media/image1587.jpeg"/><Relationship Id="rId1794" Type="http://schemas.openxmlformats.org/officeDocument/2006/relationships/image" Target="../media/image1794.png"/><Relationship Id="rId2638" Type="http://schemas.openxmlformats.org/officeDocument/2006/relationships/image" Target="../media/image2638.jpeg"/><Relationship Id="rId86" Type="http://schemas.openxmlformats.org/officeDocument/2006/relationships/image" Target="../media/image86.jpeg"/><Relationship Id="rId817" Type="http://schemas.openxmlformats.org/officeDocument/2006/relationships/image" Target="../media/image817.jpeg"/><Relationship Id="rId1447" Type="http://schemas.openxmlformats.org/officeDocument/2006/relationships/image" Target="../media/image1447.jpeg"/><Relationship Id="rId1654" Type="http://schemas.openxmlformats.org/officeDocument/2006/relationships/image" Target="../media/image1654.jpeg"/><Relationship Id="rId1861" Type="http://schemas.openxmlformats.org/officeDocument/2006/relationships/image" Target="../media/image1861.jpeg"/><Relationship Id="rId1307" Type="http://schemas.openxmlformats.org/officeDocument/2006/relationships/image" Target="../media/image1307.jpeg"/><Relationship Id="rId1514" Type="http://schemas.openxmlformats.org/officeDocument/2006/relationships/image" Target="../media/image1514.jpeg"/><Relationship Id="rId1721" Type="http://schemas.openxmlformats.org/officeDocument/2006/relationships/image" Target="../media/image1721.jpeg"/><Relationship Id="rId13" Type="http://schemas.openxmlformats.org/officeDocument/2006/relationships/image" Target="../media/image13.jpeg"/><Relationship Id="rId2288" Type="http://schemas.openxmlformats.org/officeDocument/2006/relationships/image" Target="../media/image2288.jpeg"/><Relationship Id="rId2495" Type="http://schemas.openxmlformats.org/officeDocument/2006/relationships/image" Target="../media/image2495.jpeg"/><Relationship Id="rId467" Type="http://schemas.openxmlformats.org/officeDocument/2006/relationships/image" Target="../media/image467.jpeg"/><Relationship Id="rId1097" Type="http://schemas.openxmlformats.org/officeDocument/2006/relationships/image" Target="../media/image1097.jpeg"/><Relationship Id="rId2148" Type="http://schemas.openxmlformats.org/officeDocument/2006/relationships/image" Target="../media/image2148.jpeg"/><Relationship Id="rId674" Type="http://schemas.openxmlformats.org/officeDocument/2006/relationships/image" Target="../media/image674.jpeg"/><Relationship Id="rId881" Type="http://schemas.openxmlformats.org/officeDocument/2006/relationships/image" Target="../media/image881.jpeg"/><Relationship Id="rId2355" Type="http://schemas.openxmlformats.org/officeDocument/2006/relationships/image" Target="../media/image2355.jpeg"/><Relationship Id="rId2562" Type="http://schemas.openxmlformats.org/officeDocument/2006/relationships/image" Target="../media/image2562.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1164" Type="http://schemas.openxmlformats.org/officeDocument/2006/relationships/image" Target="../media/image1164.jpeg"/><Relationship Id="rId1371" Type="http://schemas.openxmlformats.org/officeDocument/2006/relationships/image" Target="../media/image1371.jpeg"/><Relationship Id="rId2008" Type="http://schemas.openxmlformats.org/officeDocument/2006/relationships/image" Target="../media/image2008.jpeg"/><Relationship Id="rId2215" Type="http://schemas.openxmlformats.org/officeDocument/2006/relationships/image" Target="../media/image2215.jpeg"/><Relationship Id="rId2422" Type="http://schemas.openxmlformats.org/officeDocument/2006/relationships/image" Target="../media/image2422.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184" Type="http://schemas.openxmlformats.org/officeDocument/2006/relationships/image" Target="../media/image184.png"/><Relationship Id="rId391" Type="http://schemas.openxmlformats.org/officeDocument/2006/relationships/image" Target="../media/image391.jpeg"/><Relationship Id="rId1908" Type="http://schemas.openxmlformats.org/officeDocument/2006/relationships/image" Target="../media/image1908.jpeg"/><Relationship Id="rId2072" Type="http://schemas.openxmlformats.org/officeDocument/2006/relationships/image" Target="../media/image2072.jpeg"/><Relationship Id="rId251" Type="http://schemas.openxmlformats.org/officeDocument/2006/relationships/image" Target="../media/image251.jpeg"/><Relationship Id="rId111" Type="http://schemas.openxmlformats.org/officeDocument/2006/relationships/image" Target="../media/image111.jpeg"/><Relationship Id="rId1698" Type="http://schemas.openxmlformats.org/officeDocument/2006/relationships/image" Target="../media/image1698.jpeg"/><Relationship Id="rId928" Type="http://schemas.openxmlformats.org/officeDocument/2006/relationships/image" Target="../media/image928.jpeg"/><Relationship Id="rId1558" Type="http://schemas.openxmlformats.org/officeDocument/2006/relationships/image" Target="../media/image1558.jpeg"/><Relationship Id="rId1765" Type="http://schemas.openxmlformats.org/officeDocument/2006/relationships/image" Target="../media/image1765.jpeg"/><Relationship Id="rId2609" Type="http://schemas.openxmlformats.org/officeDocument/2006/relationships/image" Target="../media/image2609.png"/><Relationship Id="rId57" Type="http://schemas.openxmlformats.org/officeDocument/2006/relationships/image" Target="../media/image57.jpeg"/><Relationship Id="rId1418" Type="http://schemas.openxmlformats.org/officeDocument/2006/relationships/image" Target="../media/image1418.jpeg"/><Relationship Id="rId1972" Type="http://schemas.openxmlformats.org/officeDocument/2006/relationships/image" Target="../media/image1972.jpeg"/><Relationship Id="rId1625" Type="http://schemas.openxmlformats.org/officeDocument/2006/relationships/image" Target="../media/image1625.jpeg"/><Relationship Id="rId1832" Type="http://schemas.openxmlformats.org/officeDocument/2006/relationships/image" Target="../media/image1832.jpeg"/><Relationship Id="rId2399" Type="http://schemas.openxmlformats.org/officeDocument/2006/relationships/image" Target="../media/image2399.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259" Type="http://schemas.openxmlformats.org/officeDocument/2006/relationships/image" Target="../media/image2259.jpeg"/><Relationship Id="rId2466" Type="http://schemas.openxmlformats.org/officeDocument/2006/relationships/image" Target="../media/image2466.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1482" Type="http://schemas.openxmlformats.org/officeDocument/2006/relationships/image" Target="../media/image1482.png"/><Relationship Id="rId2119" Type="http://schemas.openxmlformats.org/officeDocument/2006/relationships/image" Target="../media/image2119.jpeg"/><Relationship Id="rId2326" Type="http://schemas.openxmlformats.org/officeDocument/2006/relationships/image" Target="../media/image2326.jpeg"/><Relationship Id="rId2533" Type="http://schemas.openxmlformats.org/officeDocument/2006/relationships/image" Target="../media/image2533.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1202" Type="http://schemas.openxmlformats.org/officeDocument/2006/relationships/image" Target="../media/image1202.jpeg"/><Relationship Id="rId2600" Type="http://schemas.openxmlformats.org/officeDocument/2006/relationships/image" Target="../media/image2600.jpeg"/><Relationship Id="rId295" Type="http://schemas.openxmlformats.org/officeDocument/2006/relationships/image" Target="../media/image295.jpeg"/><Relationship Id="rId2183" Type="http://schemas.openxmlformats.org/officeDocument/2006/relationships/image" Target="../media/image2183.jpeg"/><Relationship Id="rId2390" Type="http://schemas.openxmlformats.org/officeDocument/2006/relationships/image" Target="../media/image2390.jpeg"/><Relationship Id="rId155" Type="http://schemas.openxmlformats.org/officeDocument/2006/relationships/image" Target="../media/image155.jpeg"/><Relationship Id="rId362" Type="http://schemas.openxmlformats.org/officeDocument/2006/relationships/image" Target="../media/image362.jpeg"/><Relationship Id="rId2043" Type="http://schemas.openxmlformats.org/officeDocument/2006/relationships/image" Target="../media/image2043.jpeg"/><Relationship Id="rId2250" Type="http://schemas.openxmlformats.org/officeDocument/2006/relationships/image" Target="../media/image2250.jpeg"/><Relationship Id="rId222" Type="http://schemas.openxmlformats.org/officeDocument/2006/relationships/image" Target="../media/image222.jpeg"/><Relationship Id="rId2110" Type="http://schemas.openxmlformats.org/officeDocument/2006/relationships/image" Target="../media/image2110.jpeg"/><Relationship Id="rId1669" Type="http://schemas.openxmlformats.org/officeDocument/2006/relationships/image" Target="../media/image1669.jpeg"/><Relationship Id="rId1876" Type="http://schemas.openxmlformats.org/officeDocument/2006/relationships/image" Target="../media/image1876.jpeg"/><Relationship Id="rId1529" Type="http://schemas.openxmlformats.org/officeDocument/2006/relationships/image" Target="../media/image1529.jpeg"/><Relationship Id="rId1736" Type="http://schemas.openxmlformats.org/officeDocument/2006/relationships/image" Target="../media/image1736.jpeg"/><Relationship Id="rId1943" Type="http://schemas.openxmlformats.org/officeDocument/2006/relationships/image" Target="../media/image1943.jpeg"/><Relationship Id="rId28" Type="http://schemas.openxmlformats.org/officeDocument/2006/relationships/image" Target="../media/image28.png"/><Relationship Id="rId1803" Type="http://schemas.openxmlformats.org/officeDocument/2006/relationships/image" Target="../media/image1803.jpeg"/><Relationship Id="rId689" Type="http://schemas.openxmlformats.org/officeDocument/2006/relationships/image" Target="../media/image689.jpeg"/><Relationship Id="rId896" Type="http://schemas.openxmlformats.org/officeDocument/2006/relationships/image" Target="../media/image896.jpeg"/><Relationship Id="rId2577" Type="http://schemas.openxmlformats.org/officeDocument/2006/relationships/image" Target="../media/image2577.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1593" Type="http://schemas.openxmlformats.org/officeDocument/2006/relationships/image" Target="../media/image1593.jpeg"/><Relationship Id="rId2437" Type="http://schemas.openxmlformats.org/officeDocument/2006/relationships/image" Target="../media/image2437.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2644" Type="http://schemas.openxmlformats.org/officeDocument/2006/relationships/image" Target="../media/image2644.png"/><Relationship Id="rId92" Type="http://schemas.openxmlformats.org/officeDocument/2006/relationships/image" Target="../media/image92.pn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1660" Type="http://schemas.openxmlformats.org/officeDocument/2006/relationships/image" Target="../media/image1660.jpeg"/><Relationship Id="rId2504" Type="http://schemas.openxmlformats.org/officeDocument/2006/relationships/image" Target="../media/image2504.jpeg"/><Relationship Id="rId1106" Type="http://schemas.openxmlformats.org/officeDocument/2006/relationships/image" Target="../media/image1106.jpeg"/><Relationship Id="rId1313" Type="http://schemas.openxmlformats.org/officeDocument/2006/relationships/image" Target="../media/image1313.jpeg"/><Relationship Id="rId1520" Type="http://schemas.openxmlformats.org/officeDocument/2006/relationships/image" Target="../media/image1520.jpeg"/><Relationship Id="rId199" Type="http://schemas.openxmlformats.org/officeDocument/2006/relationships/image" Target="../media/image199.jpeg"/><Relationship Id="rId2087" Type="http://schemas.openxmlformats.org/officeDocument/2006/relationships/image" Target="../media/image2087.jpeg"/><Relationship Id="rId2294" Type="http://schemas.openxmlformats.org/officeDocument/2006/relationships/image" Target="../media/image2294.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2154" Type="http://schemas.openxmlformats.org/officeDocument/2006/relationships/image" Target="../media/image2154.jpeg"/><Relationship Id="rId2361" Type="http://schemas.openxmlformats.org/officeDocument/2006/relationships/image" Target="../media/image2361.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1170" Type="http://schemas.openxmlformats.org/officeDocument/2006/relationships/image" Target="../media/image1170.jpeg"/><Relationship Id="rId2014" Type="http://schemas.openxmlformats.org/officeDocument/2006/relationships/image" Target="../media/image2014.jpeg"/><Relationship Id="rId2221" Type="http://schemas.openxmlformats.org/officeDocument/2006/relationships/image" Target="../media/image2221.jpeg"/><Relationship Id="rId1030" Type="http://schemas.openxmlformats.org/officeDocument/2006/relationships/image" Target="../media/image1030.jpeg"/><Relationship Id="rId400" Type="http://schemas.openxmlformats.org/officeDocument/2006/relationships/image" Target="../media/image400.jpeg"/><Relationship Id="rId1987" Type="http://schemas.openxmlformats.org/officeDocument/2006/relationships/image" Target="../media/image1987.jpeg"/><Relationship Id="rId1847" Type="http://schemas.openxmlformats.org/officeDocument/2006/relationships/image" Target="../media/image1847.jpeg"/><Relationship Id="rId1707" Type="http://schemas.openxmlformats.org/officeDocument/2006/relationships/image" Target="../media/image1707.jpeg"/><Relationship Id="rId190" Type="http://schemas.openxmlformats.org/officeDocument/2006/relationships/image" Target="../media/image190.jpeg"/><Relationship Id="rId1914" Type="http://schemas.openxmlformats.org/officeDocument/2006/relationships/image" Target="../media/image1914.jpeg"/><Relationship Id="rId867" Type="http://schemas.openxmlformats.org/officeDocument/2006/relationships/image" Target="../media/image867.jpeg"/><Relationship Id="rId1497" Type="http://schemas.openxmlformats.org/officeDocument/2006/relationships/image" Target="../media/image1497.jpeg"/><Relationship Id="rId2548" Type="http://schemas.openxmlformats.org/officeDocument/2006/relationships/image" Target="../media/image2548.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1771" Type="http://schemas.openxmlformats.org/officeDocument/2006/relationships/image" Target="../media/image1771.jpeg"/><Relationship Id="rId2408" Type="http://schemas.openxmlformats.org/officeDocument/2006/relationships/image" Target="../media/image2408.jpeg"/><Relationship Id="rId2615" Type="http://schemas.openxmlformats.org/officeDocument/2006/relationships/image" Target="../media/image2615.jpeg"/><Relationship Id="rId63" Type="http://schemas.openxmlformats.org/officeDocument/2006/relationships/image" Target="../media/image63.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2198" Type="http://schemas.openxmlformats.org/officeDocument/2006/relationships/image" Target="../media/image2198.jpeg"/><Relationship Id="rId377" Type="http://schemas.openxmlformats.org/officeDocument/2006/relationships/image" Target="../media/image377.jpeg"/><Relationship Id="rId584" Type="http://schemas.openxmlformats.org/officeDocument/2006/relationships/image" Target="../media/image584.jpeg"/><Relationship Id="rId2058" Type="http://schemas.openxmlformats.org/officeDocument/2006/relationships/image" Target="../media/image2058.jpeg"/><Relationship Id="rId2265" Type="http://schemas.openxmlformats.org/officeDocument/2006/relationships/image" Target="../media/image2265.jpeg"/><Relationship Id="rId237" Type="http://schemas.openxmlformats.org/officeDocument/2006/relationships/image" Target="../media/image237.jpeg"/><Relationship Id="rId791" Type="http://schemas.openxmlformats.org/officeDocument/2006/relationships/image" Target="../media/image791.jpeg"/><Relationship Id="rId1074" Type="http://schemas.openxmlformats.org/officeDocument/2006/relationships/image" Target="../media/image1074.jpeg"/><Relationship Id="rId2472" Type="http://schemas.openxmlformats.org/officeDocument/2006/relationships/image" Target="../media/image2472.jpeg"/><Relationship Id="rId444" Type="http://schemas.openxmlformats.org/officeDocument/2006/relationships/image" Target="../media/image444.jpeg"/><Relationship Id="rId651" Type="http://schemas.openxmlformats.org/officeDocument/2006/relationships/image" Target="../media/image651.jpeg"/><Relationship Id="rId1281" Type="http://schemas.openxmlformats.org/officeDocument/2006/relationships/image" Target="../media/image1281.jpeg"/><Relationship Id="rId2125" Type="http://schemas.openxmlformats.org/officeDocument/2006/relationships/image" Target="../media/image2125.png"/><Relationship Id="rId2332" Type="http://schemas.openxmlformats.org/officeDocument/2006/relationships/image" Target="../media/image2332.jpeg"/><Relationship Id="rId304" Type="http://schemas.openxmlformats.org/officeDocument/2006/relationships/image" Target="../media/image304.jpeg"/><Relationship Id="rId511" Type="http://schemas.openxmlformats.org/officeDocument/2006/relationships/image" Target="../media/image511.jpeg"/><Relationship Id="rId1141" Type="http://schemas.openxmlformats.org/officeDocument/2006/relationships/image" Target="../media/image1141.jpeg"/><Relationship Id="rId1001" Type="http://schemas.openxmlformats.org/officeDocument/2006/relationships/image" Target="../media/image1001.jpeg"/><Relationship Id="rId1958" Type="http://schemas.openxmlformats.org/officeDocument/2006/relationships/image" Target="../media/image1958.jpeg"/><Relationship Id="rId1818" Type="http://schemas.openxmlformats.org/officeDocument/2006/relationships/image" Target="../media/image1818.png"/><Relationship Id="rId161" Type="http://schemas.openxmlformats.org/officeDocument/2006/relationships/image" Target="../media/image161.jpeg"/><Relationship Id="rId978" Type="http://schemas.openxmlformats.org/officeDocument/2006/relationships/image" Target="../media/image978.jpeg"/><Relationship Id="rId2659" Type="http://schemas.openxmlformats.org/officeDocument/2006/relationships/image" Target="../media/image2659.jpeg"/><Relationship Id="rId838" Type="http://schemas.openxmlformats.org/officeDocument/2006/relationships/image" Target="../media/image838.jpeg"/><Relationship Id="rId1468" Type="http://schemas.openxmlformats.org/officeDocument/2006/relationships/image" Target="../media/image1468.jpeg"/><Relationship Id="rId1675" Type="http://schemas.openxmlformats.org/officeDocument/2006/relationships/image" Target="../media/image1675.jpeg"/><Relationship Id="rId1882" Type="http://schemas.openxmlformats.org/officeDocument/2006/relationships/image" Target="../media/image1882.jpeg"/><Relationship Id="rId2519" Type="http://schemas.openxmlformats.org/officeDocument/2006/relationships/image" Target="../media/image2519.jpeg"/><Relationship Id="rId1328" Type="http://schemas.openxmlformats.org/officeDocument/2006/relationships/image" Target="../media/image1328.jpeg"/><Relationship Id="rId1535" Type="http://schemas.openxmlformats.org/officeDocument/2006/relationships/image" Target="../media/image1535.jpeg"/><Relationship Id="rId905" Type="http://schemas.openxmlformats.org/officeDocument/2006/relationships/image" Target="../media/image905.jpeg"/><Relationship Id="rId1742" Type="http://schemas.openxmlformats.org/officeDocument/2006/relationships/image" Target="../media/image1742.jpeg"/><Relationship Id="rId34" Type="http://schemas.openxmlformats.org/officeDocument/2006/relationships/image" Target="../media/image34.png"/><Relationship Id="rId1602" Type="http://schemas.openxmlformats.org/officeDocument/2006/relationships/image" Target="../media/image1602.jpeg"/><Relationship Id="rId488" Type="http://schemas.openxmlformats.org/officeDocument/2006/relationships/image" Target="../media/image488.jpeg"/><Relationship Id="rId695" Type="http://schemas.openxmlformats.org/officeDocument/2006/relationships/image" Target="../media/image695.jpeg"/><Relationship Id="rId2169" Type="http://schemas.openxmlformats.org/officeDocument/2006/relationships/image" Target="../media/image2169.jpeg"/><Relationship Id="rId2376" Type="http://schemas.openxmlformats.org/officeDocument/2006/relationships/image" Target="../media/image2376.jpeg"/><Relationship Id="rId2583" Type="http://schemas.openxmlformats.org/officeDocument/2006/relationships/image" Target="../media/image2583.pn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2029" Type="http://schemas.openxmlformats.org/officeDocument/2006/relationships/image" Target="../media/image2029.jpeg"/><Relationship Id="rId2236" Type="http://schemas.openxmlformats.org/officeDocument/2006/relationships/image" Target="../media/image2236.jpeg"/><Relationship Id="rId2443" Type="http://schemas.openxmlformats.org/officeDocument/2006/relationships/image" Target="../media/image2443.jpeg"/><Relationship Id="rId2650" Type="http://schemas.openxmlformats.org/officeDocument/2006/relationships/image" Target="../media/image2650.pn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303" Type="http://schemas.openxmlformats.org/officeDocument/2006/relationships/image" Target="../media/image2303.jpeg"/><Relationship Id="rId2510" Type="http://schemas.openxmlformats.org/officeDocument/2006/relationships/image" Target="../media/image2510.jpeg"/><Relationship Id="rId1112" Type="http://schemas.openxmlformats.org/officeDocument/2006/relationships/image" Target="../media/image1112.jpeg"/><Relationship Id="rId1929" Type="http://schemas.openxmlformats.org/officeDocument/2006/relationships/image" Target="../media/image1929.jpeg"/><Relationship Id="rId2093" Type="http://schemas.openxmlformats.org/officeDocument/2006/relationships/image" Target="../media/image2093.jpeg"/><Relationship Id="rId272" Type="http://schemas.openxmlformats.org/officeDocument/2006/relationships/image" Target="../media/image272.jpeg"/><Relationship Id="rId2160" Type="http://schemas.openxmlformats.org/officeDocument/2006/relationships/image" Target="../media/image2160.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2</xdr:col>
      <xdr:colOff>1733550</xdr:colOff>
      <xdr:row>2</xdr:row>
      <xdr:rowOff>1524000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 y="495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xdr:row>
      <xdr:rowOff>9525</xdr:rowOff>
    </xdr:from>
    <xdr:to>
      <xdr:col>2</xdr:col>
      <xdr:colOff>1733550</xdr:colOff>
      <xdr:row>3</xdr:row>
      <xdr:rowOff>1524000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2247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xdr:row>
      <xdr:rowOff>9525</xdr:rowOff>
    </xdr:from>
    <xdr:to>
      <xdr:col>2</xdr:col>
      <xdr:colOff>1733550</xdr:colOff>
      <xdr:row>4</xdr:row>
      <xdr:rowOff>1524000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4000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xdr:row>
      <xdr:rowOff>9525</xdr:rowOff>
    </xdr:from>
    <xdr:to>
      <xdr:col>2</xdr:col>
      <xdr:colOff>1733550</xdr:colOff>
      <xdr:row>5</xdr:row>
      <xdr:rowOff>1524000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5753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xdr:row>
      <xdr:rowOff>9525</xdr:rowOff>
    </xdr:from>
    <xdr:to>
      <xdr:col>2</xdr:col>
      <xdr:colOff>1733550</xdr:colOff>
      <xdr:row>6</xdr:row>
      <xdr:rowOff>1524000</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7505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xdr:row>
      <xdr:rowOff>9525</xdr:rowOff>
    </xdr:from>
    <xdr:to>
      <xdr:col>2</xdr:col>
      <xdr:colOff>1733550</xdr:colOff>
      <xdr:row>7</xdr:row>
      <xdr:rowOff>1524000</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9258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xdr:row>
      <xdr:rowOff>19050</xdr:rowOff>
    </xdr:from>
    <xdr:to>
      <xdr:col>2</xdr:col>
      <xdr:colOff>1733550</xdr:colOff>
      <xdr:row>8</xdr:row>
      <xdr:rowOff>1666875</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1020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xdr:row>
      <xdr:rowOff>19050</xdr:rowOff>
    </xdr:from>
    <xdr:to>
      <xdr:col>2</xdr:col>
      <xdr:colOff>1733550</xdr:colOff>
      <xdr:row>9</xdr:row>
      <xdr:rowOff>1666875</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8725" y="12934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xdr:row>
      <xdr:rowOff>19050</xdr:rowOff>
    </xdr:from>
    <xdr:to>
      <xdr:col>2</xdr:col>
      <xdr:colOff>1733550</xdr:colOff>
      <xdr:row>10</xdr:row>
      <xdr:rowOff>1666875</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1484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xdr:row>
      <xdr:rowOff>19050</xdr:rowOff>
    </xdr:from>
    <xdr:to>
      <xdr:col>2</xdr:col>
      <xdr:colOff>1733550</xdr:colOff>
      <xdr:row>11</xdr:row>
      <xdr:rowOff>1647825</xdr:rowOff>
    </xdr:to>
    <xdr:pic>
      <xdr:nvPicPr>
        <xdr:cNvPr id="11"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8725" y="16764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xdr:row>
      <xdr:rowOff>19050</xdr:rowOff>
    </xdr:from>
    <xdr:to>
      <xdr:col>2</xdr:col>
      <xdr:colOff>1733550</xdr:colOff>
      <xdr:row>12</xdr:row>
      <xdr:rowOff>1666875</xdr:rowOff>
    </xdr:to>
    <xdr:pic>
      <xdr:nvPicPr>
        <xdr:cNvPr id="12"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1865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xdr:row>
      <xdr:rowOff>19050</xdr:rowOff>
    </xdr:from>
    <xdr:to>
      <xdr:col>2</xdr:col>
      <xdr:colOff>1733550</xdr:colOff>
      <xdr:row>13</xdr:row>
      <xdr:rowOff>1666875</xdr:rowOff>
    </xdr:to>
    <xdr:pic>
      <xdr:nvPicPr>
        <xdr:cNvPr id="13"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8725" y="20574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xdr:row>
      <xdr:rowOff>9525</xdr:rowOff>
    </xdr:from>
    <xdr:to>
      <xdr:col>2</xdr:col>
      <xdr:colOff>1733550</xdr:colOff>
      <xdr:row>14</xdr:row>
      <xdr:rowOff>1524000</xdr:rowOff>
    </xdr:to>
    <xdr:pic>
      <xdr:nvPicPr>
        <xdr:cNvPr id="14"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28725" y="22479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xdr:row>
      <xdr:rowOff>9525</xdr:rowOff>
    </xdr:from>
    <xdr:to>
      <xdr:col>2</xdr:col>
      <xdr:colOff>1733550</xdr:colOff>
      <xdr:row>15</xdr:row>
      <xdr:rowOff>1524000</xdr:rowOff>
    </xdr:to>
    <xdr:pic>
      <xdr:nvPicPr>
        <xdr:cNvPr id="15"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725" y="24231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xdr:row>
      <xdr:rowOff>9525</xdr:rowOff>
    </xdr:from>
    <xdr:to>
      <xdr:col>2</xdr:col>
      <xdr:colOff>1733550</xdr:colOff>
      <xdr:row>16</xdr:row>
      <xdr:rowOff>1524000</xdr:rowOff>
    </xdr:to>
    <xdr:pic>
      <xdr:nvPicPr>
        <xdr:cNvPr id="16"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25984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xdr:row>
      <xdr:rowOff>9525</xdr:rowOff>
    </xdr:from>
    <xdr:to>
      <xdr:col>2</xdr:col>
      <xdr:colOff>1733550</xdr:colOff>
      <xdr:row>17</xdr:row>
      <xdr:rowOff>1524000</xdr:rowOff>
    </xdr:to>
    <xdr:pic>
      <xdr:nvPicPr>
        <xdr:cNvPr id="17"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27736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xdr:row>
      <xdr:rowOff>9525</xdr:rowOff>
    </xdr:from>
    <xdr:to>
      <xdr:col>2</xdr:col>
      <xdr:colOff>1733550</xdr:colOff>
      <xdr:row>18</xdr:row>
      <xdr:rowOff>1524000</xdr:rowOff>
    </xdr:to>
    <xdr:pic>
      <xdr:nvPicPr>
        <xdr:cNvPr id="18"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5" y="29489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xdr:row>
      <xdr:rowOff>9525</xdr:rowOff>
    </xdr:from>
    <xdr:to>
      <xdr:col>2</xdr:col>
      <xdr:colOff>1733550</xdr:colOff>
      <xdr:row>19</xdr:row>
      <xdr:rowOff>1524000</xdr:rowOff>
    </xdr:to>
    <xdr:pic>
      <xdr:nvPicPr>
        <xdr:cNvPr id="19"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5" y="31242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xdr:row>
      <xdr:rowOff>9525</xdr:rowOff>
    </xdr:from>
    <xdr:to>
      <xdr:col>2</xdr:col>
      <xdr:colOff>1733550</xdr:colOff>
      <xdr:row>20</xdr:row>
      <xdr:rowOff>1524000</xdr:rowOff>
    </xdr:to>
    <xdr:pic>
      <xdr:nvPicPr>
        <xdr:cNvPr id="20"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28725" y="32994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xdr:row>
      <xdr:rowOff>19050</xdr:rowOff>
    </xdr:from>
    <xdr:to>
      <xdr:col>2</xdr:col>
      <xdr:colOff>1733550</xdr:colOff>
      <xdr:row>21</xdr:row>
      <xdr:rowOff>1666875</xdr:rowOff>
    </xdr:to>
    <xdr:pic>
      <xdr:nvPicPr>
        <xdr:cNvPr id="21" name="Picture 2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8725" y="3475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xdr:row>
      <xdr:rowOff>9525</xdr:rowOff>
    </xdr:from>
    <xdr:to>
      <xdr:col>2</xdr:col>
      <xdr:colOff>1733550</xdr:colOff>
      <xdr:row>22</xdr:row>
      <xdr:rowOff>1524000</xdr:rowOff>
    </xdr:to>
    <xdr:pic>
      <xdr:nvPicPr>
        <xdr:cNvPr id="22" name="Picture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6661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xdr:row>
      <xdr:rowOff>19050</xdr:rowOff>
    </xdr:from>
    <xdr:to>
      <xdr:col>2</xdr:col>
      <xdr:colOff>1733550</xdr:colOff>
      <xdr:row>23</xdr:row>
      <xdr:rowOff>1666875</xdr:rowOff>
    </xdr:to>
    <xdr:pic>
      <xdr:nvPicPr>
        <xdr:cNvPr id="23" name="Picture 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842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xdr:row>
      <xdr:rowOff>19050</xdr:rowOff>
    </xdr:from>
    <xdr:to>
      <xdr:col>2</xdr:col>
      <xdr:colOff>1733550</xdr:colOff>
      <xdr:row>24</xdr:row>
      <xdr:rowOff>1666875</xdr:rowOff>
    </xdr:to>
    <xdr:pic>
      <xdr:nvPicPr>
        <xdr:cNvPr id="24" name="Picture 2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28725" y="40338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xdr:row>
      <xdr:rowOff>19050</xdr:rowOff>
    </xdr:from>
    <xdr:to>
      <xdr:col>2</xdr:col>
      <xdr:colOff>1733550</xdr:colOff>
      <xdr:row>25</xdr:row>
      <xdr:rowOff>1666875</xdr:rowOff>
    </xdr:to>
    <xdr:pic>
      <xdr:nvPicPr>
        <xdr:cNvPr id="25" name="Picture 2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28725" y="4225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xdr:row>
      <xdr:rowOff>19050</xdr:rowOff>
    </xdr:from>
    <xdr:to>
      <xdr:col>2</xdr:col>
      <xdr:colOff>1733550</xdr:colOff>
      <xdr:row>26</xdr:row>
      <xdr:rowOff>1666875</xdr:rowOff>
    </xdr:to>
    <xdr:pic>
      <xdr:nvPicPr>
        <xdr:cNvPr id="26" name="Picture 25"/>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28725" y="4416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xdr:row>
      <xdr:rowOff>19050</xdr:rowOff>
    </xdr:from>
    <xdr:to>
      <xdr:col>2</xdr:col>
      <xdr:colOff>1733550</xdr:colOff>
      <xdr:row>27</xdr:row>
      <xdr:rowOff>1666875</xdr:rowOff>
    </xdr:to>
    <xdr:pic>
      <xdr:nvPicPr>
        <xdr:cNvPr id="27" name="Picture 2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28725" y="46081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xdr:row>
      <xdr:rowOff>19050</xdr:rowOff>
    </xdr:from>
    <xdr:to>
      <xdr:col>2</xdr:col>
      <xdr:colOff>1733550</xdr:colOff>
      <xdr:row>28</xdr:row>
      <xdr:rowOff>1666875</xdr:rowOff>
    </xdr:to>
    <xdr:pic>
      <xdr:nvPicPr>
        <xdr:cNvPr id="28" name="Picture 2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28725" y="47996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xdr:row>
      <xdr:rowOff>19050</xdr:rowOff>
    </xdr:from>
    <xdr:to>
      <xdr:col>2</xdr:col>
      <xdr:colOff>1733550</xdr:colOff>
      <xdr:row>29</xdr:row>
      <xdr:rowOff>1666875</xdr:rowOff>
    </xdr:to>
    <xdr:pic>
      <xdr:nvPicPr>
        <xdr:cNvPr id="29" name="Picture 2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8725" y="49911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xdr:row>
      <xdr:rowOff>19050</xdr:rowOff>
    </xdr:from>
    <xdr:to>
      <xdr:col>2</xdr:col>
      <xdr:colOff>1733550</xdr:colOff>
      <xdr:row>30</xdr:row>
      <xdr:rowOff>1666875</xdr:rowOff>
    </xdr:to>
    <xdr:pic>
      <xdr:nvPicPr>
        <xdr:cNvPr id="30" name="Picture 29"/>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28725" y="51825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xdr:row>
      <xdr:rowOff>9525</xdr:rowOff>
    </xdr:from>
    <xdr:to>
      <xdr:col>2</xdr:col>
      <xdr:colOff>1733550</xdr:colOff>
      <xdr:row>31</xdr:row>
      <xdr:rowOff>1524000</xdr:rowOff>
    </xdr:to>
    <xdr:pic>
      <xdr:nvPicPr>
        <xdr:cNvPr id="31" name="Picture 30"/>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53730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xdr:row>
      <xdr:rowOff>19050</xdr:rowOff>
    </xdr:from>
    <xdr:to>
      <xdr:col>2</xdr:col>
      <xdr:colOff>1733550</xdr:colOff>
      <xdr:row>32</xdr:row>
      <xdr:rowOff>1647825</xdr:rowOff>
    </xdr:to>
    <xdr:pic>
      <xdr:nvPicPr>
        <xdr:cNvPr id="32" name="Picture 3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55492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xdr:row>
      <xdr:rowOff>19050</xdr:rowOff>
    </xdr:from>
    <xdr:to>
      <xdr:col>2</xdr:col>
      <xdr:colOff>1733550</xdr:colOff>
      <xdr:row>33</xdr:row>
      <xdr:rowOff>1647825</xdr:rowOff>
    </xdr:to>
    <xdr:pic>
      <xdr:nvPicPr>
        <xdr:cNvPr id="33" name="Picture 3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8725" y="57388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xdr:row>
      <xdr:rowOff>9525</xdr:rowOff>
    </xdr:from>
    <xdr:to>
      <xdr:col>2</xdr:col>
      <xdr:colOff>1733550</xdr:colOff>
      <xdr:row>34</xdr:row>
      <xdr:rowOff>1524000</xdr:rowOff>
    </xdr:to>
    <xdr:pic>
      <xdr:nvPicPr>
        <xdr:cNvPr id="34" name="Picture 33"/>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28725" y="59274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xdr:row>
      <xdr:rowOff>9525</xdr:rowOff>
    </xdr:from>
    <xdr:to>
      <xdr:col>2</xdr:col>
      <xdr:colOff>1733550</xdr:colOff>
      <xdr:row>35</xdr:row>
      <xdr:rowOff>1524000</xdr:rowOff>
    </xdr:to>
    <xdr:pic>
      <xdr:nvPicPr>
        <xdr:cNvPr id="35" name="Picture 3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28725" y="61026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xdr:row>
      <xdr:rowOff>9525</xdr:rowOff>
    </xdr:from>
    <xdr:to>
      <xdr:col>2</xdr:col>
      <xdr:colOff>1733550</xdr:colOff>
      <xdr:row>36</xdr:row>
      <xdr:rowOff>1524000</xdr:rowOff>
    </xdr:to>
    <xdr:pic>
      <xdr:nvPicPr>
        <xdr:cNvPr id="36" name="Picture 35"/>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8725" y="62779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xdr:row>
      <xdr:rowOff>19050</xdr:rowOff>
    </xdr:from>
    <xdr:to>
      <xdr:col>2</xdr:col>
      <xdr:colOff>1733550</xdr:colOff>
      <xdr:row>37</xdr:row>
      <xdr:rowOff>1647825</xdr:rowOff>
    </xdr:to>
    <xdr:pic>
      <xdr:nvPicPr>
        <xdr:cNvPr id="37" name="Picture 3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28725" y="645414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xdr:row>
      <xdr:rowOff>19050</xdr:rowOff>
    </xdr:from>
    <xdr:to>
      <xdr:col>2</xdr:col>
      <xdr:colOff>1733550</xdr:colOff>
      <xdr:row>38</xdr:row>
      <xdr:rowOff>1666875</xdr:rowOff>
    </xdr:to>
    <xdr:pic>
      <xdr:nvPicPr>
        <xdr:cNvPr id="38" name="Picture 37"/>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28725" y="66436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xdr:row>
      <xdr:rowOff>9525</xdr:rowOff>
    </xdr:from>
    <xdr:to>
      <xdr:col>2</xdr:col>
      <xdr:colOff>1733550</xdr:colOff>
      <xdr:row>39</xdr:row>
      <xdr:rowOff>1524000</xdr:rowOff>
    </xdr:to>
    <xdr:pic>
      <xdr:nvPicPr>
        <xdr:cNvPr id="39" name="Picture 38"/>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28725" y="68341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xdr:row>
      <xdr:rowOff>19050</xdr:rowOff>
    </xdr:from>
    <xdr:to>
      <xdr:col>2</xdr:col>
      <xdr:colOff>1733550</xdr:colOff>
      <xdr:row>40</xdr:row>
      <xdr:rowOff>1647825</xdr:rowOff>
    </xdr:to>
    <xdr:pic>
      <xdr:nvPicPr>
        <xdr:cNvPr id="40" name="Picture 39"/>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28725" y="70104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xdr:row>
      <xdr:rowOff>19050</xdr:rowOff>
    </xdr:from>
    <xdr:to>
      <xdr:col>2</xdr:col>
      <xdr:colOff>1733550</xdr:colOff>
      <xdr:row>41</xdr:row>
      <xdr:rowOff>1666875</xdr:rowOff>
    </xdr:to>
    <xdr:pic>
      <xdr:nvPicPr>
        <xdr:cNvPr id="41" name="Picture 4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28725" y="7199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xdr:row>
      <xdr:rowOff>9525</xdr:rowOff>
    </xdr:from>
    <xdr:to>
      <xdr:col>2</xdr:col>
      <xdr:colOff>1733550</xdr:colOff>
      <xdr:row>42</xdr:row>
      <xdr:rowOff>1524000</xdr:rowOff>
    </xdr:to>
    <xdr:pic>
      <xdr:nvPicPr>
        <xdr:cNvPr id="42" name="Picture 41"/>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28725" y="73904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xdr:row>
      <xdr:rowOff>9525</xdr:rowOff>
    </xdr:from>
    <xdr:to>
      <xdr:col>2</xdr:col>
      <xdr:colOff>1733550</xdr:colOff>
      <xdr:row>43</xdr:row>
      <xdr:rowOff>1524000</xdr:rowOff>
    </xdr:to>
    <xdr:pic>
      <xdr:nvPicPr>
        <xdr:cNvPr id="43" name="Picture 4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28725" y="75657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xdr:row>
      <xdr:rowOff>19050</xdr:rowOff>
    </xdr:from>
    <xdr:to>
      <xdr:col>2</xdr:col>
      <xdr:colOff>1733550</xdr:colOff>
      <xdr:row>44</xdr:row>
      <xdr:rowOff>1666875</xdr:rowOff>
    </xdr:to>
    <xdr:pic>
      <xdr:nvPicPr>
        <xdr:cNvPr id="44" name="Picture 4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28725" y="77419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xdr:row>
      <xdr:rowOff>19050</xdr:rowOff>
    </xdr:from>
    <xdr:to>
      <xdr:col>2</xdr:col>
      <xdr:colOff>1733550</xdr:colOff>
      <xdr:row>45</xdr:row>
      <xdr:rowOff>1666875</xdr:rowOff>
    </xdr:to>
    <xdr:pic>
      <xdr:nvPicPr>
        <xdr:cNvPr id="45" name="Picture 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79333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xdr:row>
      <xdr:rowOff>19050</xdr:rowOff>
    </xdr:from>
    <xdr:to>
      <xdr:col>2</xdr:col>
      <xdr:colOff>1733550</xdr:colOff>
      <xdr:row>46</xdr:row>
      <xdr:rowOff>1666875</xdr:rowOff>
    </xdr:to>
    <xdr:pic>
      <xdr:nvPicPr>
        <xdr:cNvPr id="46" name="Picture 4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8725" y="81248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xdr:row>
      <xdr:rowOff>19050</xdr:rowOff>
    </xdr:from>
    <xdr:to>
      <xdr:col>2</xdr:col>
      <xdr:colOff>1733550</xdr:colOff>
      <xdr:row>47</xdr:row>
      <xdr:rowOff>1666875</xdr:rowOff>
    </xdr:to>
    <xdr:pic>
      <xdr:nvPicPr>
        <xdr:cNvPr id="47" name="Picture 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83162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xdr:row>
      <xdr:rowOff>19050</xdr:rowOff>
    </xdr:from>
    <xdr:to>
      <xdr:col>2</xdr:col>
      <xdr:colOff>1733550</xdr:colOff>
      <xdr:row>48</xdr:row>
      <xdr:rowOff>1666875</xdr:rowOff>
    </xdr:to>
    <xdr:pic>
      <xdr:nvPicPr>
        <xdr:cNvPr id="48" name="Picture 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85077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xdr:row>
      <xdr:rowOff>19050</xdr:rowOff>
    </xdr:from>
    <xdr:to>
      <xdr:col>2</xdr:col>
      <xdr:colOff>1733550</xdr:colOff>
      <xdr:row>49</xdr:row>
      <xdr:rowOff>1666875</xdr:rowOff>
    </xdr:to>
    <xdr:pic>
      <xdr:nvPicPr>
        <xdr:cNvPr id="49" name="Picture 4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86991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xdr:row>
      <xdr:rowOff>19050</xdr:rowOff>
    </xdr:from>
    <xdr:to>
      <xdr:col>2</xdr:col>
      <xdr:colOff>1733550</xdr:colOff>
      <xdr:row>50</xdr:row>
      <xdr:rowOff>1666875</xdr:rowOff>
    </xdr:to>
    <xdr:pic>
      <xdr:nvPicPr>
        <xdr:cNvPr id="50" name="Picture 49"/>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28725" y="88906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xdr:row>
      <xdr:rowOff>9525</xdr:rowOff>
    </xdr:from>
    <xdr:to>
      <xdr:col>2</xdr:col>
      <xdr:colOff>1733550</xdr:colOff>
      <xdr:row>51</xdr:row>
      <xdr:rowOff>1524000</xdr:rowOff>
    </xdr:to>
    <xdr:pic>
      <xdr:nvPicPr>
        <xdr:cNvPr id="51" name="Picture 5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28725" y="90811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xdr:row>
      <xdr:rowOff>9525</xdr:rowOff>
    </xdr:from>
    <xdr:to>
      <xdr:col>2</xdr:col>
      <xdr:colOff>1733550</xdr:colOff>
      <xdr:row>52</xdr:row>
      <xdr:rowOff>1524000</xdr:rowOff>
    </xdr:to>
    <xdr:pic>
      <xdr:nvPicPr>
        <xdr:cNvPr id="52" name="Picture 51"/>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28725" y="92563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xdr:row>
      <xdr:rowOff>19050</xdr:rowOff>
    </xdr:from>
    <xdr:to>
      <xdr:col>2</xdr:col>
      <xdr:colOff>1733550</xdr:colOff>
      <xdr:row>53</xdr:row>
      <xdr:rowOff>1666875</xdr:rowOff>
    </xdr:to>
    <xdr:pic>
      <xdr:nvPicPr>
        <xdr:cNvPr id="53" name="Picture 5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94326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xdr:row>
      <xdr:rowOff>19050</xdr:rowOff>
    </xdr:from>
    <xdr:to>
      <xdr:col>2</xdr:col>
      <xdr:colOff>1733550</xdr:colOff>
      <xdr:row>54</xdr:row>
      <xdr:rowOff>1666875</xdr:rowOff>
    </xdr:to>
    <xdr:pic>
      <xdr:nvPicPr>
        <xdr:cNvPr id="54" name="Picture 5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8725" y="96240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xdr:row>
      <xdr:rowOff>19050</xdr:rowOff>
    </xdr:from>
    <xdr:to>
      <xdr:col>2</xdr:col>
      <xdr:colOff>1733550</xdr:colOff>
      <xdr:row>55</xdr:row>
      <xdr:rowOff>1666875</xdr:rowOff>
    </xdr:to>
    <xdr:pic>
      <xdr:nvPicPr>
        <xdr:cNvPr id="55" name="Picture 54"/>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98155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xdr:row>
      <xdr:rowOff>19050</xdr:rowOff>
    </xdr:from>
    <xdr:to>
      <xdr:col>2</xdr:col>
      <xdr:colOff>1733550</xdr:colOff>
      <xdr:row>56</xdr:row>
      <xdr:rowOff>1666875</xdr:rowOff>
    </xdr:to>
    <xdr:pic>
      <xdr:nvPicPr>
        <xdr:cNvPr id="56" name="Picture 5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100069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xdr:row>
      <xdr:rowOff>19050</xdr:rowOff>
    </xdr:from>
    <xdr:to>
      <xdr:col>2</xdr:col>
      <xdr:colOff>1733550</xdr:colOff>
      <xdr:row>57</xdr:row>
      <xdr:rowOff>1666875</xdr:rowOff>
    </xdr:to>
    <xdr:pic>
      <xdr:nvPicPr>
        <xdr:cNvPr id="57" name="Picture 56"/>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28725" y="101984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xdr:row>
      <xdr:rowOff>19050</xdr:rowOff>
    </xdr:from>
    <xdr:to>
      <xdr:col>2</xdr:col>
      <xdr:colOff>1733550</xdr:colOff>
      <xdr:row>58</xdr:row>
      <xdr:rowOff>1666875</xdr:rowOff>
    </xdr:to>
    <xdr:pic>
      <xdr:nvPicPr>
        <xdr:cNvPr id="58" name="Picture 57"/>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28725" y="10389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xdr:row>
      <xdr:rowOff>19050</xdr:rowOff>
    </xdr:from>
    <xdr:to>
      <xdr:col>2</xdr:col>
      <xdr:colOff>1733550</xdr:colOff>
      <xdr:row>59</xdr:row>
      <xdr:rowOff>1666875</xdr:rowOff>
    </xdr:to>
    <xdr:pic>
      <xdr:nvPicPr>
        <xdr:cNvPr id="59" name="Picture 5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28725" y="105813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xdr:row>
      <xdr:rowOff>19050</xdr:rowOff>
    </xdr:from>
    <xdr:to>
      <xdr:col>2</xdr:col>
      <xdr:colOff>1733550</xdr:colOff>
      <xdr:row>60</xdr:row>
      <xdr:rowOff>1666875</xdr:rowOff>
    </xdr:to>
    <xdr:pic>
      <xdr:nvPicPr>
        <xdr:cNvPr id="60" name="Picture 5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28725" y="107727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xdr:row>
      <xdr:rowOff>19050</xdr:rowOff>
    </xdr:from>
    <xdr:to>
      <xdr:col>2</xdr:col>
      <xdr:colOff>1733550</xdr:colOff>
      <xdr:row>61</xdr:row>
      <xdr:rowOff>1666875</xdr:rowOff>
    </xdr:to>
    <xdr:pic>
      <xdr:nvPicPr>
        <xdr:cNvPr id="61" name="Picture 6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28725" y="109642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xdr:row>
      <xdr:rowOff>19050</xdr:rowOff>
    </xdr:from>
    <xdr:to>
      <xdr:col>2</xdr:col>
      <xdr:colOff>1733550</xdr:colOff>
      <xdr:row>62</xdr:row>
      <xdr:rowOff>1666875</xdr:rowOff>
    </xdr:to>
    <xdr:pic>
      <xdr:nvPicPr>
        <xdr:cNvPr id="62" name="Picture 61"/>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11155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xdr:row>
      <xdr:rowOff>9525</xdr:rowOff>
    </xdr:from>
    <xdr:to>
      <xdr:col>2</xdr:col>
      <xdr:colOff>1733550</xdr:colOff>
      <xdr:row>63</xdr:row>
      <xdr:rowOff>1524000</xdr:rowOff>
    </xdr:to>
    <xdr:pic>
      <xdr:nvPicPr>
        <xdr:cNvPr id="63" name="Picture 62"/>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28725" y="113461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xdr:row>
      <xdr:rowOff>9525</xdr:rowOff>
    </xdr:from>
    <xdr:to>
      <xdr:col>2</xdr:col>
      <xdr:colOff>1733550</xdr:colOff>
      <xdr:row>64</xdr:row>
      <xdr:rowOff>1524000</xdr:rowOff>
    </xdr:to>
    <xdr:pic>
      <xdr:nvPicPr>
        <xdr:cNvPr id="64" name="Picture 63"/>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8725" y="115214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xdr:row>
      <xdr:rowOff>9525</xdr:rowOff>
    </xdr:from>
    <xdr:to>
      <xdr:col>2</xdr:col>
      <xdr:colOff>1733550</xdr:colOff>
      <xdr:row>65</xdr:row>
      <xdr:rowOff>1524000</xdr:rowOff>
    </xdr:to>
    <xdr:pic>
      <xdr:nvPicPr>
        <xdr:cNvPr id="65" name="Picture 64"/>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28725" y="116967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xdr:row>
      <xdr:rowOff>9525</xdr:rowOff>
    </xdr:from>
    <xdr:to>
      <xdr:col>2</xdr:col>
      <xdr:colOff>1733550</xdr:colOff>
      <xdr:row>66</xdr:row>
      <xdr:rowOff>1524000</xdr:rowOff>
    </xdr:to>
    <xdr:pic>
      <xdr:nvPicPr>
        <xdr:cNvPr id="66" name="Picture 65"/>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28725" y="118719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xdr:row>
      <xdr:rowOff>9525</xdr:rowOff>
    </xdr:from>
    <xdr:to>
      <xdr:col>2</xdr:col>
      <xdr:colOff>1733550</xdr:colOff>
      <xdr:row>67</xdr:row>
      <xdr:rowOff>1524000</xdr:rowOff>
    </xdr:to>
    <xdr:pic>
      <xdr:nvPicPr>
        <xdr:cNvPr id="67" name="Picture 66"/>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28725" y="120472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xdr:row>
      <xdr:rowOff>9525</xdr:rowOff>
    </xdr:from>
    <xdr:to>
      <xdr:col>2</xdr:col>
      <xdr:colOff>1733550</xdr:colOff>
      <xdr:row>68</xdr:row>
      <xdr:rowOff>1524000</xdr:rowOff>
    </xdr:to>
    <xdr:pic>
      <xdr:nvPicPr>
        <xdr:cNvPr id="68" name="Picture 67"/>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122224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xdr:row>
      <xdr:rowOff>9525</xdr:rowOff>
    </xdr:from>
    <xdr:to>
      <xdr:col>2</xdr:col>
      <xdr:colOff>1733550</xdr:colOff>
      <xdr:row>69</xdr:row>
      <xdr:rowOff>1524000</xdr:rowOff>
    </xdr:to>
    <xdr:pic>
      <xdr:nvPicPr>
        <xdr:cNvPr id="69" name="Picture 68"/>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28725" y="123977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xdr:row>
      <xdr:rowOff>9525</xdr:rowOff>
    </xdr:from>
    <xdr:to>
      <xdr:col>2</xdr:col>
      <xdr:colOff>1733550</xdr:colOff>
      <xdr:row>70</xdr:row>
      <xdr:rowOff>1524000</xdr:rowOff>
    </xdr:to>
    <xdr:pic>
      <xdr:nvPicPr>
        <xdr:cNvPr id="70" name="Picture 69"/>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28725" y="125730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xdr:row>
      <xdr:rowOff>9525</xdr:rowOff>
    </xdr:from>
    <xdr:to>
      <xdr:col>2</xdr:col>
      <xdr:colOff>1733550</xdr:colOff>
      <xdr:row>71</xdr:row>
      <xdr:rowOff>1524000</xdr:rowOff>
    </xdr:to>
    <xdr:pic>
      <xdr:nvPicPr>
        <xdr:cNvPr id="71" name="Picture 70"/>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28725" y="127482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xdr:row>
      <xdr:rowOff>9525</xdr:rowOff>
    </xdr:from>
    <xdr:to>
      <xdr:col>2</xdr:col>
      <xdr:colOff>1733550</xdr:colOff>
      <xdr:row>72</xdr:row>
      <xdr:rowOff>1524000</xdr:rowOff>
    </xdr:to>
    <xdr:pic>
      <xdr:nvPicPr>
        <xdr:cNvPr id="72" name="Picture 71"/>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28725" y="129235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xdr:row>
      <xdr:rowOff>9525</xdr:rowOff>
    </xdr:from>
    <xdr:to>
      <xdr:col>2</xdr:col>
      <xdr:colOff>1733550</xdr:colOff>
      <xdr:row>73</xdr:row>
      <xdr:rowOff>1524000</xdr:rowOff>
    </xdr:to>
    <xdr:pic>
      <xdr:nvPicPr>
        <xdr:cNvPr id="73" name="Picture 72"/>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28725" y="130987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xdr:row>
      <xdr:rowOff>9525</xdr:rowOff>
    </xdr:from>
    <xdr:to>
      <xdr:col>2</xdr:col>
      <xdr:colOff>1733550</xdr:colOff>
      <xdr:row>74</xdr:row>
      <xdr:rowOff>1524000</xdr:rowOff>
    </xdr:to>
    <xdr:pic>
      <xdr:nvPicPr>
        <xdr:cNvPr id="74" name="Picture 73"/>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28725" y="132740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xdr:row>
      <xdr:rowOff>9525</xdr:rowOff>
    </xdr:from>
    <xdr:to>
      <xdr:col>2</xdr:col>
      <xdr:colOff>1733550</xdr:colOff>
      <xdr:row>75</xdr:row>
      <xdr:rowOff>1524000</xdr:rowOff>
    </xdr:to>
    <xdr:pic>
      <xdr:nvPicPr>
        <xdr:cNvPr id="75" name="Picture 74"/>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134493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xdr:row>
      <xdr:rowOff>19050</xdr:rowOff>
    </xdr:from>
    <xdr:to>
      <xdr:col>2</xdr:col>
      <xdr:colOff>1733550</xdr:colOff>
      <xdr:row>76</xdr:row>
      <xdr:rowOff>1666875</xdr:rowOff>
    </xdr:to>
    <xdr:pic>
      <xdr:nvPicPr>
        <xdr:cNvPr id="76" name="Picture 75"/>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28725" y="136255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xdr:row>
      <xdr:rowOff>9525</xdr:rowOff>
    </xdr:from>
    <xdr:to>
      <xdr:col>2</xdr:col>
      <xdr:colOff>1733550</xdr:colOff>
      <xdr:row>77</xdr:row>
      <xdr:rowOff>1524000</xdr:rowOff>
    </xdr:to>
    <xdr:pic>
      <xdr:nvPicPr>
        <xdr:cNvPr id="77" name="Picture 76"/>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28725" y="138160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xdr:row>
      <xdr:rowOff>9525</xdr:rowOff>
    </xdr:from>
    <xdr:to>
      <xdr:col>2</xdr:col>
      <xdr:colOff>1733550</xdr:colOff>
      <xdr:row>78</xdr:row>
      <xdr:rowOff>1524000</xdr:rowOff>
    </xdr:to>
    <xdr:pic>
      <xdr:nvPicPr>
        <xdr:cNvPr id="78" name="Picture 77"/>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28725" y="139912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xdr:row>
      <xdr:rowOff>19050</xdr:rowOff>
    </xdr:from>
    <xdr:to>
      <xdr:col>2</xdr:col>
      <xdr:colOff>1733550</xdr:colOff>
      <xdr:row>79</xdr:row>
      <xdr:rowOff>1666875</xdr:rowOff>
    </xdr:to>
    <xdr:pic>
      <xdr:nvPicPr>
        <xdr:cNvPr id="79" name="Picture 78"/>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28725" y="14167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xdr:row>
      <xdr:rowOff>19050</xdr:rowOff>
    </xdr:from>
    <xdr:to>
      <xdr:col>2</xdr:col>
      <xdr:colOff>1733550</xdr:colOff>
      <xdr:row>80</xdr:row>
      <xdr:rowOff>1647825</xdr:rowOff>
    </xdr:to>
    <xdr:pic>
      <xdr:nvPicPr>
        <xdr:cNvPr id="80" name="Picture 79"/>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28725" y="1435893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xdr:row>
      <xdr:rowOff>19050</xdr:rowOff>
    </xdr:from>
    <xdr:to>
      <xdr:col>2</xdr:col>
      <xdr:colOff>1733550</xdr:colOff>
      <xdr:row>81</xdr:row>
      <xdr:rowOff>1666875</xdr:rowOff>
    </xdr:to>
    <xdr:pic>
      <xdr:nvPicPr>
        <xdr:cNvPr id="81" name="Picture 80"/>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28725" y="14548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xdr:row>
      <xdr:rowOff>9525</xdr:rowOff>
    </xdr:from>
    <xdr:to>
      <xdr:col>2</xdr:col>
      <xdr:colOff>1733550</xdr:colOff>
      <xdr:row>82</xdr:row>
      <xdr:rowOff>1524000</xdr:rowOff>
    </xdr:to>
    <xdr:pic>
      <xdr:nvPicPr>
        <xdr:cNvPr id="82" name="Picture 81"/>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28725" y="1473898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xdr:row>
      <xdr:rowOff>9525</xdr:rowOff>
    </xdr:from>
    <xdr:to>
      <xdr:col>2</xdr:col>
      <xdr:colOff>1733550</xdr:colOff>
      <xdr:row>83</xdr:row>
      <xdr:rowOff>1524000</xdr:rowOff>
    </xdr:to>
    <xdr:pic>
      <xdr:nvPicPr>
        <xdr:cNvPr id="83" name="Picture 82"/>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28725" y="149142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xdr:row>
      <xdr:rowOff>9525</xdr:rowOff>
    </xdr:from>
    <xdr:to>
      <xdr:col>2</xdr:col>
      <xdr:colOff>1733550</xdr:colOff>
      <xdr:row>84</xdr:row>
      <xdr:rowOff>1419225</xdr:rowOff>
    </xdr:to>
    <xdr:pic>
      <xdr:nvPicPr>
        <xdr:cNvPr id="84" name="Picture 83"/>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28725" y="150895050"/>
          <a:ext cx="1724025" cy="140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xdr:row>
      <xdr:rowOff>9525</xdr:rowOff>
    </xdr:from>
    <xdr:to>
      <xdr:col>2</xdr:col>
      <xdr:colOff>1733550</xdr:colOff>
      <xdr:row>85</xdr:row>
      <xdr:rowOff>1524000</xdr:rowOff>
    </xdr:to>
    <xdr:pic>
      <xdr:nvPicPr>
        <xdr:cNvPr id="85" name="Picture 84"/>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28725" y="152533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xdr:row>
      <xdr:rowOff>9525</xdr:rowOff>
    </xdr:from>
    <xdr:to>
      <xdr:col>2</xdr:col>
      <xdr:colOff>1733550</xdr:colOff>
      <xdr:row>86</xdr:row>
      <xdr:rowOff>1524000</xdr:rowOff>
    </xdr:to>
    <xdr:pic>
      <xdr:nvPicPr>
        <xdr:cNvPr id="86" name="Picture 85"/>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28725" y="154285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xdr:row>
      <xdr:rowOff>9525</xdr:rowOff>
    </xdr:from>
    <xdr:to>
      <xdr:col>2</xdr:col>
      <xdr:colOff>1733550</xdr:colOff>
      <xdr:row>87</xdr:row>
      <xdr:rowOff>1524000</xdr:rowOff>
    </xdr:to>
    <xdr:pic>
      <xdr:nvPicPr>
        <xdr:cNvPr id="87" name="Picture 86"/>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28725" y="156038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xdr:row>
      <xdr:rowOff>9525</xdr:rowOff>
    </xdr:from>
    <xdr:to>
      <xdr:col>2</xdr:col>
      <xdr:colOff>1733550</xdr:colOff>
      <xdr:row>88</xdr:row>
      <xdr:rowOff>1524000</xdr:rowOff>
    </xdr:to>
    <xdr:pic>
      <xdr:nvPicPr>
        <xdr:cNvPr id="88" name="Picture 87"/>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28725" y="157791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xdr:row>
      <xdr:rowOff>9525</xdr:rowOff>
    </xdr:from>
    <xdr:to>
      <xdr:col>2</xdr:col>
      <xdr:colOff>1733550</xdr:colOff>
      <xdr:row>89</xdr:row>
      <xdr:rowOff>1524000</xdr:rowOff>
    </xdr:to>
    <xdr:pic>
      <xdr:nvPicPr>
        <xdr:cNvPr id="89" name="Picture 88"/>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28725" y="159543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xdr:row>
      <xdr:rowOff>19050</xdr:rowOff>
    </xdr:from>
    <xdr:to>
      <xdr:col>2</xdr:col>
      <xdr:colOff>1733550</xdr:colOff>
      <xdr:row>90</xdr:row>
      <xdr:rowOff>1666875</xdr:rowOff>
    </xdr:to>
    <xdr:pic>
      <xdr:nvPicPr>
        <xdr:cNvPr id="90" name="Picture 89"/>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28725" y="16130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xdr:row>
      <xdr:rowOff>19050</xdr:rowOff>
    </xdr:from>
    <xdr:to>
      <xdr:col>2</xdr:col>
      <xdr:colOff>1733550</xdr:colOff>
      <xdr:row>91</xdr:row>
      <xdr:rowOff>1666875</xdr:rowOff>
    </xdr:to>
    <xdr:pic>
      <xdr:nvPicPr>
        <xdr:cNvPr id="91" name="Picture 90"/>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28725" y="16322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xdr:row>
      <xdr:rowOff>9525</xdr:rowOff>
    </xdr:from>
    <xdr:to>
      <xdr:col>2</xdr:col>
      <xdr:colOff>1733550</xdr:colOff>
      <xdr:row>92</xdr:row>
      <xdr:rowOff>1524000</xdr:rowOff>
    </xdr:to>
    <xdr:pic>
      <xdr:nvPicPr>
        <xdr:cNvPr id="92" name="Picture 91"/>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28725" y="165125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xdr:row>
      <xdr:rowOff>19050</xdr:rowOff>
    </xdr:from>
    <xdr:to>
      <xdr:col>2</xdr:col>
      <xdr:colOff>1733550</xdr:colOff>
      <xdr:row>93</xdr:row>
      <xdr:rowOff>1666875</xdr:rowOff>
    </xdr:to>
    <xdr:pic>
      <xdr:nvPicPr>
        <xdr:cNvPr id="93" name="Picture 92"/>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166887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xdr:row>
      <xdr:rowOff>9525</xdr:rowOff>
    </xdr:from>
    <xdr:to>
      <xdr:col>2</xdr:col>
      <xdr:colOff>1733550</xdr:colOff>
      <xdr:row>94</xdr:row>
      <xdr:rowOff>1524000</xdr:rowOff>
    </xdr:to>
    <xdr:pic>
      <xdr:nvPicPr>
        <xdr:cNvPr id="94" name="Picture 93"/>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28725" y="168792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xdr:row>
      <xdr:rowOff>19050</xdr:rowOff>
    </xdr:from>
    <xdr:to>
      <xdr:col>2</xdr:col>
      <xdr:colOff>1733550</xdr:colOff>
      <xdr:row>95</xdr:row>
      <xdr:rowOff>1666875</xdr:rowOff>
    </xdr:to>
    <xdr:pic>
      <xdr:nvPicPr>
        <xdr:cNvPr id="95" name="Picture 94"/>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28725" y="170554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xdr:row>
      <xdr:rowOff>19050</xdr:rowOff>
    </xdr:from>
    <xdr:to>
      <xdr:col>2</xdr:col>
      <xdr:colOff>1733550</xdr:colOff>
      <xdr:row>96</xdr:row>
      <xdr:rowOff>1647825</xdr:rowOff>
    </xdr:to>
    <xdr:pic>
      <xdr:nvPicPr>
        <xdr:cNvPr id="96" name="Picture 95"/>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28725" y="1724691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xdr:row>
      <xdr:rowOff>19050</xdr:rowOff>
    </xdr:from>
    <xdr:to>
      <xdr:col>2</xdr:col>
      <xdr:colOff>1733550</xdr:colOff>
      <xdr:row>97</xdr:row>
      <xdr:rowOff>1647825</xdr:rowOff>
    </xdr:to>
    <xdr:pic>
      <xdr:nvPicPr>
        <xdr:cNvPr id="97" name="Picture 96"/>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28725" y="174364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xdr:row>
      <xdr:rowOff>19050</xdr:rowOff>
    </xdr:from>
    <xdr:to>
      <xdr:col>2</xdr:col>
      <xdr:colOff>1733550</xdr:colOff>
      <xdr:row>98</xdr:row>
      <xdr:rowOff>1647825</xdr:rowOff>
    </xdr:to>
    <xdr:pic>
      <xdr:nvPicPr>
        <xdr:cNvPr id="98" name="Picture 97"/>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28725" y="176260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xdr:row>
      <xdr:rowOff>19050</xdr:rowOff>
    </xdr:from>
    <xdr:to>
      <xdr:col>2</xdr:col>
      <xdr:colOff>1733550</xdr:colOff>
      <xdr:row>99</xdr:row>
      <xdr:rowOff>1647825</xdr:rowOff>
    </xdr:to>
    <xdr:pic>
      <xdr:nvPicPr>
        <xdr:cNvPr id="99" name="Picture 98"/>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28725" y="178155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xdr:row>
      <xdr:rowOff>9525</xdr:rowOff>
    </xdr:from>
    <xdr:to>
      <xdr:col>2</xdr:col>
      <xdr:colOff>1733550</xdr:colOff>
      <xdr:row>100</xdr:row>
      <xdr:rowOff>1524000</xdr:rowOff>
    </xdr:to>
    <xdr:pic>
      <xdr:nvPicPr>
        <xdr:cNvPr id="100" name="Picture 99"/>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180041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xdr:row>
      <xdr:rowOff>9525</xdr:rowOff>
    </xdr:from>
    <xdr:to>
      <xdr:col>2</xdr:col>
      <xdr:colOff>1733550</xdr:colOff>
      <xdr:row>101</xdr:row>
      <xdr:rowOff>1524000</xdr:rowOff>
    </xdr:to>
    <xdr:pic>
      <xdr:nvPicPr>
        <xdr:cNvPr id="101" name="Picture 100"/>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28725" y="181794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xdr:row>
      <xdr:rowOff>9525</xdr:rowOff>
    </xdr:from>
    <xdr:to>
      <xdr:col>2</xdr:col>
      <xdr:colOff>1733550</xdr:colOff>
      <xdr:row>102</xdr:row>
      <xdr:rowOff>1524000</xdr:rowOff>
    </xdr:to>
    <xdr:pic>
      <xdr:nvPicPr>
        <xdr:cNvPr id="102" name="Picture 101"/>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28725" y="183546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xdr:row>
      <xdr:rowOff>9525</xdr:rowOff>
    </xdr:from>
    <xdr:to>
      <xdr:col>2</xdr:col>
      <xdr:colOff>1733550</xdr:colOff>
      <xdr:row>103</xdr:row>
      <xdr:rowOff>1524000</xdr:rowOff>
    </xdr:to>
    <xdr:pic>
      <xdr:nvPicPr>
        <xdr:cNvPr id="103" name="Picture 102"/>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28725" y="185299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xdr:row>
      <xdr:rowOff>9525</xdr:rowOff>
    </xdr:from>
    <xdr:to>
      <xdr:col>2</xdr:col>
      <xdr:colOff>1733550</xdr:colOff>
      <xdr:row>104</xdr:row>
      <xdr:rowOff>1524000</xdr:rowOff>
    </xdr:to>
    <xdr:pic>
      <xdr:nvPicPr>
        <xdr:cNvPr id="104" name="Picture 103"/>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8725" y="187051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xdr:row>
      <xdr:rowOff>9525</xdr:rowOff>
    </xdr:from>
    <xdr:to>
      <xdr:col>2</xdr:col>
      <xdr:colOff>1733550</xdr:colOff>
      <xdr:row>105</xdr:row>
      <xdr:rowOff>1524000</xdr:rowOff>
    </xdr:to>
    <xdr:pic>
      <xdr:nvPicPr>
        <xdr:cNvPr id="105" name="Picture 104"/>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28725" y="188804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xdr:row>
      <xdr:rowOff>9525</xdr:rowOff>
    </xdr:from>
    <xdr:to>
      <xdr:col>2</xdr:col>
      <xdr:colOff>1733550</xdr:colOff>
      <xdr:row>106</xdr:row>
      <xdr:rowOff>1524000</xdr:rowOff>
    </xdr:to>
    <xdr:pic>
      <xdr:nvPicPr>
        <xdr:cNvPr id="106" name="Picture 105"/>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28725" y="190557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xdr:row>
      <xdr:rowOff>9525</xdr:rowOff>
    </xdr:from>
    <xdr:to>
      <xdr:col>2</xdr:col>
      <xdr:colOff>1733550</xdr:colOff>
      <xdr:row>107</xdr:row>
      <xdr:rowOff>1524000</xdr:rowOff>
    </xdr:to>
    <xdr:pic>
      <xdr:nvPicPr>
        <xdr:cNvPr id="107" name="Picture 106"/>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28725" y="192309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xdr:row>
      <xdr:rowOff>19050</xdr:rowOff>
    </xdr:from>
    <xdr:to>
      <xdr:col>2</xdr:col>
      <xdr:colOff>1733550</xdr:colOff>
      <xdr:row>108</xdr:row>
      <xdr:rowOff>1647825</xdr:rowOff>
    </xdr:to>
    <xdr:pic>
      <xdr:nvPicPr>
        <xdr:cNvPr id="108" name="Picture 107"/>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28725" y="1940718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xdr:row>
      <xdr:rowOff>19050</xdr:rowOff>
    </xdr:from>
    <xdr:to>
      <xdr:col>2</xdr:col>
      <xdr:colOff>1733550</xdr:colOff>
      <xdr:row>109</xdr:row>
      <xdr:rowOff>1666875</xdr:rowOff>
    </xdr:to>
    <xdr:pic>
      <xdr:nvPicPr>
        <xdr:cNvPr id="109" name="Picture 108"/>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28725" y="195967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xdr:row>
      <xdr:rowOff>9525</xdr:rowOff>
    </xdr:from>
    <xdr:to>
      <xdr:col>2</xdr:col>
      <xdr:colOff>1733550</xdr:colOff>
      <xdr:row>110</xdr:row>
      <xdr:rowOff>1524000</xdr:rowOff>
    </xdr:to>
    <xdr:pic>
      <xdr:nvPicPr>
        <xdr:cNvPr id="110" name="Picture 109"/>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28725" y="197872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xdr:row>
      <xdr:rowOff>19050</xdr:rowOff>
    </xdr:from>
    <xdr:to>
      <xdr:col>2</xdr:col>
      <xdr:colOff>1733550</xdr:colOff>
      <xdr:row>111</xdr:row>
      <xdr:rowOff>1666875</xdr:rowOff>
    </xdr:to>
    <xdr:pic>
      <xdr:nvPicPr>
        <xdr:cNvPr id="111" name="Picture 110"/>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28725" y="19963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xdr:row>
      <xdr:rowOff>9525</xdr:rowOff>
    </xdr:from>
    <xdr:to>
      <xdr:col>2</xdr:col>
      <xdr:colOff>1733550</xdr:colOff>
      <xdr:row>112</xdr:row>
      <xdr:rowOff>1524000</xdr:rowOff>
    </xdr:to>
    <xdr:pic>
      <xdr:nvPicPr>
        <xdr:cNvPr id="112" name="Picture 111"/>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28725" y="201539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xdr:row>
      <xdr:rowOff>19050</xdr:rowOff>
    </xdr:from>
    <xdr:to>
      <xdr:col>2</xdr:col>
      <xdr:colOff>1733550</xdr:colOff>
      <xdr:row>113</xdr:row>
      <xdr:rowOff>1666875</xdr:rowOff>
    </xdr:to>
    <xdr:pic>
      <xdr:nvPicPr>
        <xdr:cNvPr id="113" name="Picture 112"/>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28725" y="203301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xdr:row>
      <xdr:rowOff>19050</xdr:rowOff>
    </xdr:from>
    <xdr:to>
      <xdr:col>2</xdr:col>
      <xdr:colOff>1733550</xdr:colOff>
      <xdr:row>114</xdr:row>
      <xdr:rowOff>1666875</xdr:rowOff>
    </xdr:to>
    <xdr:pic>
      <xdr:nvPicPr>
        <xdr:cNvPr id="114" name="Picture 113"/>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28725" y="205216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xdr:row>
      <xdr:rowOff>9525</xdr:rowOff>
    </xdr:from>
    <xdr:to>
      <xdr:col>2</xdr:col>
      <xdr:colOff>1733550</xdr:colOff>
      <xdr:row>115</xdr:row>
      <xdr:rowOff>1524000</xdr:rowOff>
    </xdr:to>
    <xdr:pic>
      <xdr:nvPicPr>
        <xdr:cNvPr id="115" name="Picture 114"/>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28725" y="207121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xdr:row>
      <xdr:rowOff>9525</xdr:rowOff>
    </xdr:from>
    <xdr:to>
      <xdr:col>2</xdr:col>
      <xdr:colOff>1733550</xdr:colOff>
      <xdr:row>116</xdr:row>
      <xdr:rowOff>1524000</xdr:rowOff>
    </xdr:to>
    <xdr:pic>
      <xdr:nvPicPr>
        <xdr:cNvPr id="116" name="Picture 115"/>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208873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xdr:row>
      <xdr:rowOff>9525</xdr:rowOff>
    </xdr:from>
    <xdr:to>
      <xdr:col>2</xdr:col>
      <xdr:colOff>1733550</xdr:colOff>
      <xdr:row>117</xdr:row>
      <xdr:rowOff>1524000</xdr:rowOff>
    </xdr:to>
    <xdr:pic>
      <xdr:nvPicPr>
        <xdr:cNvPr id="117" name="Picture 116"/>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28725" y="210626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xdr:row>
      <xdr:rowOff>9525</xdr:rowOff>
    </xdr:from>
    <xdr:to>
      <xdr:col>2</xdr:col>
      <xdr:colOff>1733550</xdr:colOff>
      <xdr:row>118</xdr:row>
      <xdr:rowOff>1524000</xdr:rowOff>
    </xdr:to>
    <xdr:pic>
      <xdr:nvPicPr>
        <xdr:cNvPr id="118" name="Picture 117"/>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28725" y="212378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xdr:row>
      <xdr:rowOff>9525</xdr:rowOff>
    </xdr:from>
    <xdr:to>
      <xdr:col>2</xdr:col>
      <xdr:colOff>1733550</xdr:colOff>
      <xdr:row>119</xdr:row>
      <xdr:rowOff>1524000</xdr:rowOff>
    </xdr:to>
    <xdr:pic>
      <xdr:nvPicPr>
        <xdr:cNvPr id="119" name="Picture 118"/>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28725" y="214131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xdr:row>
      <xdr:rowOff>9525</xdr:rowOff>
    </xdr:from>
    <xdr:to>
      <xdr:col>2</xdr:col>
      <xdr:colOff>1733550</xdr:colOff>
      <xdr:row>120</xdr:row>
      <xdr:rowOff>1524000</xdr:rowOff>
    </xdr:to>
    <xdr:pic>
      <xdr:nvPicPr>
        <xdr:cNvPr id="120" name="Picture 119"/>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28725" y="215884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xdr:row>
      <xdr:rowOff>9525</xdr:rowOff>
    </xdr:from>
    <xdr:to>
      <xdr:col>2</xdr:col>
      <xdr:colOff>1733550</xdr:colOff>
      <xdr:row>121</xdr:row>
      <xdr:rowOff>1524000</xdr:rowOff>
    </xdr:to>
    <xdr:pic>
      <xdr:nvPicPr>
        <xdr:cNvPr id="121" name="Picture 120"/>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28725" y="217636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xdr:row>
      <xdr:rowOff>9525</xdr:rowOff>
    </xdr:from>
    <xdr:to>
      <xdr:col>2</xdr:col>
      <xdr:colOff>1733550</xdr:colOff>
      <xdr:row>122</xdr:row>
      <xdr:rowOff>1524000</xdr:rowOff>
    </xdr:to>
    <xdr:pic>
      <xdr:nvPicPr>
        <xdr:cNvPr id="122" name="Picture 121"/>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28725" y="219389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xdr:row>
      <xdr:rowOff>9525</xdr:rowOff>
    </xdr:from>
    <xdr:to>
      <xdr:col>2</xdr:col>
      <xdr:colOff>1733550</xdr:colOff>
      <xdr:row>123</xdr:row>
      <xdr:rowOff>1524000</xdr:rowOff>
    </xdr:to>
    <xdr:pic>
      <xdr:nvPicPr>
        <xdr:cNvPr id="123" name="Picture 122"/>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28725" y="221141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xdr:row>
      <xdr:rowOff>19050</xdr:rowOff>
    </xdr:from>
    <xdr:to>
      <xdr:col>2</xdr:col>
      <xdr:colOff>1733550</xdr:colOff>
      <xdr:row>124</xdr:row>
      <xdr:rowOff>1647825</xdr:rowOff>
    </xdr:to>
    <xdr:pic>
      <xdr:nvPicPr>
        <xdr:cNvPr id="124" name="Picture 123"/>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28725" y="2229040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xdr:row>
      <xdr:rowOff>19050</xdr:rowOff>
    </xdr:from>
    <xdr:to>
      <xdr:col>2</xdr:col>
      <xdr:colOff>1733550</xdr:colOff>
      <xdr:row>125</xdr:row>
      <xdr:rowOff>1647825</xdr:rowOff>
    </xdr:to>
    <xdr:pic>
      <xdr:nvPicPr>
        <xdr:cNvPr id="125" name="Picture 124"/>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28725" y="2247995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xdr:row>
      <xdr:rowOff>9525</xdr:rowOff>
    </xdr:from>
    <xdr:to>
      <xdr:col>2</xdr:col>
      <xdr:colOff>1733550</xdr:colOff>
      <xdr:row>126</xdr:row>
      <xdr:rowOff>1524000</xdr:rowOff>
    </xdr:to>
    <xdr:pic>
      <xdr:nvPicPr>
        <xdr:cNvPr id="126" name="Picture 125"/>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28725" y="226685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xdr:row>
      <xdr:rowOff>9525</xdr:rowOff>
    </xdr:from>
    <xdr:to>
      <xdr:col>2</xdr:col>
      <xdr:colOff>1733550</xdr:colOff>
      <xdr:row>127</xdr:row>
      <xdr:rowOff>1524000</xdr:rowOff>
    </xdr:to>
    <xdr:pic>
      <xdr:nvPicPr>
        <xdr:cNvPr id="127" name="Picture 126"/>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228725" y="228438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xdr:row>
      <xdr:rowOff>9525</xdr:rowOff>
    </xdr:from>
    <xdr:to>
      <xdr:col>2</xdr:col>
      <xdr:colOff>1733550</xdr:colOff>
      <xdr:row>128</xdr:row>
      <xdr:rowOff>1524000</xdr:rowOff>
    </xdr:to>
    <xdr:pic>
      <xdr:nvPicPr>
        <xdr:cNvPr id="128" name="Picture 127"/>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228725" y="230190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xdr:row>
      <xdr:rowOff>9525</xdr:rowOff>
    </xdr:from>
    <xdr:to>
      <xdr:col>2</xdr:col>
      <xdr:colOff>1733550</xdr:colOff>
      <xdr:row>129</xdr:row>
      <xdr:rowOff>1524000</xdr:rowOff>
    </xdr:to>
    <xdr:pic>
      <xdr:nvPicPr>
        <xdr:cNvPr id="129" name="Picture 128"/>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28725" y="231943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xdr:row>
      <xdr:rowOff>9525</xdr:rowOff>
    </xdr:from>
    <xdr:to>
      <xdr:col>2</xdr:col>
      <xdr:colOff>1733550</xdr:colOff>
      <xdr:row>130</xdr:row>
      <xdr:rowOff>1524000</xdr:rowOff>
    </xdr:to>
    <xdr:pic>
      <xdr:nvPicPr>
        <xdr:cNvPr id="130" name="Picture 129"/>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28725" y="233695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xdr:row>
      <xdr:rowOff>19050</xdr:rowOff>
    </xdr:from>
    <xdr:to>
      <xdr:col>2</xdr:col>
      <xdr:colOff>1733550</xdr:colOff>
      <xdr:row>131</xdr:row>
      <xdr:rowOff>1666875</xdr:rowOff>
    </xdr:to>
    <xdr:pic>
      <xdr:nvPicPr>
        <xdr:cNvPr id="131" name="Picture 130"/>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228725" y="235458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xdr:row>
      <xdr:rowOff>19050</xdr:rowOff>
    </xdr:from>
    <xdr:to>
      <xdr:col>2</xdr:col>
      <xdr:colOff>1733550</xdr:colOff>
      <xdr:row>132</xdr:row>
      <xdr:rowOff>1666875</xdr:rowOff>
    </xdr:to>
    <xdr:pic>
      <xdr:nvPicPr>
        <xdr:cNvPr id="132" name="Picture 131"/>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28725" y="237372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xdr:row>
      <xdr:rowOff>9525</xdr:rowOff>
    </xdr:from>
    <xdr:to>
      <xdr:col>2</xdr:col>
      <xdr:colOff>1733550</xdr:colOff>
      <xdr:row>133</xdr:row>
      <xdr:rowOff>1524000</xdr:rowOff>
    </xdr:to>
    <xdr:pic>
      <xdr:nvPicPr>
        <xdr:cNvPr id="133" name="Picture 132"/>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28725" y="239277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xdr:row>
      <xdr:rowOff>9525</xdr:rowOff>
    </xdr:from>
    <xdr:to>
      <xdr:col>2</xdr:col>
      <xdr:colOff>1733550</xdr:colOff>
      <xdr:row>134</xdr:row>
      <xdr:rowOff>1524000</xdr:rowOff>
    </xdr:to>
    <xdr:pic>
      <xdr:nvPicPr>
        <xdr:cNvPr id="134" name="Picture 133"/>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28725" y="241030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xdr:row>
      <xdr:rowOff>19050</xdr:rowOff>
    </xdr:from>
    <xdr:to>
      <xdr:col>2</xdr:col>
      <xdr:colOff>1733550</xdr:colOff>
      <xdr:row>135</xdr:row>
      <xdr:rowOff>1666875</xdr:rowOff>
    </xdr:to>
    <xdr:pic>
      <xdr:nvPicPr>
        <xdr:cNvPr id="135" name="Picture 134"/>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28725" y="242792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xdr:row>
      <xdr:rowOff>9525</xdr:rowOff>
    </xdr:from>
    <xdr:to>
      <xdr:col>2</xdr:col>
      <xdr:colOff>1733550</xdr:colOff>
      <xdr:row>136</xdr:row>
      <xdr:rowOff>1524000</xdr:rowOff>
    </xdr:to>
    <xdr:pic>
      <xdr:nvPicPr>
        <xdr:cNvPr id="136" name="Picture 135"/>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28725" y="244697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xdr:row>
      <xdr:rowOff>19050</xdr:rowOff>
    </xdr:from>
    <xdr:to>
      <xdr:col>2</xdr:col>
      <xdr:colOff>1733550</xdr:colOff>
      <xdr:row>137</xdr:row>
      <xdr:rowOff>1647825</xdr:rowOff>
    </xdr:to>
    <xdr:pic>
      <xdr:nvPicPr>
        <xdr:cNvPr id="137" name="Picture 136"/>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28725" y="2464593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xdr:row>
      <xdr:rowOff>19050</xdr:rowOff>
    </xdr:from>
    <xdr:to>
      <xdr:col>2</xdr:col>
      <xdr:colOff>1733550</xdr:colOff>
      <xdr:row>138</xdr:row>
      <xdr:rowOff>1619250</xdr:rowOff>
    </xdr:to>
    <xdr:pic>
      <xdr:nvPicPr>
        <xdr:cNvPr id="138" name="Picture 137"/>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228725" y="2483548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xdr:row>
      <xdr:rowOff>19050</xdr:rowOff>
    </xdr:from>
    <xdr:to>
      <xdr:col>2</xdr:col>
      <xdr:colOff>1733550</xdr:colOff>
      <xdr:row>139</xdr:row>
      <xdr:rowOff>1619250</xdr:rowOff>
    </xdr:to>
    <xdr:pic>
      <xdr:nvPicPr>
        <xdr:cNvPr id="139" name="Picture 138"/>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28725" y="2502122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xdr:row>
      <xdr:rowOff>9525</xdr:rowOff>
    </xdr:from>
    <xdr:to>
      <xdr:col>2</xdr:col>
      <xdr:colOff>1733550</xdr:colOff>
      <xdr:row>140</xdr:row>
      <xdr:rowOff>1524000</xdr:rowOff>
    </xdr:to>
    <xdr:pic>
      <xdr:nvPicPr>
        <xdr:cNvPr id="140" name="Picture 139"/>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28725" y="252060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xdr:row>
      <xdr:rowOff>19050</xdr:rowOff>
    </xdr:from>
    <xdr:to>
      <xdr:col>2</xdr:col>
      <xdr:colOff>1733550</xdr:colOff>
      <xdr:row>141</xdr:row>
      <xdr:rowOff>1619250</xdr:rowOff>
    </xdr:to>
    <xdr:pic>
      <xdr:nvPicPr>
        <xdr:cNvPr id="141" name="Picture 140"/>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28725" y="2538222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xdr:row>
      <xdr:rowOff>19050</xdr:rowOff>
    </xdr:from>
    <xdr:to>
      <xdr:col>2</xdr:col>
      <xdr:colOff>1733550</xdr:colOff>
      <xdr:row>142</xdr:row>
      <xdr:rowOff>1619250</xdr:rowOff>
    </xdr:to>
    <xdr:pic>
      <xdr:nvPicPr>
        <xdr:cNvPr id="142" name="Picture 141"/>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228725" y="2556795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xdr:row>
      <xdr:rowOff>9525</xdr:rowOff>
    </xdr:from>
    <xdr:to>
      <xdr:col>2</xdr:col>
      <xdr:colOff>1733550</xdr:colOff>
      <xdr:row>143</xdr:row>
      <xdr:rowOff>1524000</xdr:rowOff>
    </xdr:to>
    <xdr:pic>
      <xdr:nvPicPr>
        <xdr:cNvPr id="143" name="Picture 142"/>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28725" y="257527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xdr:row>
      <xdr:rowOff>9525</xdr:rowOff>
    </xdr:from>
    <xdr:to>
      <xdr:col>2</xdr:col>
      <xdr:colOff>1733550</xdr:colOff>
      <xdr:row>144</xdr:row>
      <xdr:rowOff>1524000</xdr:rowOff>
    </xdr:to>
    <xdr:pic>
      <xdr:nvPicPr>
        <xdr:cNvPr id="144" name="Picture 143"/>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28725" y="259280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xdr:row>
      <xdr:rowOff>9525</xdr:rowOff>
    </xdr:from>
    <xdr:to>
      <xdr:col>2</xdr:col>
      <xdr:colOff>1733550</xdr:colOff>
      <xdr:row>145</xdr:row>
      <xdr:rowOff>1524000</xdr:rowOff>
    </xdr:to>
    <xdr:pic>
      <xdr:nvPicPr>
        <xdr:cNvPr id="145" name="Picture 144"/>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28725" y="261032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xdr:row>
      <xdr:rowOff>9525</xdr:rowOff>
    </xdr:from>
    <xdr:to>
      <xdr:col>2</xdr:col>
      <xdr:colOff>1733550</xdr:colOff>
      <xdr:row>146</xdr:row>
      <xdr:rowOff>1524000</xdr:rowOff>
    </xdr:to>
    <xdr:pic>
      <xdr:nvPicPr>
        <xdr:cNvPr id="146" name="Picture 145"/>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28725" y="262785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xdr:row>
      <xdr:rowOff>9525</xdr:rowOff>
    </xdr:from>
    <xdr:to>
      <xdr:col>2</xdr:col>
      <xdr:colOff>1733550</xdr:colOff>
      <xdr:row>147</xdr:row>
      <xdr:rowOff>1524000</xdr:rowOff>
    </xdr:to>
    <xdr:pic>
      <xdr:nvPicPr>
        <xdr:cNvPr id="147" name="Picture 146"/>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28725" y="264537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xdr:row>
      <xdr:rowOff>9525</xdr:rowOff>
    </xdr:from>
    <xdr:to>
      <xdr:col>2</xdr:col>
      <xdr:colOff>1733550</xdr:colOff>
      <xdr:row>148</xdr:row>
      <xdr:rowOff>1524000</xdr:rowOff>
    </xdr:to>
    <xdr:pic>
      <xdr:nvPicPr>
        <xdr:cNvPr id="148" name="Picture 147"/>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28725" y="266290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xdr:row>
      <xdr:rowOff>19050</xdr:rowOff>
    </xdr:from>
    <xdr:to>
      <xdr:col>2</xdr:col>
      <xdr:colOff>1733550</xdr:colOff>
      <xdr:row>149</xdr:row>
      <xdr:rowOff>1666875</xdr:rowOff>
    </xdr:to>
    <xdr:pic>
      <xdr:nvPicPr>
        <xdr:cNvPr id="149" name="Picture 148"/>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268052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xdr:row>
      <xdr:rowOff>19050</xdr:rowOff>
    </xdr:from>
    <xdr:to>
      <xdr:col>2</xdr:col>
      <xdr:colOff>1733550</xdr:colOff>
      <xdr:row>150</xdr:row>
      <xdr:rowOff>1666875</xdr:rowOff>
    </xdr:to>
    <xdr:pic>
      <xdr:nvPicPr>
        <xdr:cNvPr id="150" name="Picture 149"/>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28725" y="269967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xdr:row>
      <xdr:rowOff>19050</xdr:rowOff>
    </xdr:from>
    <xdr:to>
      <xdr:col>2</xdr:col>
      <xdr:colOff>1733550</xdr:colOff>
      <xdr:row>151</xdr:row>
      <xdr:rowOff>1647825</xdr:rowOff>
    </xdr:to>
    <xdr:pic>
      <xdr:nvPicPr>
        <xdr:cNvPr id="151" name="Picture 150"/>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228725" y="271881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xdr:row>
      <xdr:rowOff>9525</xdr:rowOff>
    </xdr:from>
    <xdr:to>
      <xdr:col>2</xdr:col>
      <xdr:colOff>1733550</xdr:colOff>
      <xdr:row>152</xdr:row>
      <xdr:rowOff>1524000</xdr:rowOff>
    </xdr:to>
    <xdr:pic>
      <xdr:nvPicPr>
        <xdr:cNvPr id="152" name="Picture 151"/>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228725" y="273767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xdr:row>
      <xdr:rowOff>9525</xdr:rowOff>
    </xdr:from>
    <xdr:to>
      <xdr:col>2</xdr:col>
      <xdr:colOff>1733550</xdr:colOff>
      <xdr:row>153</xdr:row>
      <xdr:rowOff>1524000</xdr:rowOff>
    </xdr:to>
    <xdr:pic>
      <xdr:nvPicPr>
        <xdr:cNvPr id="153" name="Picture 152"/>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28725" y="275520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xdr:row>
      <xdr:rowOff>19050</xdr:rowOff>
    </xdr:from>
    <xdr:to>
      <xdr:col>2</xdr:col>
      <xdr:colOff>1733550</xdr:colOff>
      <xdr:row>154</xdr:row>
      <xdr:rowOff>1666875</xdr:rowOff>
    </xdr:to>
    <xdr:pic>
      <xdr:nvPicPr>
        <xdr:cNvPr id="154" name="Picture 153"/>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28725" y="277282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xdr:row>
      <xdr:rowOff>19050</xdr:rowOff>
    </xdr:from>
    <xdr:to>
      <xdr:col>2</xdr:col>
      <xdr:colOff>1733550</xdr:colOff>
      <xdr:row>155</xdr:row>
      <xdr:rowOff>1666875</xdr:rowOff>
    </xdr:to>
    <xdr:pic>
      <xdr:nvPicPr>
        <xdr:cNvPr id="155" name="Picture 154"/>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28725" y="27919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xdr:row>
      <xdr:rowOff>19050</xdr:rowOff>
    </xdr:from>
    <xdr:to>
      <xdr:col>2</xdr:col>
      <xdr:colOff>1733550</xdr:colOff>
      <xdr:row>156</xdr:row>
      <xdr:rowOff>1647825</xdr:rowOff>
    </xdr:to>
    <xdr:pic>
      <xdr:nvPicPr>
        <xdr:cNvPr id="156" name="Picture 155"/>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28725" y="2811113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xdr:row>
      <xdr:rowOff>19050</xdr:rowOff>
    </xdr:from>
    <xdr:to>
      <xdr:col>2</xdr:col>
      <xdr:colOff>1733550</xdr:colOff>
      <xdr:row>157</xdr:row>
      <xdr:rowOff>1666875</xdr:rowOff>
    </xdr:to>
    <xdr:pic>
      <xdr:nvPicPr>
        <xdr:cNvPr id="157" name="Picture 156"/>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28725" y="28300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xdr:row>
      <xdr:rowOff>19050</xdr:rowOff>
    </xdr:from>
    <xdr:to>
      <xdr:col>2</xdr:col>
      <xdr:colOff>1733550</xdr:colOff>
      <xdr:row>158</xdr:row>
      <xdr:rowOff>1666875</xdr:rowOff>
    </xdr:to>
    <xdr:pic>
      <xdr:nvPicPr>
        <xdr:cNvPr id="158" name="Picture 157"/>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28725" y="284921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xdr:row>
      <xdr:rowOff>9525</xdr:rowOff>
    </xdr:from>
    <xdr:to>
      <xdr:col>2</xdr:col>
      <xdr:colOff>1733550</xdr:colOff>
      <xdr:row>159</xdr:row>
      <xdr:rowOff>1524000</xdr:rowOff>
    </xdr:to>
    <xdr:pic>
      <xdr:nvPicPr>
        <xdr:cNvPr id="159" name="Picture 158"/>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28725" y="286826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xdr:row>
      <xdr:rowOff>9525</xdr:rowOff>
    </xdr:from>
    <xdr:to>
      <xdr:col>2</xdr:col>
      <xdr:colOff>1733550</xdr:colOff>
      <xdr:row>160</xdr:row>
      <xdr:rowOff>1524000</xdr:rowOff>
    </xdr:to>
    <xdr:pic>
      <xdr:nvPicPr>
        <xdr:cNvPr id="160" name="Picture 159"/>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28725" y="288578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xdr:row>
      <xdr:rowOff>9525</xdr:rowOff>
    </xdr:from>
    <xdr:to>
      <xdr:col>2</xdr:col>
      <xdr:colOff>1733550</xdr:colOff>
      <xdr:row>161</xdr:row>
      <xdr:rowOff>1524000</xdr:rowOff>
    </xdr:to>
    <xdr:pic>
      <xdr:nvPicPr>
        <xdr:cNvPr id="161" name="Picture 160"/>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28725" y="290331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xdr:row>
      <xdr:rowOff>19050</xdr:rowOff>
    </xdr:from>
    <xdr:to>
      <xdr:col>2</xdr:col>
      <xdr:colOff>1733550</xdr:colOff>
      <xdr:row>162</xdr:row>
      <xdr:rowOff>1666875</xdr:rowOff>
    </xdr:to>
    <xdr:pic>
      <xdr:nvPicPr>
        <xdr:cNvPr id="162" name="Picture 161"/>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28725" y="292093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xdr:row>
      <xdr:rowOff>19050</xdr:rowOff>
    </xdr:from>
    <xdr:to>
      <xdr:col>2</xdr:col>
      <xdr:colOff>1733550</xdr:colOff>
      <xdr:row>163</xdr:row>
      <xdr:rowOff>1666875</xdr:rowOff>
    </xdr:to>
    <xdr:pic>
      <xdr:nvPicPr>
        <xdr:cNvPr id="163" name="Picture 162"/>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28725" y="294008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xdr:row>
      <xdr:rowOff>19050</xdr:rowOff>
    </xdr:from>
    <xdr:to>
      <xdr:col>2</xdr:col>
      <xdr:colOff>1733550</xdr:colOff>
      <xdr:row>164</xdr:row>
      <xdr:rowOff>1666875</xdr:rowOff>
    </xdr:to>
    <xdr:pic>
      <xdr:nvPicPr>
        <xdr:cNvPr id="164" name="Picture 163"/>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28725" y="295922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xdr:row>
      <xdr:rowOff>19050</xdr:rowOff>
    </xdr:from>
    <xdr:to>
      <xdr:col>2</xdr:col>
      <xdr:colOff>1733550</xdr:colOff>
      <xdr:row>165</xdr:row>
      <xdr:rowOff>1666875</xdr:rowOff>
    </xdr:to>
    <xdr:pic>
      <xdr:nvPicPr>
        <xdr:cNvPr id="165" name="Picture 164"/>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297837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xdr:row>
      <xdr:rowOff>19050</xdr:rowOff>
    </xdr:from>
    <xdr:to>
      <xdr:col>2</xdr:col>
      <xdr:colOff>1733550</xdr:colOff>
      <xdr:row>166</xdr:row>
      <xdr:rowOff>1666875</xdr:rowOff>
    </xdr:to>
    <xdr:pic>
      <xdr:nvPicPr>
        <xdr:cNvPr id="166" name="Picture 165"/>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228725" y="29975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xdr:row>
      <xdr:rowOff>19050</xdr:rowOff>
    </xdr:from>
    <xdr:to>
      <xdr:col>2</xdr:col>
      <xdr:colOff>1733550</xdr:colOff>
      <xdr:row>167</xdr:row>
      <xdr:rowOff>1666875</xdr:rowOff>
    </xdr:to>
    <xdr:pic>
      <xdr:nvPicPr>
        <xdr:cNvPr id="167" name="Picture 166"/>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28725" y="301666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xdr:row>
      <xdr:rowOff>19050</xdr:rowOff>
    </xdr:from>
    <xdr:to>
      <xdr:col>2</xdr:col>
      <xdr:colOff>1733550</xdr:colOff>
      <xdr:row>168</xdr:row>
      <xdr:rowOff>1666875</xdr:rowOff>
    </xdr:to>
    <xdr:pic>
      <xdr:nvPicPr>
        <xdr:cNvPr id="168" name="Picture 167"/>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228725" y="303580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xdr:row>
      <xdr:rowOff>19050</xdr:rowOff>
    </xdr:from>
    <xdr:to>
      <xdr:col>2</xdr:col>
      <xdr:colOff>1733550</xdr:colOff>
      <xdr:row>169</xdr:row>
      <xdr:rowOff>1666875</xdr:rowOff>
    </xdr:to>
    <xdr:pic>
      <xdr:nvPicPr>
        <xdr:cNvPr id="169" name="Picture 168"/>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28725" y="305495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xdr:row>
      <xdr:rowOff>9525</xdr:rowOff>
    </xdr:from>
    <xdr:to>
      <xdr:col>2</xdr:col>
      <xdr:colOff>1733550</xdr:colOff>
      <xdr:row>170</xdr:row>
      <xdr:rowOff>1524000</xdr:rowOff>
    </xdr:to>
    <xdr:pic>
      <xdr:nvPicPr>
        <xdr:cNvPr id="170" name="Picture 169"/>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28725" y="307400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xdr:row>
      <xdr:rowOff>9525</xdr:rowOff>
    </xdr:from>
    <xdr:to>
      <xdr:col>2</xdr:col>
      <xdr:colOff>1733550</xdr:colOff>
      <xdr:row>171</xdr:row>
      <xdr:rowOff>1524000</xdr:rowOff>
    </xdr:to>
    <xdr:pic>
      <xdr:nvPicPr>
        <xdr:cNvPr id="171" name="Picture 170"/>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28725" y="309152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xdr:row>
      <xdr:rowOff>9525</xdr:rowOff>
    </xdr:from>
    <xdr:to>
      <xdr:col>2</xdr:col>
      <xdr:colOff>1733550</xdr:colOff>
      <xdr:row>172</xdr:row>
      <xdr:rowOff>1524000</xdr:rowOff>
    </xdr:to>
    <xdr:pic>
      <xdr:nvPicPr>
        <xdr:cNvPr id="172" name="Picture 171"/>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28725" y="310905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xdr:row>
      <xdr:rowOff>9525</xdr:rowOff>
    </xdr:from>
    <xdr:to>
      <xdr:col>2</xdr:col>
      <xdr:colOff>1733550</xdr:colOff>
      <xdr:row>173</xdr:row>
      <xdr:rowOff>1524000</xdr:rowOff>
    </xdr:to>
    <xdr:pic>
      <xdr:nvPicPr>
        <xdr:cNvPr id="173" name="Picture 172"/>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28725" y="312658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xdr:row>
      <xdr:rowOff>9525</xdr:rowOff>
    </xdr:from>
    <xdr:to>
      <xdr:col>2</xdr:col>
      <xdr:colOff>1733550</xdr:colOff>
      <xdr:row>174</xdr:row>
      <xdr:rowOff>1524000</xdr:rowOff>
    </xdr:to>
    <xdr:pic>
      <xdr:nvPicPr>
        <xdr:cNvPr id="174" name="Picture 173"/>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28725" y="314410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xdr:row>
      <xdr:rowOff>9525</xdr:rowOff>
    </xdr:from>
    <xdr:to>
      <xdr:col>2</xdr:col>
      <xdr:colOff>1733550</xdr:colOff>
      <xdr:row>175</xdr:row>
      <xdr:rowOff>1524000</xdr:rowOff>
    </xdr:to>
    <xdr:pic>
      <xdr:nvPicPr>
        <xdr:cNvPr id="175" name="Picture 174"/>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228725" y="316163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xdr:row>
      <xdr:rowOff>19050</xdr:rowOff>
    </xdr:from>
    <xdr:to>
      <xdr:col>2</xdr:col>
      <xdr:colOff>1733550</xdr:colOff>
      <xdr:row>176</xdr:row>
      <xdr:rowOff>1647825</xdr:rowOff>
    </xdr:to>
    <xdr:pic>
      <xdr:nvPicPr>
        <xdr:cNvPr id="176" name="Picture 175"/>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228725" y="317925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xdr:row>
      <xdr:rowOff>19050</xdr:rowOff>
    </xdr:from>
    <xdr:to>
      <xdr:col>2</xdr:col>
      <xdr:colOff>1733550</xdr:colOff>
      <xdr:row>177</xdr:row>
      <xdr:rowOff>1647825</xdr:rowOff>
    </xdr:to>
    <xdr:pic>
      <xdr:nvPicPr>
        <xdr:cNvPr id="177" name="Picture 176"/>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28725" y="3198209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xdr:row>
      <xdr:rowOff>19050</xdr:rowOff>
    </xdr:from>
    <xdr:to>
      <xdr:col>2</xdr:col>
      <xdr:colOff>1733550</xdr:colOff>
      <xdr:row>178</xdr:row>
      <xdr:rowOff>1666875</xdr:rowOff>
    </xdr:to>
    <xdr:pic>
      <xdr:nvPicPr>
        <xdr:cNvPr id="178" name="Picture 177"/>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28725" y="321716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xdr:row>
      <xdr:rowOff>9525</xdr:rowOff>
    </xdr:from>
    <xdr:to>
      <xdr:col>2</xdr:col>
      <xdr:colOff>1733550</xdr:colOff>
      <xdr:row>179</xdr:row>
      <xdr:rowOff>1524000</xdr:rowOff>
    </xdr:to>
    <xdr:pic>
      <xdr:nvPicPr>
        <xdr:cNvPr id="179" name="Picture 178"/>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28725" y="323621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xdr:row>
      <xdr:rowOff>9525</xdr:rowOff>
    </xdr:from>
    <xdr:to>
      <xdr:col>2</xdr:col>
      <xdr:colOff>1733550</xdr:colOff>
      <xdr:row>180</xdr:row>
      <xdr:rowOff>1524000</xdr:rowOff>
    </xdr:to>
    <xdr:pic>
      <xdr:nvPicPr>
        <xdr:cNvPr id="180" name="Picture 179"/>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28725" y="325374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xdr:row>
      <xdr:rowOff>19050</xdr:rowOff>
    </xdr:from>
    <xdr:to>
      <xdr:col>2</xdr:col>
      <xdr:colOff>1733550</xdr:colOff>
      <xdr:row>181</xdr:row>
      <xdr:rowOff>1666875</xdr:rowOff>
    </xdr:to>
    <xdr:pic>
      <xdr:nvPicPr>
        <xdr:cNvPr id="181" name="Picture 180"/>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228725" y="327136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xdr:row>
      <xdr:rowOff>9525</xdr:rowOff>
    </xdr:from>
    <xdr:to>
      <xdr:col>2</xdr:col>
      <xdr:colOff>1733550</xdr:colOff>
      <xdr:row>182</xdr:row>
      <xdr:rowOff>1524000</xdr:rowOff>
    </xdr:to>
    <xdr:pic>
      <xdr:nvPicPr>
        <xdr:cNvPr id="182" name="Picture 181"/>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28725" y="329041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xdr:row>
      <xdr:rowOff>19050</xdr:rowOff>
    </xdr:from>
    <xdr:to>
      <xdr:col>2</xdr:col>
      <xdr:colOff>1733550</xdr:colOff>
      <xdr:row>183</xdr:row>
      <xdr:rowOff>1685925</xdr:rowOff>
    </xdr:to>
    <xdr:pic>
      <xdr:nvPicPr>
        <xdr:cNvPr id="183" name="Picture 182"/>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28725" y="3308032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xdr:row>
      <xdr:rowOff>19050</xdr:rowOff>
    </xdr:from>
    <xdr:to>
      <xdr:col>2</xdr:col>
      <xdr:colOff>1733550</xdr:colOff>
      <xdr:row>184</xdr:row>
      <xdr:rowOff>1685925</xdr:rowOff>
    </xdr:to>
    <xdr:pic>
      <xdr:nvPicPr>
        <xdr:cNvPr id="184" name="Picture 183"/>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228725" y="3327463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xdr:row>
      <xdr:rowOff>19050</xdr:rowOff>
    </xdr:from>
    <xdr:to>
      <xdr:col>2</xdr:col>
      <xdr:colOff>1733550</xdr:colOff>
      <xdr:row>185</xdr:row>
      <xdr:rowOff>1685925</xdr:rowOff>
    </xdr:to>
    <xdr:pic>
      <xdr:nvPicPr>
        <xdr:cNvPr id="185" name="Picture 184"/>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228725" y="3346894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xdr:row>
      <xdr:rowOff>19050</xdr:rowOff>
    </xdr:from>
    <xdr:to>
      <xdr:col>2</xdr:col>
      <xdr:colOff>1733550</xdr:colOff>
      <xdr:row>186</xdr:row>
      <xdr:rowOff>1685925</xdr:rowOff>
    </xdr:to>
    <xdr:pic>
      <xdr:nvPicPr>
        <xdr:cNvPr id="186" name="Picture 185"/>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28725" y="3366325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xdr:row>
      <xdr:rowOff>19050</xdr:rowOff>
    </xdr:from>
    <xdr:to>
      <xdr:col>2</xdr:col>
      <xdr:colOff>1733550</xdr:colOff>
      <xdr:row>187</xdr:row>
      <xdr:rowOff>1685925</xdr:rowOff>
    </xdr:to>
    <xdr:pic>
      <xdr:nvPicPr>
        <xdr:cNvPr id="187" name="Picture 186"/>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228725" y="3385756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xdr:row>
      <xdr:rowOff>19050</xdr:rowOff>
    </xdr:from>
    <xdr:to>
      <xdr:col>2</xdr:col>
      <xdr:colOff>1733550</xdr:colOff>
      <xdr:row>188</xdr:row>
      <xdr:rowOff>1666875</xdr:rowOff>
    </xdr:to>
    <xdr:pic>
      <xdr:nvPicPr>
        <xdr:cNvPr id="188" name="Picture 187"/>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228725" y="340518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xdr:row>
      <xdr:rowOff>19050</xdr:rowOff>
    </xdr:from>
    <xdr:to>
      <xdr:col>2</xdr:col>
      <xdr:colOff>1733550</xdr:colOff>
      <xdr:row>189</xdr:row>
      <xdr:rowOff>1685925</xdr:rowOff>
    </xdr:to>
    <xdr:pic>
      <xdr:nvPicPr>
        <xdr:cNvPr id="189" name="Picture 188"/>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28725" y="3424332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xdr:row>
      <xdr:rowOff>19050</xdr:rowOff>
    </xdr:from>
    <xdr:to>
      <xdr:col>2</xdr:col>
      <xdr:colOff>1733550</xdr:colOff>
      <xdr:row>190</xdr:row>
      <xdr:rowOff>1685925</xdr:rowOff>
    </xdr:to>
    <xdr:pic>
      <xdr:nvPicPr>
        <xdr:cNvPr id="190" name="Picture 189"/>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1228725" y="3443763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xdr:row>
      <xdr:rowOff>19050</xdr:rowOff>
    </xdr:from>
    <xdr:to>
      <xdr:col>2</xdr:col>
      <xdr:colOff>1733550</xdr:colOff>
      <xdr:row>191</xdr:row>
      <xdr:rowOff>1666875</xdr:rowOff>
    </xdr:to>
    <xdr:pic>
      <xdr:nvPicPr>
        <xdr:cNvPr id="191" name="Picture 190"/>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1228725" y="34631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xdr:row>
      <xdr:rowOff>19050</xdr:rowOff>
    </xdr:from>
    <xdr:to>
      <xdr:col>2</xdr:col>
      <xdr:colOff>1733550</xdr:colOff>
      <xdr:row>192</xdr:row>
      <xdr:rowOff>1685925</xdr:rowOff>
    </xdr:to>
    <xdr:pic>
      <xdr:nvPicPr>
        <xdr:cNvPr id="192" name="Picture 191"/>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28725" y="3482340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xdr:row>
      <xdr:rowOff>19050</xdr:rowOff>
    </xdr:from>
    <xdr:to>
      <xdr:col>2</xdr:col>
      <xdr:colOff>1733550</xdr:colOff>
      <xdr:row>193</xdr:row>
      <xdr:rowOff>1647825</xdr:rowOff>
    </xdr:to>
    <xdr:pic>
      <xdr:nvPicPr>
        <xdr:cNvPr id="193" name="Picture 192"/>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1228725" y="3501771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xdr:row>
      <xdr:rowOff>9525</xdr:rowOff>
    </xdr:from>
    <xdr:to>
      <xdr:col>2</xdr:col>
      <xdr:colOff>1733550</xdr:colOff>
      <xdr:row>194</xdr:row>
      <xdr:rowOff>1524000</xdr:rowOff>
    </xdr:to>
    <xdr:pic>
      <xdr:nvPicPr>
        <xdr:cNvPr id="194" name="Picture 193"/>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1228725" y="352063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xdr:row>
      <xdr:rowOff>9525</xdr:rowOff>
    </xdr:from>
    <xdr:to>
      <xdr:col>2</xdr:col>
      <xdr:colOff>1733550</xdr:colOff>
      <xdr:row>195</xdr:row>
      <xdr:rowOff>1524000</xdr:rowOff>
    </xdr:to>
    <xdr:pic>
      <xdr:nvPicPr>
        <xdr:cNvPr id="195" name="Picture 194"/>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1228725" y="3538156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xdr:row>
      <xdr:rowOff>9525</xdr:rowOff>
    </xdr:from>
    <xdr:to>
      <xdr:col>2</xdr:col>
      <xdr:colOff>1733550</xdr:colOff>
      <xdr:row>196</xdr:row>
      <xdr:rowOff>1524000</xdr:rowOff>
    </xdr:to>
    <xdr:pic>
      <xdr:nvPicPr>
        <xdr:cNvPr id="196" name="Picture 195"/>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228725" y="355568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xdr:row>
      <xdr:rowOff>19050</xdr:rowOff>
    </xdr:from>
    <xdr:to>
      <xdr:col>2</xdr:col>
      <xdr:colOff>1733550</xdr:colOff>
      <xdr:row>197</xdr:row>
      <xdr:rowOff>1666875</xdr:rowOff>
    </xdr:to>
    <xdr:pic>
      <xdr:nvPicPr>
        <xdr:cNvPr id="197" name="Picture 196"/>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1228725" y="357330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xdr:row>
      <xdr:rowOff>9525</xdr:rowOff>
    </xdr:from>
    <xdr:to>
      <xdr:col>2</xdr:col>
      <xdr:colOff>1733550</xdr:colOff>
      <xdr:row>198</xdr:row>
      <xdr:rowOff>1524000</xdr:rowOff>
    </xdr:to>
    <xdr:pic>
      <xdr:nvPicPr>
        <xdr:cNvPr id="198" name="Picture 197"/>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1228725" y="359235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xdr:row>
      <xdr:rowOff>9525</xdr:rowOff>
    </xdr:from>
    <xdr:to>
      <xdr:col>2</xdr:col>
      <xdr:colOff>1733550</xdr:colOff>
      <xdr:row>199</xdr:row>
      <xdr:rowOff>1524000</xdr:rowOff>
    </xdr:to>
    <xdr:pic>
      <xdr:nvPicPr>
        <xdr:cNvPr id="199" name="Picture 198"/>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228725" y="360987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xdr:row>
      <xdr:rowOff>19050</xdr:rowOff>
    </xdr:from>
    <xdr:to>
      <xdr:col>2</xdr:col>
      <xdr:colOff>1733550</xdr:colOff>
      <xdr:row>200</xdr:row>
      <xdr:rowOff>1685925</xdr:rowOff>
    </xdr:to>
    <xdr:pic>
      <xdr:nvPicPr>
        <xdr:cNvPr id="200" name="Picture 199"/>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1228725" y="3627501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xdr:row>
      <xdr:rowOff>19050</xdr:rowOff>
    </xdr:from>
    <xdr:to>
      <xdr:col>2</xdr:col>
      <xdr:colOff>1733550</xdr:colOff>
      <xdr:row>201</xdr:row>
      <xdr:rowOff>1685925</xdr:rowOff>
    </xdr:to>
    <xdr:pic>
      <xdr:nvPicPr>
        <xdr:cNvPr id="201" name="Picture 200"/>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228725" y="3646932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xdr:row>
      <xdr:rowOff>19050</xdr:rowOff>
    </xdr:from>
    <xdr:to>
      <xdr:col>2</xdr:col>
      <xdr:colOff>1733550</xdr:colOff>
      <xdr:row>202</xdr:row>
      <xdr:rowOff>1685925</xdr:rowOff>
    </xdr:to>
    <xdr:pic>
      <xdr:nvPicPr>
        <xdr:cNvPr id="202" name="Picture 201"/>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28725" y="3666363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xdr:row>
      <xdr:rowOff>19050</xdr:rowOff>
    </xdr:from>
    <xdr:to>
      <xdr:col>2</xdr:col>
      <xdr:colOff>1733550</xdr:colOff>
      <xdr:row>203</xdr:row>
      <xdr:rowOff>1685925</xdr:rowOff>
    </xdr:to>
    <xdr:pic>
      <xdr:nvPicPr>
        <xdr:cNvPr id="203" name="Picture 202"/>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28725" y="3685794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xdr:row>
      <xdr:rowOff>19050</xdr:rowOff>
    </xdr:from>
    <xdr:to>
      <xdr:col>2</xdr:col>
      <xdr:colOff>1733550</xdr:colOff>
      <xdr:row>204</xdr:row>
      <xdr:rowOff>1685925</xdr:rowOff>
    </xdr:to>
    <xdr:pic>
      <xdr:nvPicPr>
        <xdr:cNvPr id="204" name="Picture 203"/>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28725" y="3705225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xdr:row>
      <xdr:rowOff>19050</xdr:rowOff>
    </xdr:from>
    <xdr:to>
      <xdr:col>2</xdr:col>
      <xdr:colOff>1733550</xdr:colOff>
      <xdr:row>205</xdr:row>
      <xdr:rowOff>1685925</xdr:rowOff>
    </xdr:to>
    <xdr:pic>
      <xdr:nvPicPr>
        <xdr:cNvPr id="205" name="Picture 204"/>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28725" y="3724656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xdr:row>
      <xdr:rowOff>19050</xdr:rowOff>
    </xdr:from>
    <xdr:to>
      <xdr:col>2</xdr:col>
      <xdr:colOff>1733550</xdr:colOff>
      <xdr:row>206</xdr:row>
      <xdr:rowOff>1733550</xdr:rowOff>
    </xdr:to>
    <xdr:pic>
      <xdr:nvPicPr>
        <xdr:cNvPr id="206" name="Picture 205"/>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1228725" y="3744087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xdr:row>
      <xdr:rowOff>19050</xdr:rowOff>
    </xdr:from>
    <xdr:to>
      <xdr:col>2</xdr:col>
      <xdr:colOff>1733550</xdr:colOff>
      <xdr:row>207</xdr:row>
      <xdr:rowOff>1733550</xdr:rowOff>
    </xdr:to>
    <xdr:pic>
      <xdr:nvPicPr>
        <xdr:cNvPr id="207" name="Picture 206"/>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1228725" y="3764089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xdr:row>
      <xdr:rowOff>19050</xdr:rowOff>
    </xdr:from>
    <xdr:to>
      <xdr:col>2</xdr:col>
      <xdr:colOff>1733550</xdr:colOff>
      <xdr:row>208</xdr:row>
      <xdr:rowOff>1733550</xdr:rowOff>
    </xdr:to>
    <xdr:pic>
      <xdr:nvPicPr>
        <xdr:cNvPr id="208" name="Picture 207"/>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28725" y="3784092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xdr:row>
      <xdr:rowOff>19050</xdr:rowOff>
    </xdr:from>
    <xdr:to>
      <xdr:col>2</xdr:col>
      <xdr:colOff>1733550</xdr:colOff>
      <xdr:row>209</xdr:row>
      <xdr:rowOff>1733550</xdr:rowOff>
    </xdr:to>
    <xdr:pic>
      <xdr:nvPicPr>
        <xdr:cNvPr id="209" name="Picture 208"/>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28725" y="3804094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xdr:row>
      <xdr:rowOff>19050</xdr:rowOff>
    </xdr:from>
    <xdr:to>
      <xdr:col>2</xdr:col>
      <xdr:colOff>1733550</xdr:colOff>
      <xdr:row>210</xdr:row>
      <xdr:rowOff>1733550</xdr:rowOff>
    </xdr:to>
    <xdr:pic>
      <xdr:nvPicPr>
        <xdr:cNvPr id="210" name="Picture 209"/>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28725" y="3824097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xdr:row>
      <xdr:rowOff>9525</xdr:rowOff>
    </xdr:from>
    <xdr:to>
      <xdr:col>2</xdr:col>
      <xdr:colOff>1733550</xdr:colOff>
      <xdr:row>211</xdr:row>
      <xdr:rowOff>1524000</xdr:rowOff>
    </xdr:to>
    <xdr:pic>
      <xdr:nvPicPr>
        <xdr:cNvPr id="211" name="Picture 210"/>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28725" y="384400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xdr:row>
      <xdr:rowOff>9525</xdr:rowOff>
    </xdr:from>
    <xdr:to>
      <xdr:col>2</xdr:col>
      <xdr:colOff>1733550</xdr:colOff>
      <xdr:row>212</xdr:row>
      <xdr:rowOff>1524000</xdr:rowOff>
    </xdr:to>
    <xdr:pic>
      <xdr:nvPicPr>
        <xdr:cNvPr id="212" name="Picture 211"/>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28725" y="386153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xdr:row>
      <xdr:rowOff>19050</xdr:rowOff>
    </xdr:from>
    <xdr:to>
      <xdr:col>2</xdr:col>
      <xdr:colOff>1733550</xdr:colOff>
      <xdr:row>213</xdr:row>
      <xdr:rowOff>1733550</xdr:rowOff>
    </xdr:to>
    <xdr:pic>
      <xdr:nvPicPr>
        <xdr:cNvPr id="213" name="Picture 21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28725" y="387915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xdr:row>
      <xdr:rowOff>19050</xdr:rowOff>
    </xdr:from>
    <xdr:to>
      <xdr:col>2</xdr:col>
      <xdr:colOff>1733550</xdr:colOff>
      <xdr:row>214</xdr:row>
      <xdr:rowOff>1733550</xdr:rowOff>
    </xdr:to>
    <xdr:pic>
      <xdr:nvPicPr>
        <xdr:cNvPr id="214" name="Picture 213"/>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28725" y="389915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xdr:row>
      <xdr:rowOff>19050</xdr:rowOff>
    </xdr:from>
    <xdr:to>
      <xdr:col>2</xdr:col>
      <xdr:colOff>1733550</xdr:colOff>
      <xdr:row>215</xdr:row>
      <xdr:rowOff>1733550</xdr:rowOff>
    </xdr:to>
    <xdr:pic>
      <xdr:nvPicPr>
        <xdr:cNvPr id="215" name="Picture 214"/>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28725" y="391915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xdr:row>
      <xdr:rowOff>9525</xdr:rowOff>
    </xdr:from>
    <xdr:to>
      <xdr:col>2</xdr:col>
      <xdr:colOff>1733550</xdr:colOff>
      <xdr:row>216</xdr:row>
      <xdr:rowOff>1524000</xdr:rowOff>
    </xdr:to>
    <xdr:pic>
      <xdr:nvPicPr>
        <xdr:cNvPr id="216" name="Picture 215"/>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28725" y="393906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xdr:row>
      <xdr:rowOff>19050</xdr:rowOff>
    </xdr:from>
    <xdr:to>
      <xdr:col>2</xdr:col>
      <xdr:colOff>1733550</xdr:colOff>
      <xdr:row>217</xdr:row>
      <xdr:rowOff>1733550</xdr:rowOff>
    </xdr:to>
    <xdr:pic>
      <xdr:nvPicPr>
        <xdr:cNvPr id="217" name="Picture 216"/>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228725" y="395668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xdr:row>
      <xdr:rowOff>19050</xdr:rowOff>
    </xdr:from>
    <xdr:to>
      <xdr:col>2</xdr:col>
      <xdr:colOff>1733550</xdr:colOff>
      <xdr:row>218</xdr:row>
      <xdr:rowOff>1733550</xdr:rowOff>
    </xdr:to>
    <xdr:pic>
      <xdr:nvPicPr>
        <xdr:cNvPr id="218" name="Picture 217"/>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228725" y="397668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xdr:row>
      <xdr:rowOff>19050</xdr:rowOff>
    </xdr:from>
    <xdr:to>
      <xdr:col>2</xdr:col>
      <xdr:colOff>1733550</xdr:colOff>
      <xdr:row>219</xdr:row>
      <xdr:rowOff>1733550</xdr:rowOff>
    </xdr:to>
    <xdr:pic>
      <xdr:nvPicPr>
        <xdr:cNvPr id="219" name="Picture 218"/>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228725" y="399669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xdr:row>
      <xdr:rowOff>19050</xdr:rowOff>
    </xdr:from>
    <xdr:to>
      <xdr:col>2</xdr:col>
      <xdr:colOff>1733550</xdr:colOff>
      <xdr:row>220</xdr:row>
      <xdr:rowOff>1733550</xdr:rowOff>
    </xdr:to>
    <xdr:pic>
      <xdr:nvPicPr>
        <xdr:cNvPr id="220" name="Picture 219"/>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28725" y="401669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xdr:row>
      <xdr:rowOff>19050</xdr:rowOff>
    </xdr:from>
    <xdr:to>
      <xdr:col>2</xdr:col>
      <xdr:colOff>1733550</xdr:colOff>
      <xdr:row>221</xdr:row>
      <xdr:rowOff>1733550</xdr:rowOff>
    </xdr:to>
    <xdr:pic>
      <xdr:nvPicPr>
        <xdr:cNvPr id="221" name="Picture 220"/>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1228725" y="403669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xdr:row>
      <xdr:rowOff>19050</xdr:rowOff>
    </xdr:from>
    <xdr:to>
      <xdr:col>2</xdr:col>
      <xdr:colOff>1733550</xdr:colOff>
      <xdr:row>222</xdr:row>
      <xdr:rowOff>1733550</xdr:rowOff>
    </xdr:to>
    <xdr:pic>
      <xdr:nvPicPr>
        <xdr:cNvPr id="222" name="Picture 221"/>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28725" y="405669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xdr:row>
      <xdr:rowOff>19050</xdr:rowOff>
    </xdr:from>
    <xdr:to>
      <xdr:col>2</xdr:col>
      <xdr:colOff>1733550</xdr:colOff>
      <xdr:row>223</xdr:row>
      <xdr:rowOff>1733550</xdr:rowOff>
    </xdr:to>
    <xdr:pic>
      <xdr:nvPicPr>
        <xdr:cNvPr id="223" name="Picture 222"/>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28725" y="407670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xdr:row>
      <xdr:rowOff>19050</xdr:rowOff>
    </xdr:from>
    <xdr:to>
      <xdr:col>2</xdr:col>
      <xdr:colOff>1733550</xdr:colOff>
      <xdr:row>224</xdr:row>
      <xdr:rowOff>1733550</xdr:rowOff>
    </xdr:to>
    <xdr:pic>
      <xdr:nvPicPr>
        <xdr:cNvPr id="224" name="Picture 223"/>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28725" y="409670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xdr:row>
      <xdr:rowOff>19050</xdr:rowOff>
    </xdr:from>
    <xdr:to>
      <xdr:col>2</xdr:col>
      <xdr:colOff>1733550</xdr:colOff>
      <xdr:row>225</xdr:row>
      <xdr:rowOff>1733550</xdr:rowOff>
    </xdr:to>
    <xdr:pic>
      <xdr:nvPicPr>
        <xdr:cNvPr id="225" name="Picture 224"/>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28725" y="411670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xdr:row>
      <xdr:rowOff>19050</xdr:rowOff>
    </xdr:from>
    <xdr:to>
      <xdr:col>2</xdr:col>
      <xdr:colOff>1733550</xdr:colOff>
      <xdr:row>226</xdr:row>
      <xdr:rowOff>1733550</xdr:rowOff>
    </xdr:to>
    <xdr:pic>
      <xdr:nvPicPr>
        <xdr:cNvPr id="226" name="Picture 225"/>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228725" y="413670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xdr:row>
      <xdr:rowOff>9525</xdr:rowOff>
    </xdr:from>
    <xdr:to>
      <xdr:col>2</xdr:col>
      <xdr:colOff>1733550</xdr:colOff>
      <xdr:row>227</xdr:row>
      <xdr:rowOff>1524000</xdr:rowOff>
    </xdr:to>
    <xdr:pic>
      <xdr:nvPicPr>
        <xdr:cNvPr id="227" name="Picture 226"/>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28725" y="415661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xdr:row>
      <xdr:rowOff>19050</xdr:rowOff>
    </xdr:from>
    <xdr:to>
      <xdr:col>2</xdr:col>
      <xdr:colOff>1733550</xdr:colOff>
      <xdr:row>228</xdr:row>
      <xdr:rowOff>1733550</xdr:rowOff>
    </xdr:to>
    <xdr:pic>
      <xdr:nvPicPr>
        <xdr:cNvPr id="228" name="Picture 227"/>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28725" y="4174236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xdr:row>
      <xdr:rowOff>9525</xdr:rowOff>
    </xdr:from>
    <xdr:to>
      <xdr:col>2</xdr:col>
      <xdr:colOff>1733550</xdr:colOff>
      <xdr:row>229</xdr:row>
      <xdr:rowOff>1524000</xdr:rowOff>
    </xdr:to>
    <xdr:pic>
      <xdr:nvPicPr>
        <xdr:cNvPr id="229" name="Picture 228"/>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28725" y="419414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xdr:row>
      <xdr:rowOff>9525</xdr:rowOff>
    </xdr:from>
    <xdr:to>
      <xdr:col>2</xdr:col>
      <xdr:colOff>1733550</xdr:colOff>
      <xdr:row>230</xdr:row>
      <xdr:rowOff>1524000</xdr:rowOff>
    </xdr:to>
    <xdr:pic>
      <xdr:nvPicPr>
        <xdr:cNvPr id="230" name="Picture 229"/>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28725" y="421166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xdr:row>
      <xdr:rowOff>19050</xdr:rowOff>
    </xdr:from>
    <xdr:to>
      <xdr:col>2</xdr:col>
      <xdr:colOff>1733550</xdr:colOff>
      <xdr:row>231</xdr:row>
      <xdr:rowOff>1733550</xdr:rowOff>
    </xdr:to>
    <xdr:pic>
      <xdr:nvPicPr>
        <xdr:cNvPr id="231" name="Picture 230"/>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28725" y="422929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xdr:row>
      <xdr:rowOff>19050</xdr:rowOff>
    </xdr:from>
    <xdr:to>
      <xdr:col>2</xdr:col>
      <xdr:colOff>1733550</xdr:colOff>
      <xdr:row>232</xdr:row>
      <xdr:rowOff>1733550</xdr:rowOff>
    </xdr:to>
    <xdr:pic>
      <xdr:nvPicPr>
        <xdr:cNvPr id="232" name="Picture 231"/>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28725" y="424929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xdr:row>
      <xdr:rowOff>19050</xdr:rowOff>
    </xdr:from>
    <xdr:to>
      <xdr:col>2</xdr:col>
      <xdr:colOff>1733550</xdr:colOff>
      <xdr:row>233</xdr:row>
      <xdr:rowOff>1733550</xdr:rowOff>
    </xdr:to>
    <xdr:pic>
      <xdr:nvPicPr>
        <xdr:cNvPr id="233" name="Picture 232"/>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228725" y="426929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xdr:row>
      <xdr:rowOff>9525</xdr:rowOff>
    </xdr:from>
    <xdr:to>
      <xdr:col>2</xdr:col>
      <xdr:colOff>1733550</xdr:colOff>
      <xdr:row>234</xdr:row>
      <xdr:rowOff>1524000</xdr:rowOff>
    </xdr:to>
    <xdr:pic>
      <xdr:nvPicPr>
        <xdr:cNvPr id="234" name="Picture 233"/>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228725" y="428920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xdr:row>
      <xdr:rowOff>19050</xdr:rowOff>
    </xdr:from>
    <xdr:to>
      <xdr:col>2</xdr:col>
      <xdr:colOff>1733550</xdr:colOff>
      <xdr:row>235</xdr:row>
      <xdr:rowOff>1733550</xdr:rowOff>
    </xdr:to>
    <xdr:pic>
      <xdr:nvPicPr>
        <xdr:cNvPr id="235" name="Picture 234"/>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28725" y="430682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xdr:row>
      <xdr:rowOff>19050</xdr:rowOff>
    </xdr:from>
    <xdr:to>
      <xdr:col>2</xdr:col>
      <xdr:colOff>1733550</xdr:colOff>
      <xdr:row>236</xdr:row>
      <xdr:rowOff>1733550</xdr:rowOff>
    </xdr:to>
    <xdr:pic>
      <xdr:nvPicPr>
        <xdr:cNvPr id="236" name="Picture 235"/>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28725" y="432682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xdr:row>
      <xdr:rowOff>19050</xdr:rowOff>
    </xdr:from>
    <xdr:to>
      <xdr:col>2</xdr:col>
      <xdr:colOff>1733550</xdr:colOff>
      <xdr:row>237</xdr:row>
      <xdr:rowOff>1733550</xdr:rowOff>
    </xdr:to>
    <xdr:pic>
      <xdr:nvPicPr>
        <xdr:cNvPr id="237" name="Picture 23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228725" y="434682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xdr:row>
      <xdr:rowOff>9525</xdr:rowOff>
    </xdr:from>
    <xdr:to>
      <xdr:col>2</xdr:col>
      <xdr:colOff>1733550</xdr:colOff>
      <xdr:row>238</xdr:row>
      <xdr:rowOff>1524000</xdr:rowOff>
    </xdr:to>
    <xdr:pic>
      <xdr:nvPicPr>
        <xdr:cNvPr id="238" name="Picture 237"/>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228725" y="436673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xdr:row>
      <xdr:rowOff>9525</xdr:rowOff>
    </xdr:from>
    <xdr:to>
      <xdr:col>2</xdr:col>
      <xdr:colOff>1733550</xdr:colOff>
      <xdr:row>239</xdr:row>
      <xdr:rowOff>1524000</xdr:rowOff>
    </xdr:to>
    <xdr:pic>
      <xdr:nvPicPr>
        <xdr:cNvPr id="239" name="Picture 238"/>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28725" y="438426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xdr:row>
      <xdr:rowOff>19050</xdr:rowOff>
    </xdr:from>
    <xdr:to>
      <xdr:col>2</xdr:col>
      <xdr:colOff>1733550</xdr:colOff>
      <xdr:row>240</xdr:row>
      <xdr:rowOff>1733550</xdr:rowOff>
    </xdr:to>
    <xdr:pic>
      <xdr:nvPicPr>
        <xdr:cNvPr id="240" name="Picture 239"/>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28725" y="4401883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xdr:row>
      <xdr:rowOff>19050</xdr:rowOff>
    </xdr:from>
    <xdr:to>
      <xdr:col>2</xdr:col>
      <xdr:colOff>1733550</xdr:colOff>
      <xdr:row>241</xdr:row>
      <xdr:rowOff>1733550</xdr:rowOff>
    </xdr:to>
    <xdr:pic>
      <xdr:nvPicPr>
        <xdr:cNvPr id="241" name="Picture 240"/>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228725" y="4421886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xdr:row>
      <xdr:rowOff>9525</xdr:rowOff>
    </xdr:from>
    <xdr:to>
      <xdr:col>2</xdr:col>
      <xdr:colOff>1733550</xdr:colOff>
      <xdr:row>242</xdr:row>
      <xdr:rowOff>1524000</xdr:rowOff>
    </xdr:to>
    <xdr:pic>
      <xdr:nvPicPr>
        <xdr:cNvPr id="242" name="Picture 241"/>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28725" y="444179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xdr:row>
      <xdr:rowOff>9525</xdr:rowOff>
    </xdr:from>
    <xdr:to>
      <xdr:col>2</xdr:col>
      <xdr:colOff>1733550</xdr:colOff>
      <xdr:row>243</xdr:row>
      <xdr:rowOff>1524000</xdr:rowOff>
    </xdr:to>
    <xdr:pic>
      <xdr:nvPicPr>
        <xdr:cNvPr id="243" name="Picture 242"/>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1228725" y="445931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xdr:row>
      <xdr:rowOff>9525</xdr:rowOff>
    </xdr:from>
    <xdr:to>
      <xdr:col>2</xdr:col>
      <xdr:colOff>1733550</xdr:colOff>
      <xdr:row>244</xdr:row>
      <xdr:rowOff>1524000</xdr:rowOff>
    </xdr:to>
    <xdr:pic>
      <xdr:nvPicPr>
        <xdr:cNvPr id="244" name="Picture 243"/>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28725" y="447684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xdr:row>
      <xdr:rowOff>19050</xdr:rowOff>
    </xdr:from>
    <xdr:to>
      <xdr:col>2</xdr:col>
      <xdr:colOff>1733550</xdr:colOff>
      <xdr:row>245</xdr:row>
      <xdr:rowOff>1733550</xdr:rowOff>
    </xdr:to>
    <xdr:pic>
      <xdr:nvPicPr>
        <xdr:cNvPr id="245" name="Picture 244"/>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28725" y="449446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xdr:row>
      <xdr:rowOff>19050</xdr:rowOff>
    </xdr:from>
    <xdr:to>
      <xdr:col>2</xdr:col>
      <xdr:colOff>1733550</xdr:colOff>
      <xdr:row>246</xdr:row>
      <xdr:rowOff>1733550</xdr:rowOff>
    </xdr:to>
    <xdr:pic>
      <xdr:nvPicPr>
        <xdr:cNvPr id="246" name="Picture 245"/>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28725" y="451446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xdr:row>
      <xdr:rowOff>19050</xdr:rowOff>
    </xdr:from>
    <xdr:to>
      <xdr:col>2</xdr:col>
      <xdr:colOff>1733550</xdr:colOff>
      <xdr:row>247</xdr:row>
      <xdr:rowOff>1733550</xdr:rowOff>
    </xdr:to>
    <xdr:pic>
      <xdr:nvPicPr>
        <xdr:cNvPr id="247" name="Picture 246"/>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228725" y="453447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xdr:row>
      <xdr:rowOff>9525</xdr:rowOff>
    </xdr:from>
    <xdr:to>
      <xdr:col>2</xdr:col>
      <xdr:colOff>1733550</xdr:colOff>
      <xdr:row>248</xdr:row>
      <xdr:rowOff>1524000</xdr:rowOff>
    </xdr:to>
    <xdr:pic>
      <xdr:nvPicPr>
        <xdr:cNvPr id="248" name="Picture 247"/>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28725" y="455437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xdr:row>
      <xdr:rowOff>19050</xdr:rowOff>
    </xdr:from>
    <xdr:to>
      <xdr:col>2</xdr:col>
      <xdr:colOff>1733550</xdr:colOff>
      <xdr:row>249</xdr:row>
      <xdr:rowOff>1733550</xdr:rowOff>
    </xdr:to>
    <xdr:pic>
      <xdr:nvPicPr>
        <xdr:cNvPr id="249" name="Picture 248"/>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228725" y="457200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xdr:row>
      <xdr:rowOff>9525</xdr:rowOff>
    </xdr:from>
    <xdr:to>
      <xdr:col>2</xdr:col>
      <xdr:colOff>1733550</xdr:colOff>
      <xdr:row>250</xdr:row>
      <xdr:rowOff>1524000</xdr:rowOff>
    </xdr:to>
    <xdr:pic>
      <xdr:nvPicPr>
        <xdr:cNvPr id="250" name="Picture 249"/>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28725" y="459190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xdr:row>
      <xdr:rowOff>9525</xdr:rowOff>
    </xdr:from>
    <xdr:to>
      <xdr:col>2</xdr:col>
      <xdr:colOff>1733550</xdr:colOff>
      <xdr:row>251</xdr:row>
      <xdr:rowOff>1524000</xdr:rowOff>
    </xdr:to>
    <xdr:pic>
      <xdr:nvPicPr>
        <xdr:cNvPr id="251" name="Picture 250"/>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28725" y="460943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xdr:row>
      <xdr:rowOff>9525</xdr:rowOff>
    </xdr:from>
    <xdr:to>
      <xdr:col>2</xdr:col>
      <xdr:colOff>1733550</xdr:colOff>
      <xdr:row>252</xdr:row>
      <xdr:rowOff>1524000</xdr:rowOff>
    </xdr:to>
    <xdr:pic>
      <xdr:nvPicPr>
        <xdr:cNvPr id="252" name="Picture 251"/>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228725" y="462695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xdr:row>
      <xdr:rowOff>19050</xdr:rowOff>
    </xdr:from>
    <xdr:to>
      <xdr:col>2</xdr:col>
      <xdr:colOff>1733550</xdr:colOff>
      <xdr:row>253</xdr:row>
      <xdr:rowOff>1733550</xdr:rowOff>
    </xdr:to>
    <xdr:pic>
      <xdr:nvPicPr>
        <xdr:cNvPr id="253" name="Picture 252"/>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28725" y="464458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xdr:row>
      <xdr:rowOff>19050</xdr:rowOff>
    </xdr:from>
    <xdr:to>
      <xdr:col>2</xdr:col>
      <xdr:colOff>1733550</xdr:colOff>
      <xdr:row>254</xdr:row>
      <xdr:rowOff>1733550</xdr:rowOff>
    </xdr:to>
    <xdr:pic>
      <xdr:nvPicPr>
        <xdr:cNvPr id="254" name="Picture 253"/>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28725" y="466458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xdr:row>
      <xdr:rowOff>19050</xdr:rowOff>
    </xdr:from>
    <xdr:to>
      <xdr:col>2</xdr:col>
      <xdr:colOff>1733550</xdr:colOff>
      <xdr:row>255</xdr:row>
      <xdr:rowOff>1733550</xdr:rowOff>
    </xdr:to>
    <xdr:pic>
      <xdr:nvPicPr>
        <xdr:cNvPr id="255" name="Picture 254"/>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228725" y="468458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xdr:row>
      <xdr:rowOff>19050</xdr:rowOff>
    </xdr:from>
    <xdr:to>
      <xdr:col>2</xdr:col>
      <xdr:colOff>1733550</xdr:colOff>
      <xdr:row>256</xdr:row>
      <xdr:rowOff>1733550</xdr:rowOff>
    </xdr:to>
    <xdr:pic>
      <xdr:nvPicPr>
        <xdr:cNvPr id="256" name="Picture 255"/>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228725" y="470458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xdr:row>
      <xdr:rowOff>19050</xdr:rowOff>
    </xdr:from>
    <xdr:to>
      <xdr:col>2</xdr:col>
      <xdr:colOff>1733550</xdr:colOff>
      <xdr:row>257</xdr:row>
      <xdr:rowOff>1733550</xdr:rowOff>
    </xdr:to>
    <xdr:pic>
      <xdr:nvPicPr>
        <xdr:cNvPr id="257" name="Picture 256"/>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228725" y="472459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xdr:row>
      <xdr:rowOff>19050</xdr:rowOff>
    </xdr:from>
    <xdr:to>
      <xdr:col>2</xdr:col>
      <xdr:colOff>1733550</xdr:colOff>
      <xdr:row>258</xdr:row>
      <xdr:rowOff>1733550</xdr:rowOff>
    </xdr:to>
    <xdr:pic>
      <xdr:nvPicPr>
        <xdr:cNvPr id="258" name="Picture 257"/>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28725" y="474459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xdr:row>
      <xdr:rowOff>19050</xdr:rowOff>
    </xdr:from>
    <xdr:to>
      <xdr:col>2</xdr:col>
      <xdr:colOff>1733550</xdr:colOff>
      <xdr:row>259</xdr:row>
      <xdr:rowOff>1733550</xdr:rowOff>
    </xdr:to>
    <xdr:pic>
      <xdr:nvPicPr>
        <xdr:cNvPr id="259" name="Picture 258"/>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1228725" y="476459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xdr:row>
      <xdr:rowOff>19050</xdr:rowOff>
    </xdr:from>
    <xdr:to>
      <xdr:col>2</xdr:col>
      <xdr:colOff>1733550</xdr:colOff>
      <xdr:row>260</xdr:row>
      <xdr:rowOff>1733550</xdr:rowOff>
    </xdr:to>
    <xdr:pic>
      <xdr:nvPicPr>
        <xdr:cNvPr id="260" name="Picture 259"/>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1228725" y="478459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xdr:row>
      <xdr:rowOff>19050</xdr:rowOff>
    </xdr:from>
    <xdr:to>
      <xdr:col>2</xdr:col>
      <xdr:colOff>1733550</xdr:colOff>
      <xdr:row>261</xdr:row>
      <xdr:rowOff>1733550</xdr:rowOff>
    </xdr:to>
    <xdr:pic>
      <xdr:nvPicPr>
        <xdr:cNvPr id="261" name="Picture 260"/>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1228725" y="480460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xdr:row>
      <xdr:rowOff>19050</xdr:rowOff>
    </xdr:from>
    <xdr:to>
      <xdr:col>2</xdr:col>
      <xdr:colOff>1733550</xdr:colOff>
      <xdr:row>262</xdr:row>
      <xdr:rowOff>1733550</xdr:rowOff>
    </xdr:to>
    <xdr:pic>
      <xdr:nvPicPr>
        <xdr:cNvPr id="262" name="Picture 261"/>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228725" y="482460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xdr:row>
      <xdr:rowOff>19050</xdr:rowOff>
    </xdr:from>
    <xdr:to>
      <xdr:col>2</xdr:col>
      <xdr:colOff>1733550</xdr:colOff>
      <xdr:row>263</xdr:row>
      <xdr:rowOff>1733550</xdr:rowOff>
    </xdr:to>
    <xdr:pic>
      <xdr:nvPicPr>
        <xdr:cNvPr id="263" name="Picture 262"/>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28725" y="484460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xdr:row>
      <xdr:rowOff>19050</xdr:rowOff>
    </xdr:from>
    <xdr:to>
      <xdr:col>2</xdr:col>
      <xdr:colOff>1733550</xdr:colOff>
      <xdr:row>264</xdr:row>
      <xdr:rowOff>1733550</xdr:rowOff>
    </xdr:to>
    <xdr:pic>
      <xdr:nvPicPr>
        <xdr:cNvPr id="264" name="Picture 263"/>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228725" y="486460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xdr:row>
      <xdr:rowOff>19050</xdr:rowOff>
    </xdr:from>
    <xdr:to>
      <xdr:col>2</xdr:col>
      <xdr:colOff>1733550</xdr:colOff>
      <xdr:row>265</xdr:row>
      <xdr:rowOff>1733550</xdr:rowOff>
    </xdr:to>
    <xdr:pic>
      <xdr:nvPicPr>
        <xdr:cNvPr id="265" name="Picture 264"/>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228725" y="488461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xdr:row>
      <xdr:rowOff>19050</xdr:rowOff>
    </xdr:from>
    <xdr:to>
      <xdr:col>2</xdr:col>
      <xdr:colOff>1733550</xdr:colOff>
      <xdr:row>266</xdr:row>
      <xdr:rowOff>1733550</xdr:rowOff>
    </xdr:to>
    <xdr:pic>
      <xdr:nvPicPr>
        <xdr:cNvPr id="266" name="Picture 265"/>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28725" y="490461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xdr:row>
      <xdr:rowOff>19050</xdr:rowOff>
    </xdr:from>
    <xdr:to>
      <xdr:col>2</xdr:col>
      <xdr:colOff>1733550</xdr:colOff>
      <xdr:row>267</xdr:row>
      <xdr:rowOff>1733550</xdr:rowOff>
    </xdr:to>
    <xdr:pic>
      <xdr:nvPicPr>
        <xdr:cNvPr id="267" name="Picture 266"/>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28725" y="492461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268</xdr:row>
      <xdr:rowOff>19050</xdr:rowOff>
    </xdr:from>
    <xdr:to>
      <xdr:col>2</xdr:col>
      <xdr:colOff>1733550</xdr:colOff>
      <xdr:row>268</xdr:row>
      <xdr:rowOff>1733550</xdr:rowOff>
    </xdr:to>
    <xdr:pic>
      <xdr:nvPicPr>
        <xdr:cNvPr id="268" name="Picture 267"/>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228725" y="494461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269</xdr:row>
      <xdr:rowOff>19050</xdr:rowOff>
    </xdr:from>
    <xdr:to>
      <xdr:col>2</xdr:col>
      <xdr:colOff>1733550</xdr:colOff>
      <xdr:row>269</xdr:row>
      <xdr:rowOff>1733550</xdr:rowOff>
    </xdr:to>
    <xdr:pic>
      <xdr:nvPicPr>
        <xdr:cNvPr id="269" name="Picture 268"/>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28725" y="496462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270</xdr:row>
      <xdr:rowOff>19050</xdr:rowOff>
    </xdr:from>
    <xdr:to>
      <xdr:col>2</xdr:col>
      <xdr:colOff>1733550</xdr:colOff>
      <xdr:row>270</xdr:row>
      <xdr:rowOff>1733550</xdr:rowOff>
    </xdr:to>
    <xdr:pic>
      <xdr:nvPicPr>
        <xdr:cNvPr id="270" name="Picture 269"/>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1228725" y="498462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271</xdr:row>
      <xdr:rowOff>19050</xdr:rowOff>
    </xdr:from>
    <xdr:to>
      <xdr:col>2</xdr:col>
      <xdr:colOff>1733550</xdr:colOff>
      <xdr:row>271</xdr:row>
      <xdr:rowOff>1733550</xdr:rowOff>
    </xdr:to>
    <xdr:pic>
      <xdr:nvPicPr>
        <xdr:cNvPr id="271" name="Picture 270"/>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28725" y="500462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272</xdr:row>
      <xdr:rowOff>19050</xdr:rowOff>
    </xdr:from>
    <xdr:to>
      <xdr:col>2</xdr:col>
      <xdr:colOff>1733550</xdr:colOff>
      <xdr:row>272</xdr:row>
      <xdr:rowOff>1733550</xdr:rowOff>
    </xdr:to>
    <xdr:pic>
      <xdr:nvPicPr>
        <xdr:cNvPr id="272" name="Picture 271"/>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28725" y="502462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273</xdr:row>
      <xdr:rowOff>19050</xdr:rowOff>
    </xdr:from>
    <xdr:to>
      <xdr:col>2</xdr:col>
      <xdr:colOff>1733550</xdr:colOff>
      <xdr:row>273</xdr:row>
      <xdr:rowOff>1733550</xdr:rowOff>
    </xdr:to>
    <xdr:pic>
      <xdr:nvPicPr>
        <xdr:cNvPr id="273" name="Picture 272"/>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28725" y="504463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274</xdr:row>
      <xdr:rowOff>19050</xdr:rowOff>
    </xdr:from>
    <xdr:to>
      <xdr:col>2</xdr:col>
      <xdr:colOff>1733550</xdr:colOff>
      <xdr:row>274</xdr:row>
      <xdr:rowOff>1733550</xdr:rowOff>
    </xdr:to>
    <xdr:pic>
      <xdr:nvPicPr>
        <xdr:cNvPr id="274" name="Picture 273"/>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28725" y="506463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275</xdr:row>
      <xdr:rowOff>19050</xdr:rowOff>
    </xdr:from>
    <xdr:to>
      <xdr:col>2</xdr:col>
      <xdr:colOff>1733550</xdr:colOff>
      <xdr:row>275</xdr:row>
      <xdr:rowOff>1733550</xdr:rowOff>
    </xdr:to>
    <xdr:pic>
      <xdr:nvPicPr>
        <xdr:cNvPr id="275" name="Picture 274"/>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228725" y="508463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276</xdr:row>
      <xdr:rowOff>19050</xdr:rowOff>
    </xdr:from>
    <xdr:to>
      <xdr:col>2</xdr:col>
      <xdr:colOff>1733550</xdr:colOff>
      <xdr:row>276</xdr:row>
      <xdr:rowOff>1733550</xdr:rowOff>
    </xdr:to>
    <xdr:pic>
      <xdr:nvPicPr>
        <xdr:cNvPr id="276" name="Picture 275"/>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28725" y="510463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277</xdr:row>
      <xdr:rowOff>19050</xdr:rowOff>
    </xdr:from>
    <xdr:to>
      <xdr:col>2</xdr:col>
      <xdr:colOff>1733550</xdr:colOff>
      <xdr:row>277</xdr:row>
      <xdr:rowOff>1733550</xdr:rowOff>
    </xdr:to>
    <xdr:pic>
      <xdr:nvPicPr>
        <xdr:cNvPr id="277" name="Picture 276"/>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28725" y="512464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278</xdr:row>
      <xdr:rowOff>19050</xdr:rowOff>
    </xdr:from>
    <xdr:to>
      <xdr:col>2</xdr:col>
      <xdr:colOff>1733550</xdr:colOff>
      <xdr:row>278</xdr:row>
      <xdr:rowOff>1733550</xdr:rowOff>
    </xdr:to>
    <xdr:pic>
      <xdr:nvPicPr>
        <xdr:cNvPr id="278" name="Picture 277"/>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1228725" y="514464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279</xdr:row>
      <xdr:rowOff>19050</xdr:rowOff>
    </xdr:from>
    <xdr:to>
      <xdr:col>2</xdr:col>
      <xdr:colOff>1733550</xdr:colOff>
      <xdr:row>279</xdr:row>
      <xdr:rowOff>1733550</xdr:rowOff>
    </xdr:to>
    <xdr:pic>
      <xdr:nvPicPr>
        <xdr:cNvPr id="279" name="Picture 278"/>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1228725" y="516464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280</xdr:row>
      <xdr:rowOff>19050</xdr:rowOff>
    </xdr:from>
    <xdr:to>
      <xdr:col>2</xdr:col>
      <xdr:colOff>1733550</xdr:colOff>
      <xdr:row>280</xdr:row>
      <xdr:rowOff>1733550</xdr:rowOff>
    </xdr:to>
    <xdr:pic>
      <xdr:nvPicPr>
        <xdr:cNvPr id="280" name="Picture 279"/>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28725" y="518464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281</xdr:row>
      <xdr:rowOff>19050</xdr:rowOff>
    </xdr:from>
    <xdr:to>
      <xdr:col>2</xdr:col>
      <xdr:colOff>1733550</xdr:colOff>
      <xdr:row>281</xdr:row>
      <xdr:rowOff>1733550</xdr:rowOff>
    </xdr:to>
    <xdr:pic>
      <xdr:nvPicPr>
        <xdr:cNvPr id="281" name="Picture 280"/>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1228725" y="520465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282</xdr:row>
      <xdr:rowOff>9525</xdr:rowOff>
    </xdr:from>
    <xdr:to>
      <xdr:col>2</xdr:col>
      <xdr:colOff>1733550</xdr:colOff>
      <xdr:row>282</xdr:row>
      <xdr:rowOff>1524000</xdr:rowOff>
    </xdr:to>
    <xdr:pic>
      <xdr:nvPicPr>
        <xdr:cNvPr id="282" name="Picture 281"/>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228725" y="522455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283</xdr:row>
      <xdr:rowOff>9525</xdr:rowOff>
    </xdr:from>
    <xdr:to>
      <xdr:col>2</xdr:col>
      <xdr:colOff>1733550</xdr:colOff>
      <xdr:row>283</xdr:row>
      <xdr:rowOff>1524000</xdr:rowOff>
    </xdr:to>
    <xdr:pic>
      <xdr:nvPicPr>
        <xdr:cNvPr id="283" name="Picture 282"/>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228725" y="524208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284</xdr:row>
      <xdr:rowOff>9525</xdr:rowOff>
    </xdr:from>
    <xdr:to>
      <xdr:col>2</xdr:col>
      <xdr:colOff>1733550</xdr:colOff>
      <xdr:row>284</xdr:row>
      <xdr:rowOff>1419225</xdr:rowOff>
    </xdr:to>
    <xdr:pic>
      <xdr:nvPicPr>
        <xdr:cNvPr id="284" name="Picture 283"/>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1228725" y="525960975"/>
          <a:ext cx="1724025" cy="140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285</xdr:row>
      <xdr:rowOff>9525</xdr:rowOff>
    </xdr:from>
    <xdr:to>
      <xdr:col>2</xdr:col>
      <xdr:colOff>1733550</xdr:colOff>
      <xdr:row>285</xdr:row>
      <xdr:rowOff>1419225</xdr:rowOff>
    </xdr:to>
    <xdr:pic>
      <xdr:nvPicPr>
        <xdr:cNvPr id="285" name="Picture 284"/>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228725" y="527599275"/>
          <a:ext cx="1724025" cy="140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286</xdr:row>
      <xdr:rowOff>19050</xdr:rowOff>
    </xdr:from>
    <xdr:to>
      <xdr:col>2</xdr:col>
      <xdr:colOff>1733550</xdr:colOff>
      <xdr:row>286</xdr:row>
      <xdr:rowOff>1685925</xdr:rowOff>
    </xdr:to>
    <xdr:pic>
      <xdr:nvPicPr>
        <xdr:cNvPr id="286" name="Picture 285"/>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228725" y="5292471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287</xdr:row>
      <xdr:rowOff>19050</xdr:rowOff>
    </xdr:from>
    <xdr:to>
      <xdr:col>2</xdr:col>
      <xdr:colOff>1733550</xdr:colOff>
      <xdr:row>287</xdr:row>
      <xdr:rowOff>1685925</xdr:rowOff>
    </xdr:to>
    <xdr:pic>
      <xdr:nvPicPr>
        <xdr:cNvPr id="287" name="Picture 286"/>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28725" y="5311902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288</xdr:row>
      <xdr:rowOff>9525</xdr:rowOff>
    </xdr:from>
    <xdr:to>
      <xdr:col>2</xdr:col>
      <xdr:colOff>1733550</xdr:colOff>
      <xdr:row>288</xdr:row>
      <xdr:rowOff>1524000</xdr:rowOff>
    </xdr:to>
    <xdr:pic>
      <xdr:nvPicPr>
        <xdr:cNvPr id="288" name="Picture 287"/>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28725" y="533123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289</xdr:row>
      <xdr:rowOff>9525</xdr:rowOff>
    </xdr:from>
    <xdr:to>
      <xdr:col>2</xdr:col>
      <xdr:colOff>1733550</xdr:colOff>
      <xdr:row>289</xdr:row>
      <xdr:rowOff>1524000</xdr:rowOff>
    </xdr:to>
    <xdr:pic>
      <xdr:nvPicPr>
        <xdr:cNvPr id="289" name="Picture 288"/>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228725" y="534876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290</xdr:row>
      <xdr:rowOff>9525</xdr:rowOff>
    </xdr:from>
    <xdr:to>
      <xdr:col>2</xdr:col>
      <xdr:colOff>1733550</xdr:colOff>
      <xdr:row>290</xdr:row>
      <xdr:rowOff>1524000</xdr:rowOff>
    </xdr:to>
    <xdr:pic>
      <xdr:nvPicPr>
        <xdr:cNvPr id="290" name="Picture 289"/>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28725" y="536628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291</xdr:row>
      <xdr:rowOff>19050</xdr:rowOff>
    </xdr:from>
    <xdr:to>
      <xdr:col>2</xdr:col>
      <xdr:colOff>1733550</xdr:colOff>
      <xdr:row>291</xdr:row>
      <xdr:rowOff>1685925</xdr:rowOff>
    </xdr:to>
    <xdr:pic>
      <xdr:nvPicPr>
        <xdr:cNvPr id="291" name="Picture 290"/>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228725" y="5383911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292</xdr:row>
      <xdr:rowOff>19050</xdr:rowOff>
    </xdr:from>
    <xdr:to>
      <xdr:col>2</xdr:col>
      <xdr:colOff>1733550</xdr:colOff>
      <xdr:row>292</xdr:row>
      <xdr:rowOff>1666875</xdr:rowOff>
    </xdr:to>
    <xdr:pic>
      <xdr:nvPicPr>
        <xdr:cNvPr id="292" name="Picture 291"/>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228725" y="540334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293</xdr:row>
      <xdr:rowOff>19050</xdr:rowOff>
    </xdr:from>
    <xdr:to>
      <xdr:col>2</xdr:col>
      <xdr:colOff>1733550</xdr:colOff>
      <xdr:row>293</xdr:row>
      <xdr:rowOff>1666875</xdr:rowOff>
    </xdr:to>
    <xdr:pic>
      <xdr:nvPicPr>
        <xdr:cNvPr id="293" name="Picture 292"/>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28725" y="542248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294</xdr:row>
      <xdr:rowOff>9525</xdr:rowOff>
    </xdr:from>
    <xdr:to>
      <xdr:col>2</xdr:col>
      <xdr:colOff>1733550</xdr:colOff>
      <xdr:row>294</xdr:row>
      <xdr:rowOff>1524000</xdr:rowOff>
    </xdr:to>
    <xdr:pic>
      <xdr:nvPicPr>
        <xdr:cNvPr id="294" name="Picture 293"/>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28725" y="544153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295</xdr:row>
      <xdr:rowOff>9525</xdr:rowOff>
    </xdr:from>
    <xdr:to>
      <xdr:col>2</xdr:col>
      <xdr:colOff>1733550</xdr:colOff>
      <xdr:row>295</xdr:row>
      <xdr:rowOff>1524000</xdr:rowOff>
    </xdr:to>
    <xdr:pic>
      <xdr:nvPicPr>
        <xdr:cNvPr id="295" name="Picture 294"/>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228725" y="545906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296</xdr:row>
      <xdr:rowOff>19050</xdr:rowOff>
    </xdr:from>
    <xdr:to>
      <xdr:col>2</xdr:col>
      <xdr:colOff>1733550</xdr:colOff>
      <xdr:row>296</xdr:row>
      <xdr:rowOff>1638300</xdr:rowOff>
    </xdr:to>
    <xdr:pic>
      <xdr:nvPicPr>
        <xdr:cNvPr id="296" name="Picture 295"/>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28725" y="547668450"/>
          <a:ext cx="1724025" cy="1619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297</xdr:row>
      <xdr:rowOff>9525</xdr:rowOff>
    </xdr:from>
    <xdr:to>
      <xdr:col>2</xdr:col>
      <xdr:colOff>1733550</xdr:colOff>
      <xdr:row>297</xdr:row>
      <xdr:rowOff>1524000</xdr:rowOff>
    </xdr:to>
    <xdr:pic>
      <xdr:nvPicPr>
        <xdr:cNvPr id="297" name="Picture 296"/>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228725" y="549544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298</xdr:row>
      <xdr:rowOff>9525</xdr:rowOff>
    </xdr:from>
    <xdr:to>
      <xdr:col>2</xdr:col>
      <xdr:colOff>1733550</xdr:colOff>
      <xdr:row>298</xdr:row>
      <xdr:rowOff>1524000</xdr:rowOff>
    </xdr:to>
    <xdr:pic>
      <xdr:nvPicPr>
        <xdr:cNvPr id="298" name="Picture 297"/>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28725" y="551297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299</xdr:row>
      <xdr:rowOff>19050</xdr:rowOff>
    </xdr:from>
    <xdr:to>
      <xdr:col>2</xdr:col>
      <xdr:colOff>1733550</xdr:colOff>
      <xdr:row>299</xdr:row>
      <xdr:rowOff>1666875</xdr:rowOff>
    </xdr:to>
    <xdr:pic>
      <xdr:nvPicPr>
        <xdr:cNvPr id="299" name="Picture 298"/>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28725" y="55305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300</xdr:row>
      <xdr:rowOff>19050</xdr:rowOff>
    </xdr:from>
    <xdr:to>
      <xdr:col>2</xdr:col>
      <xdr:colOff>1733550</xdr:colOff>
      <xdr:row>300</xdr:row>
      <xdr:rowOff>1666875</xdr:rowOff>
    </xdr:to>
    <xdr:pic>
      <xdr:nvPicPr>
        <xdr:cNvPr id="300" name="Picture 299"/>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28725" y="55497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301</xdr:row>
      <xdr:rowOff>19050</xdr:rowOff>
    </xdr:from>
    <xdr:to>
      <xdr:col>2</xdr:col>
      <xdr:colOff>1733550</xdr:colOff>
      <xdr:row>301</xdr:row>
      <xdr:rowOff>1809750</xdr:rowOff>
    </xdr:to>
    <xdr:pic>
      <xdr:nvPicPr>
        <xdr:cNvPr id="301" name="Picture 300"/>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28725" y="5568886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302</xdr:row>
      <xdr:rowOff>19050</xdr:rowOff>
    </xdr:from>
    <xdr:to>
      <xdr:col>2</xdr:col>
      <xdr:colOff>1733550</xdr:colOff>
      <xdr:row>302</xdr:row>
      <xdr:rowOff>1733550</xdr:rowOff>
    </xdr:to>
    <xdr:pic>
      <xdr:nvPicPr>
        <xdr:cNvPr id="302" name="Picture 301"/>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28725" y="5589651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303</xdr:row>
      <xdr:rowOff>19050</xdr:rowOff>
    </xdr:from>
    <xdr:to>
      <xdr:col>2</xdr:col>
      <xdr:colOff>1733550</xdr:colOff>
      <xdr:row>303</xdr:row>
      <xdr:rowOff>1647825</xdr:rowOff>
    </xdr:to>
    <xdr:pic>
      <xdr:nvPicPr>
        <xdr:cNvPr id="303" name="Picture 302"/>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28725" y="560965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304</xdr:row>
      <xdr:rowOff>19050</xdr:rowOff>
    </xdr:from>
    <xdr:to>
      <xdr:col>2</xdr:col>
      <xdr:colOff>1733550</xdr:colOff>
      <xdr:row>304</xdr:row>
      <xdr:rowOff>1685925</xdr:rowOff>
    </xdr:to>
    <xdr:pic>
      <xdr:nvPicPr>
        <xdr:cNvPr id="304" name="Picture 303"/>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28725" y="5628608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305</xdr:row>
      <xdr:rowOff>19050</xdr:rowOff>
    </xdr:from>
    <xdr:to>
      <xdr:col>2</xdr:col>
      <xdr:colOff>1733550</xdr:colOff>
      <xdr:row>305</xdr:row>
      <xdr:rowOff>1666875</xdr:rowOff>
    </xdr:to>
    <xdr:pic>
      <xdr:nvPicPr>
        <xdr:cNvPr id="305" name="Picture 304"/>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28725" y="564803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306</xdr:row>
      <xdr:rowOff>19050</xdr:rowOff>
    </xdr:from>
    <xdr:to>
      <xdr:col>2</xdr:col>
      <xdr:colOff>1733550</xdr:colOff>
      <xdr:row>306</xdr:row>
      <xdr:rowOff>1647825</xdr:rowOff>
    </xdr:to>
    <xdr:pic>
      <xdr:nvPicPr>
        <xdr:cNvPr id="306" name="Picture 305"/>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28725" y="566718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307</xdr:row>
      <xdr:rowOff>19050</xdr:rowOff>
    </xdr:from>
    <xdr:to>
      <xdr:col>2</xdr:col>
      <xdr:colOff>1733550</xdr:colOff>
      <xdr:row>307</xdr:row>
      <xdr:rowOff>1666875</xdr:rowOff>
    </xdr:to>
    <xdr:pic>
      <xdr:nvPicPr>
        <xdr:cNvPr id="307" name="Picture 306"/>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228725" y="568613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308</xdr:row>
      <xdr:rowOff>19050</xdr:rowOff>
    </xdr:from>
    <xdr:to>
      <xdr:col>2</xdr:col>
      <xdr:colOff>1733550</xdr:colOff>
      <xdr:row>308</xdr:row>
      <xdr:rowOff>1647825</xdr:rowOff>
    </xdr:to>
    <xdr:pic>
      <xdr:nvPicPr>
        <xdr:cNvPr id="308" name="Picture 307"/>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228725" y="570528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309</xdr:row>
      <xdr:rowOff>19050</xdr:rowOff>
    </xdr:from>
    <xdr:to>
      <xdr:col>2</xdr:col>
      <xdr:colOff>1733550</xdr:colOff>
      <xdr:row>309</xdr:row>
      <xdr:rowOff>1809750</xdr:rowOff>
    </xdr:to>
    <xdr:pic>
      <xdr:nvPicPr>
        <xdr:cNvPr id="309" name="Picture 308"/>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228725" y="5724239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310</xdr:row>
      <xdr:rowOff>19050</xdr:rowOff>
    </xdr:from>
    <xdr:to>
      <xdr:col>2</xdr:col>
      <xdr:colOff>1733550</xdr:colOff>
      <xdr:row>310</xdr:row>
      <xdr:rowOff>1809750</xdr:rowOff>
    </xdr:to>
    <xdr:pic>
      <xdr:nvPicPr>
        <xdr:cNvPr id="310" name="Picture 309"/>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28725" y="5745003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311</xdr:row>
      <xdr:rowOff>19050</xdr:rowOff>
    </xdr:from>
    <xdr:to>
      <xdr:col>2</xdr:col>
      <xdr:colOff>1733550</xdr:colOff>
      <xdr:row>311</xdr:row>
      <xdr:rowOff>1809750</xdr:rowOff>
    </xdr:to>
    <xdr:pic>
      <xdr:nvPicPr>
        <xdr:cNvPr id="311" name="Picture 310"/>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28725" y="5765768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312</xdr:row>
      <xdr:rowOff>19050</xdr:rowOff>
    </xdr:from>
    <xdr:to>
      <xdr:col>2</xdr:col>
      <xdr:colOff>1733550</xdr:colOff>
      <xdr:row>312</xdr:row>
      <xdr:rowOff>1809750</xdr:rowOff>
    </xdr:to>
    <xdr:pic>
      <xdr:nvPicPr>
        <xdr:cNvPr id="312" name="Picture 311"/>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228725" y="5786532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313</xdr:row>
      <xdr:rowOff>19050</xdr:rowOff>
    </xdr:from>
    <xdr:to>
      <xdr:col>2</xdr:col>
      <xdr:colOff>1733550</xdr:colOff>
      <xdr:row>313</xdr:row>
      <xdr:rowOff>1809750</xdr:rowOff>
    </xdr:to>
    <xdr:pic>
      <xdr:nvPicPr>
        <xdr:cNvPr id="313" name="Picture 312"/>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228725" y="5807297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314</xdr:row>
      <xdr:rowOff>19050</xdr:rowOff>
    </xdr:from>
    <xdr:to>
      <xdr:col>2</xdr:col>
      <xdr:colOff>1733550</xdr:colOff>
      <xdr:row>314</xdr:row>
      <xdr:rowOff>1809750</xdr:rowOff>
    </xdr:to>
    <xdr:pic>
      <xdr:nvPicPr>
        <xdr:cNvPr id="314" name="Picture 313"/>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228725" y="5828061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315</xdr:row>
      <xdr:rowOff>19050</xdr:rowOff>
    </xdr:from>
    <xdr:to>
      <xdr:col>2</xdr:col>
      <xdr:colOff>1733550</xdr:colOff>
      <xdr:row>315</xdr:row>
      <xdr:rowOff>1809750</xdr:rowOff>
    </xdr:to>
    <xdr:pic>
      <xdr:nvPicPr>
        <xdr:cNvPr id="315" name="Picture 314"/>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28725" y="5848826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316</xdr:row>
      <xdr:rowOff>19050</xdr:rowOff>
    </xdr:from>
    <xdr:to>
      <xdr:col>2</xdr:col>
      <xdr:colOff>1733550</xdr:colOff>
      <xdr:row>316</xdr:row>
      <xdr:rowOff>1809750</xdr:rowOff>
    </xdr:to>
    <xdr:pic>
      <xdr:nvPicPr>
        <xdr:cNvPr id="316" name="Picture 315"/>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28725" y="5869590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317</xdr:row>
      <xdr:rowOff>19050</xdr:rowOff>
    </xdr:from>
    <xdr:to>
      <xdr:col>2</xdr:col>
      <xdr:colOff>1733550</xdr:colOff>
      <xdr:row>317</xdr:row>
      <xdr:rowOff>1809750</xdr:rowOff>
    </xdr:to>
    <xdr:pic>
      <xdr:nvPicPr>
        <xdr:cNvPr id="317" name="Picture 316"/>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28725" y="5890355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318</xdr:row>
      <xdr:rowOff>19050</xdr:rowOff>
    </xdr:from>
    <xdr:to>
      <xdr:col>2</xdr:col>
      <xdr:colOff>1733550</xdr:colOff>
      <xdr:row>318</xdr:row>
      <xdr:rowOff>1809750</xdr:rowOff>
    </xdr:to>
    <xdr:pic>
      <xdr:nvPicPr>
        <xdr:cNvPr id="318" name="Picture 317"/>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1228725" y="5911119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319</xdr:row>
      <xdr:rowOff>19050</xdr:rowOff>
    </xdr:from>
    <xdr:to>
      <xdr:col>2</xdr:col>
      <xdr:colOff>1733550</xdr:colOff>
      <xdr:row>319</xdr:row>
      <xdr:rowOff>1809750</xdr:rowOff>
    </xdr:to>
    <xdr:pic>
      <xdr:nvPicPr>
        <xdr:cNvPr id="319" name="Picture 318"/>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228725" y="5931884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320</xdr:row>
      <xdr:rowOff>19050</xdr:rowOff>
    </xdr:from>
    <xdr:to>
      <xdr:col>2</xdr:col>
      <xdr:colOff>1733550</xdr:colOff>
      <xdr:row>320</xdr:row>
      <xdr:rowOff>1809750</xdr:rowOff>
    </xdr:to>
    <xdr:pic>
      <xdr:nvPicPr>
        <xdr:cNvPr id="320" name="Picture 319"/>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28725" y="5952648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321</xdr:row>
      <xdr:rowOff>19050</xdr:rowOff>
    </xdr:from>
    <xdr:to>
      <xdr:col>2</xdr:col>
      <xdr:colOff>1733550</xdr:colOff>
      <xdr:row>321</xdr:row>
      <xdr:rowOff>1809750</xdr:rowOff>
    </xdr:to>
    <xdr:pic>
      <xdr:nvPicPr>
        <xdr:cNvPr id="321" name="Picture 320"/>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1228725" y="5973413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322</xdr:row>
      <xdr:rowOff>9525</xdr:rowOff>
    </xdr:from>
    <xdr:to>
      <xdr:col>2</xdr:col>
      <xdr:colOff>1733550</xdr:colOff>
      <xdr:row>322</xdr:row>
      <xdr:rowOff>1524000</xdr:rowOff>
    </xdr:to>
    <xdr:pic>
      <xdr:nvPicPr>
        <xdr:cNvPr id="322" name="Picture 321"/>
        <xdr:cNvPicPr>
          <a:picLocks noChangeAspect="1" noChangeArrowheads="1"/>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1228725" y="599408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323</xdr:row>
      <xdr:rowOff>19050</xdr:rowOff>
    </xdr:from>
    <xdr:to>
      <xdr:col>2</xdr:col>
      <xdr:colOff>1733550</xdr:colOff>
      <xdr:row>323</xdr:row>
      <xdr:rowOff>1733550</xdr:rowOff>
    </xdr:to>
    <xdr:pic>
      <xdr:nvPicPr>
        <xdr:cNvPr id="323" name="Picture 322"/>
        <xdr:cNvPicPr>
          <a:picLocks noChangeAspect="1" noChangeArrowheads="1"/>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1228725" y="6011703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324</xdr:row>
      <xdr:rowOff>19050</xdr:rowOff>
    </xdr:from>
    <xdr:to>
      <xdr:col>2</xdr:col>
      <xdr:colOff>1733550</xdr:colOff>
      <xdr:row>324</xdr:row>
      <xdr:rowOff>1733550</xdr:rowOff>
    </xdr:to>
    <xdr:pic>
      <xdr:nvPicPr>
        <xdr:cNvPr id="324" name="Picture 323"/>
        <xdr:cNvPicPr>
          <a:picLocks noChangeAspect="1" noChangeArrowheads="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1228725" y="6031706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325</xdr:row>
      <xdr:rowOff>19050</xdr:rowOff>
    </xdr:from>
    <xdr:to>
      <xdr:col>2</xdr:col>
      <xdr:colOff>1733550</xdr:colOff>
      <xdr:row>325</xdr:row>
      <xdr:rowOff>1666875</xdr:rowOff>
    </xdr:to>
    <xdr:pic>
      <xdr:nvPicPr>
        <xdr:cNvPr id="325" name="Picture 324"/>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228725" y="605170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326</xdr:row>
      <xdr:rowOff>19050</xdr:rowOff>
    </xdr:from>
    <xdr:to>
      <xdr:col>2</xdr:col>
      <xdr:colOff>1733550</xdr:colOff>
      <xdr:row>326</xdr:row>
      <xdr:rowOff>1809750</xdr:rowOff>
    </xdr:to>
    <xdr:pic>
      <xdr:nvPicPr>
        <xdr:cNvPr id="326" name="Picture 325"/>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228725" y="60708540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327</xdr:row>
      <xdr:rowOff>19050</xdr:rowOff>
    </xdr:from>
    <xdr:to>
      <xdr:col>2</xdr:col>
      <xdr:colOff>1733550</xdr:colOff>
      <xdr:row>327</xdr:row>
      <xdr:rowOff>1809750</xdr:rowOff>
    </xdr:to>
    <xdr:pic>
      <xdr:nvPicPr>
        <xdr:cNvPr id="327" name="Picture 326"/>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228725" y="6091618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328</xdr:row>
      <xdr:rowOff>19050</xdr:rowOff>
    </xdr:from>
    <xdr:to>
      <xdr:col>2</xdr:col>
      <xdr:colOff>1733550</xdr:colOff>
      <xdr:row>328</xdr:row>
      <xdr:rowOff>1809750</xdr:rowOff>
    </xdr:to>
    <xdr:pic>
      <xdr:nvPicPr>
        <xdr:cNvPr id="328" name="Picture 327"/>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228725" y="61123830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329</xdr:row>
      <xdr:rowOff>19050</xdr:rowOff>
    </xdr:from>
    <xdr:to>
      <xdr:col>2</xdr:col>
      <xdr:colOff>1733550</xdr:colOff>
      <xdr:row>329</xdr:row>
      <xdr:rowOff>1809750</xdr:rowOff>
    </xdr:to>
    <xdr:pic>
      <xdr:nvPicPr>
        <xdr:cNvPr id="329" name="Picture 328"/>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1228725" y="6133147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330</xdr:row>
      <xdr:rowOff>19050</xdr:rowOff>
    </xdr:from>
    <xdr:to>
      <xdr:col>2</xdr:col>
      <xdr:colOff>1733550</xdr:colOff>
      <xdr:row>330</xdr:row>
      <xdr:rowOff>1809750</xdr:rowOff>
    </xdr:to>
    <xdr:pic>
      <xdr:nvPicPr>
        <xdr:cNvPr id="330" name="Picture 329"/>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228725" y="61539120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331</xdr:row>
      <xdr:rowOff>19050</xdr:rowOff>
    </xdr:from>
    <xdr:to>
      <xdr:col>2</xdr:col>
      <xdr:colOff>1733550</xdr:colOff>
      <xdr:row>331</xdr:row>
      <xdr:rowOff>1809750</xdr:rowOff>
    </xdr:to>
    <xdr:pic>
      <xdr:nvPicPr>
        <xdr:cNvPr id="331" name="Picture 330"/>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1228725" y="6174676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332</xdr:row>
      <xdr:rowOff>19050</xdr:rowOff>
    </xdr:from>
    <xdr:to>
      <xdr:col>2</xdr:col>
      <xdr:colOff>1733550</xdr:colOff>
      <xdr:row>332</xdr:row>
      <xdr:rowOff>1809750</xdr:rowOff>
    </xdr:to>
    <xdr:pic>
      <xdr:nvPicPr>
        <xdr:cNvPr id="332" name="Picture 331"/>
        <xdr:cNvPicPr>
          <a:picLocks noChangeAspect="1" noChangeArrowheads="1"/>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1228725" y="61954410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333</xdr:row>
      <xdr:rowOff>19050</xdr:rowOff>
    </xdr:from>
    <xdr:to>
      <xdr:col>2</xdr:col>
      <xdr:colOff>1733550</xdr:colOff>
      <xdr:row>333</xdr:row>
      <xdr:rowOff>1733550</xdr:rowOff>
    </xdr:to>
    <xdr:pic>
      <xdr:nvPicPr>
        <xdr:cNvPr id="333" name="Picture 332"/>
        <xdr:cNvPicPr>
          <a:picLocks noChangeAspect="1" noChangeArrowheads="1"/>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1228725" y="621620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334</xdr:row>
      <xdr:rowOff>19050</xdr:rowOff>
    </xdr:from>
    <xdr:to>
      <xdr:col>2</xdr:col>
      <xdr:colOff>1733550</xdr:colOff>
      <xdr:row>334</xdr:row>
      <xdr:rowOff>1733550</xdr:rowOff>
    </xdr:to>
    <xdr:pic>
      <xdr:nvPicPr>
        <xdr:cNvPr id="334" name="Picture 333"/>
        <xdr:cNvPicPr>
          <a:picLocks noChangeAspect="1" noChangeArrowheads="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1228725" y="623620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335</xdr:row>
      <xdr:rowOff>19050</xdr:rowOff>
    </xdr:from>
    <xdr:to>
      <xdr:col>2</xdr:col>
      <xdr:colOff>1733550</xdr:colOff>
      <xdr:row>335</xdr:row>
      <xdr:rowOff>1685925</xdr:rowOff>
    </xdr:to>
    <xdr:pic>
      <xdr:nvPicPr>
        <xdr:cNvPr id="335" name="Picture 334"/>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228725" y="6256210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336</xdr:row>
      <xdr:rowOff>19050</xdr:rowOff>
    </xdr:from>
    <xdr:to>
      <xdr:col>2</xdr:col>
      <xdr:colOff>1733550</xdr:colOff>
      <xdr:row>336</xdr:row>
      <xdr:rowOff>1685925</xdr:rowOff>
    </xdr:to>
    <xdr:pic>
      <xdr:nvPicPr>
        <xdr:cNvPr id="336" name="Picture 335"/>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228725" y="6275641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337</xdr:row>
      <xdr:rowOff>19050</xdr:rowOff>
    </xdr:from>
    <xdr:to>
      <xdr:col>2</xdr:col>
      <xdr:colOff>1733550</xdr:colOff>
      <xdr:row>337</xdr:row>
      <xdr:rowOff>1685925</xdr:rowOff>
    </xdr:to>
    <xdr:pic>
      <xdr:nvPicPr>
        <xdr:cNvPr id="337" name="Picture 336"/>
        <xdr:cNvPicPr>
          <a:picLocks noChangeAspect="1" noChangeArrowheads="1"/>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1228725" y="6295072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338</xdr:row>
      <xdr:rowOff>19050</xdr:rowOff>
    </xdr:from>
    <xdr:to>
      <xdr:col>2</xdr:col>
      <xdr:colOff>1733550</xdr:colOff>
      <xdr:row>338</xdr:row>
      <xdr:rowOff>1685925</xdr:rowOff>
    </xdr:to>
    <xdr:pic>
      <xdr:nvPicPr>
        <xdr:cNvPr id="338" name="Picture 337"/>
        <xdr:cNvPicPr>
          <a:picLocks noChangeAspect="1" noChangeArrowheads="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228725" y="6314503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339</xdr:row>
      <xdr:rowOff>19050</xdr:rowOff>
    </xdr:from>
    <xdr:to>
      <xdr:col>2</xdr:col>
      <xdr:colOff>1733550</xdr:colOff>
      <xdr:row>339</xdr:row>
      <xdr:rowOff>1685925</xdr:rowOff>
    </xdr:to>
    <xdr:pic>
      <xdr:nvPicPr>
        <xdr:cNvPr id="339" name="Picture 338"/>
        <xdr:cNvPicPr>
          <a:picLocks noChangeAspect="1" noChangeArrowheads="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228725" y="6333934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340</xdr:row>
      <xdr:rowOff>19050</xdr:rowOff>
    </xdr:from>
    <xdr:to>
      <xdr:col>2</xdr:col>
      <xdr:colOff>1733550</xdr:colOff>
      <xdr:row>340</xdr:row>
      <xdr:rowOff>1685925</xdr:rowOff>
    </xdr:to>
    <xdr:pic>
      <xdr:nvPicPr>
        <xdr:cNvPr id="340" name="Picture 339"/>
        <xdr:cNvPicPr>
          <a:picLocks noChangeAspect="1" noChangeArrowheads="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1228725" y="6353365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341</xdr:row>
      <xdr:rowOff>19050</xdr:rowOff>
    </xdr:from>
    <xdr:to>
      <xdr:col>2</xdr:col>
      <xdr:colOff>1733550</xdr:colOff>
      <xdr:row>341</xdr:row>
      <xdr:rowOff>1685925</xdr:rowOff>
    </xdr:to>
    <xdr:pic>
      <xdr:nvPicPr>
        <xdr:cNvPr id="341" name="Picture 340"/>
        <xdr:cNvPicPr>
          <a:picLocks noChangeAspect="1" noChangeArrowheads="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1228725" y="6372796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342</xdr:row>
      <xdr:rowOff>19050</xdr:rowOff>
    </xdr:from>
    <xdr:to>
      <xdr:col>2</xdr:col>
      <xdr:colOff>1733550</xdr:colOff>
      <xdr:row>342</xdr:row>
      <xdr:rowOff>1809750</xdr:rowOff>
    </xdr:to>
    <xdr:pic>
      <xdr:nvPicPr>
        <xdr:cNvPr id="342" name="Picture 341"/>
        <xdr:cNvPicPr>
          <a:picLocks noChangeAspect="1" noChangeArrowheads="1"/>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1228725" y="6392227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343</xdr:row>
      <xdr:rowOff>19050</xdr:rowOff>
    </xdr:from>
    <xdr:to>
      <xdr:col>2</xdr:col>
      <xdr:colOff>1733550</xdr:colOff>
      <xdr:row>343</xdr:row>
      <xdr:rowOff>1809750</xdr:rowOff>
    </xdr:to>
    <xdr:pic>
      <xdr:nvPicPr>
        <xdr:cNvPr id="343" name="Picture 342"/>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28725" y="64129920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344</xdr:row>
      <xdr:rowOff>19050</xdr:rowOff>
    </xdr:from>
    <xdr:to>
      <xdr:col>2</xdr:col>
      <xdr:colOff>1733550</xdr:colOff>
      <xdr:row>344</xdr:row>
      <xdr:rowOff>1666875</xdr:rowOff>
    </xdr:to>
    <xdr:pic>
      <xdr:nvPicPr>
        <xdr:cNvPr id="344" name="Picture 343"/>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228725" y="643375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345</xdr:row>
      <xdr:rowOff>19050</xdr:rowOff>
    </xdr:from>
    <xdr:to>
      <xdr:col>2</xdr:col>
      <xdr:colOff>1733550</xdr:colOff>
      <xdr:row>345</xdr:row>
      <xdr:rowOff>1666875</xdr:rowOff>
    </xdr:to>
    <xdr:pic>
      <xdr:nvPicPr>
        <xdr:cNvPr id="345" name="Picture 344"/>
        <xdr:cNvPicPr>
          <a:picLocks noChangeAspect="1" noChangeArrowheads="1"/>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1228725" y="64529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346</xdr:row>
      <xdr:rowOff>19050</xdr:rowOff>
    </xdr:from>
    <xdr:to>
      <xdr:col>2</xdr:col>
      <xdr:colOff>1733550</xdr:colOff>
      <xdr:row>346</xdr:row>
      <xdr:rowOff>1647825</xdr:rowOff>
    </xdr:to>
    <xdr:pic>
      <xdr:nvPicPr>
        <xdr:cNvPr id="346" name="Picture 345"/>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228725" y="6472047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347</xdr:row>
      <xdr:rowOff>19050</xdr:rowOff>
    </xdr:from>
    <xdr:to>
      <xdr:col>2</xdr:col>
      <xdr:colOff>1733550</xdr:colOff>
      <xdr:row>347</xdr:row>
      <xdr:rowOff>1647825</xdr:rowOff>
    </xdr:to>
    <xdr:pic>
      <xdr:nvPicPr>
        <xdr:cNvPr id="347" name="Picture 346"/>
        <xdr:cNvPicPr>
          <a:picLocks noChangeAspect="1" noChangeArrowheads="1"/>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1228725" y="6491001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348</xdr:row>
      <xdr:rowOff>19050</xdr:rowOff>
    </xdr:from>
    <xdr:to>
      <xdr:col>2</xdr:col>
      <xdr:colOff>1733550</xdr:colOff>
      <xdr:row>348</xdr:row>
      <xdr:rowOff>1647825</xdr:rowOff>
    </xdr:to>
    <xdr:pic>
      <xdr:nvPicPr>
        <xdr:cNvPr id="348" name="Picture 347"/>
        <xdr:cNvPicPr>
          <a:picLocks noChangeAspect="1" noChangeArrowheads="1"/>
        </xdr:cNvPicPr>
      </xdr:nvPicPr>
      <xdr:blipFill>
        <a:blip xmlns:r="http://schemas.openxmlformats.org/officeDocument/2006/relationships" r:embed="rId347">
          <a:extLst>
            <a:ext uri="{28A0092B-C50C-407E-A947-70E740481C1C}">
              <a14:useLocalDpi xmlns:a14="http://schemas.microsoft.com/office/drawing/2010/main" val="0"/>
            </a:ext>
          </a:extLst>
        </a:blip>
        <a:srcRect/>
        <a:stretch>
          <a:fillRect/>
        </a:stretch>
      </xdr:blipFill>
      <xdr:spPr bwMode="auto">
        <a:xfrm>
          <a:off x="1228725" y="650995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349</xdr:row>
      <xdr:rowOff>19050</xdr:rowOff>
    </xdr:from>
    <xdr:to>
      <xdr:col>2</xdr:col>
      <xdr:colOff>1733550</xdr:colOff>
      <xdr:row>349</xdr:row>
      <xdr:rowOff>1809750</xdr:rowOff>
    </xdr:to>
    <xdr:pic>
      <xdr:nvPicPr>
        <xdr:cNvPr id="349" name="Picture 348"/>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1228725" y="6528911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350</xdr:row>
      <xdr:rowOff>19050</xdr:rowOff>
    </xdr:from>
    <xdr:to>
      <xdr:col>2</xdr:col>
      <xdr:colOff>1733550</xdr:colOff>
      <xdr:row>350</xdr:row>
      <xdr:rowOff>1809750</xdr:rowOff>
    </xdr:to>
    <xdr:pic>
      <xdr:nvPicPr>
        <xdr:cNvPr id="350" name="Picture 349"/>
        <xdr:cNvPicPr>
          <a:picLocks noChangeAspect="1" noChangeArrowheads="1"/>
        </xdr:cNvPicPr>
      </xdr:nvPicPr>
      <xdr:blipFill>
        <a:blip xmlns:r="http://schemas.openxmlformats.org/officeDocument/2006/relationships" r:embed="rId349">
          <a:extLst>
            <a:ext uri="{28A0092B-C50C-407E-A947-70E740481C1C}">
              <a14:useLocalDpi xmlns:a14="http://schemas.microsoft.com/office/drawing/2010/main" val="0"/>
            </a:ext>
          </a:extLst>
        </a:blip>
        <a:srcRect/>
        <a:stretch>
          <a:fillRect/>
        </a:stretch>
      </xdr:blipFill>
      <xdr:spPr bwMode="auto">
        <a:xfrm>
          <a:off x="1228725" y="6549675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351</xdr:row>
      <xdr:rowOff>19050</xdr:rowOff>
    </xdr:from>
    <xdr:to>
      <xdr:col>2</xdr:col>
      <xdr:colOff>1733550</xdr:colOff>
      <xdr:row>351</xdr:row>
      <xdr:rowOff>1809750</xdr:rowOff>
    </xdr:to>
    <xdr:pic>
      <xdr:nvPicPr>
        <xdr:cNvPr id="351" name="Picture 350"/>
        <xdr:cNvPicPr>
          <a:picLocks noChangeAspect="1" noChangeArrowheads="1"/>
        </xdr:cNvPicPr>
      </xdr:nvPicPr>
      <xdr:blipFill>
        <a:blip xmlns:r="http://schemas.openxmlformats.org/officeDocument/2006/relationships" r:embed="rId350">
          <a:extLst>
            <a:ext uri="{28A0092B-C50C-407E-A947-70E740481C1C}">
              <a14:useLocalDpi xmlns:a14="http://schemas.microsoft.com/office/drawing/2010/main" val="0"/>
            </a:ext>
          </a:extLst>
        </a:blip>
        <a:srcRect/>
        <a:stretch>
          <a:fillRect/>
        </a:stretch>
      </xdr:blipFill>
      <xdr:spPr bwMode="auto">
        <a:xfrm>
          <a:off x="1228725" y="6570440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352</xdr:row>
      <xdr:rowOff>19050</xdr:rowOff>
    </xdr:from>
    <xdr:to>
      <xdr:col>2</xdr:col>
      <xdr:colOff>1733550</xdr:colOff>
      <xdr:row>352</xdr:row>
      <xdr:rowOff>1809750</xdr:rowOff>
    </xdr:to>
    <xdr:pic>
      <xdr:nvPicPr>
        <xdr:cNvPr id="352" name="Picture 351"/>
        <xdr:cNvPicPr>
          <a:picLocks noChangeAspect="1" noChangeArrowheads="1"/>
        </xdr:cNvPicPr>
      </xdr:nvPicPr>
      <xdr:blipFill>
        <a:blip xmlns:r="http://schemas.openxmlformats.org/officeDocument/2006/relationships" r:embed="rId351">
          <a:extLst>
            <a:ext uri="{28A0092B-C50C-407E-A947-70E740481C1C}">
              <a14:useLocalDpi xmlns:a14="http://schemas.microsoft.com/office/drawing/2010/main" val="0"/>
            </a:ext>
          </a:extLst>
        </a:blip>
        <a:srcRect/>
        <a:stretch>
          <a:fillRect/>
        </a:stretch>
      </xdr:blipFill>
      <xdr:spPr bwMode="auto">
        <a:xfrm>
          <a:off x="1228725" y="6591204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353</xdr:row>
      <xdr:rowOff>19050</xdr:rowOff>
    </xdr:from>
    <xdr:to>
      <xdr:col>2</xdr:col>
      <xdr:colOff>1733550</xdr:colOff>
      <xdr:row>353</xdr:row>
      <xdr:rowOff>1809750</xdr:rowOff>
    </xdr:to>
    <xdr:pic>
      <xdr:nvPicPr>
        <xdr:cNvPr id="353" name="Picture 352"/>
        <xdr:cNvPicPr>
          <a:picLocks noChangeAspect="1" noChangeArrowheads="1"/>
        </xdr:cNvPicPr>
      </xdr:nvPicPr>
      <xdr:blipFill>
        <a:blip xmlns:r="http://schemas.openxmlformats.org/officeDocument/2006/relationships" r:embed="rId352">
          <a:extLst>
            <a:ext uri="{28A0092B-C50C-407E-A947-70E740481C1C}">
              <a14:useLocalDpi xmlns:a14="http://schemas.microsoft.com/office/drawing/2010/main" val="0"/>
            </a:ext>
          </a:extLst>
        </a:blip>
        <a:srcRect/>
        <a:stretch>
          <a:fillRect/>
        </a:stretch>
      </xdr:blipFill>
      <xdr:spPr bwMode="auto">
        <a:xfrm>
          <a:off x="1228725" y="66119692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354</xdr:row>
      <xdr:rowOff>19050</xdr:rowOff>
    </xdr:from>
    <xdr:to>
      <xdr:col>2</xdr:col>
      <xdr:colOff>1733550</xdr:colOff>
      <xdr:row>354</xdr:row>
      <xdr:rowOff>1809750</xdr:rowOff>
    </xdr:to>
    <xdr:pic>
      <xdr:nvPicPr>
        <xdr:cNvPr id="354" name="Picture 353"/>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val="0"/>
            </a:ext>
          </a:extLst>
        </a:blip>
        <a:srcRect/>
        <a:stretch>
          <a:fillRect/>
        </a:stretch>
      </xdr:blipFill>
      <xdr:spPr bwMode="auto">
        <a:xfrm>
          <a:off x="1228725" y="6632733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355</xdr:row>
      <xdr:rowOff>19050</xdr:rowOff>
    </xdr:from>
    <xdr:to>
      <xdr:col>2</xdr:col>
      <xdr:colOff>1733550</xdr:colOff>
      <xdr:row>355</xdr:row>
      <xdr:rowOff>1647825</xdr:rowOff>
    </xdr:to>
    <xdr:pic>
      <xdr:nvPicPr>
        <xdr:cNvPr id="355" name="Picture 354"/>
        <xdr:cNvPicPr>
          <a:picLocks noChangeAspect="1" noChangeArrowheads="1"/>
        </xdr:cNvPicPr>
      </xdr:nvPicPr>
      <xdr:blipFill>
        <a:blip xmlns:r="http://schemas.openxmlformats.org/officeDocument/2006/relationships" r:embed="rId354">
          <a:extLst>
            <a:ext uri="{28A0092B-C50C-407E-A947-70E740481C1C}">
              <a14:useLocalDpi xmlns:a14="http://schemas.microsoft.com/office/drawing/2010/main" val="0"/>
            </a:ext>
          </a:extLst>
        </a:blip>
        <a:srcRect/>
        <a:stretch>
          <a:fillRect/>
        </a:stretch>
      </xdr:blipFill>
      <xdr:spPr bwMode="auto">
        <a:xfrm>
          <a:off x="1228725" y="665349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356</xdr:row>
      <xdr:rowOff>19050</xdr:rowOff>
    </xdr:from>
    <xdr:to>
      <xdr:col>2</xdr:col>
      <xdr:colOff>1733550</xdr:colOff>
      <xdr:row>356</xdr:row>
      <xdr:rowOff>1695450</xdr:rowOff>
    </xdr:to>
    <xdr:pic>
      <xdr:nvPicPr>
        <xdr:cNvPr id="356" name="Picture 355"/>
        <xdr:cNvPicPr>
          <a:picLocks noChangeAspect="1" noChangeArrowheads="1"/>
        </xdr:cNvPicPr>
      </xdr:nvPicPr>
      <xdr:blipFill>
        <a:blip xmlns:r="http://schemas.openxmlformats.org/officeDocument/2006/relationships" r:embed="rId355">
          <a:extLst>
            <a:ext uri="{28A0092B-C50C-407E-A947-70E740481C1C}">
              <a14:useLocalDpi xmlns:a14="http://schemas.microsoft.com/office/drawing/2010/main" val="0"/>
            </a:ext>
          </a:extLst>
        </a:blip>
        <a:srcRect/>
        <a:stretch>
          <a:fillRect/>
        </a:stretch>
      </xdr:blipFill>
      <xdr:spPr bwMode="auto">
        <a:xfrm>
          <a:off x="1228725" y="667245300"/>
          <a:ext cx="1724025" cy="1676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357</xdr:row>
      <xdr:rowOff>19050</xdr:rowOff>
    </xdr:from>
    <xdr:to>
      <xdr:col>2</xdr:col>
      <xdr:colOff>1733550</xdr:colOff>
      <xdr:row>357</xdr:row>
      <xdr:rowOff>1647825</xdr:rowOff>
    </xdr:to>
    <xdr:pic>
      <xdr:nvPicPr>
        <xdr:cNvPr id="357" name="Picture 356"/>
        <xdr:cNvPicPr>
          <a:picLocks noChangeAspect="1" noChangeArrowheads="1"/>
        </xdr:cNvPicPr>
      </xdr:nvPicPr>
      <xdr:blipFill>
        <a:blip xmlns:r="http://schemas.openxmlformats.org/officeDocument/2006/relationships" r:embed="rId356">
          <a:extLst>
            <a:ext uri="{28A0092B-C50C-407E-A947-70E740481C1C}">
              <a14:useLocalDpi xmlns:a14="http://schemas.microsoft.com/office/drawing/2010/main" val="0"/>
            </a:ext>
          </a:extLst>
        </a:blip>
        <a:srcRect/>
        <a:stretch>
          <a:fillRect/>
        </a:stretch>
      </xdr:blipFill>
      <xdr:spPr bwMode="auto">
        <a:xfrm>
          <a:off x="1228725" y="6691979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358</xdr:row>
      <xdr:rowOff>19050</xdr:rowOff>
    </xdr:from>
    <xdr:to>
      <xdr:col>2</xdr:col>
      <xdr:colOff>1733550</xdr:colOff>
      <xdr:row>358</xdr:row>
      <xdr:rowOff>1685925</xdr:rowOff>
    </xdr:to>
    <xdr:pic>
      <xdr:nvPicPr>
        <xdr:cNvPr id="358" name="Picture 357"/>
        <xdr:cNvPicPr>
          <a:picLocks noChangeAspect="1" noChangeArrowheads="1"/>
        </xdr:cNvPicPr>
      </xdr:nvPicPr>
      <xdr:blipFill>
        <a:blip xmlns:r="http://schemas.openxmlformats.org/officeDocument/2006/relationships" r:embed="rId357">
          <a:extLst>
            <a:ext uri="{28A0092B-C50C-407E-A947-70E740481C1C}">
              <a14:useLocalDpi xmlns:a14="http://schemas.microsoft.com/office/drawing/2010/main" val="0"/>
            </a:ext>
          </a:extLst>
        </a:blip>
        <a:srcRect/>
        <a:stretch>
          <a:fillRect/>
        </a:stretch>
      </xdr:blipFill>
      <xdr:spPr bwMode="auto">
        <a:xfrm>
          <a:off x="1228725" y="6710934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359</xdr:row>
      <xdr:rowOff>19050</xdr:rowOff>
    </xdr:from>
    <xdr:to>
      <xdr:col>2</xdr:col>
      <xdr:colOff>1733550</xdr:colOff>
      <xdr:row>359</xdr:row>
      <xdr:rowOff>1647825</xdr:rowOff>
    </xdr:to>
    <xdr:pic>
      <xdr:nvPicPr>
        <xdr:cNvPr id="359" name="Picture 358"/>
        <xdr:cNvPicPr>
          <a:picLocks noChangeAspect="1" noChangeArrowheads="1"/>
        </xdr:cNvPicPr>
      </xdr:nvPicPr>
      <xdr:blipFill>
        <a:blip xmlns:r="http://schemas.openxmlformats.org/officeDocument/2006/relationships" r:embed="rId358">
          <a:extLst>
            <a:ext uri="{28A0092B-C50C-407E-A947-70E740481C1C}">
              <a14:useLocalDpi xmlns:a14="http://schemas.microsoft.com/office/drawing/2010/main" val="0"/>
            </a:ext>
          </a:extLst>
        </a:blip>
        <a:srcRect/>
        <a:stretch>
          <a:fillRect/>
        </a:stretch>
      </xdr:blipFill>
      <xdr:spPr bwMode="auto">
        <a:xfrm>
          <a:off x="1228725" y="6730365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360</xdr:row>
      <xdr:rowOff>19050</xdr:rowOff>
    </xdr:from>
    <xdr:to>
      <xdr:col>2</xdr:col>
      <xdr:colOff>1733550</xdr:colOff>
      <xdr:row>360</xdr:row>
      <xdr:rowOff>1647825</xdr:rowOff>
    </xdr:to>
    <xdr:pic>
      <xdr:nvPicPr>
        <xdr:cNvPr id="360" name="Picture 359"/>
        <xdr:cNvPicPr>
          <a:picLocks noChangeAspect="1" noChangeArrowheads="1"/>
        </xdr:cNvPicPr>
      </xdr:nvPicPr>
      <xdr:blipFill>
        <a:blip xmlns:r="http://schemas.openxmlformats.org/officeDocument/2006/relationships" r:embed="rId359">
          <a:extLst>
            <a:ext uri="{28A0092B-C50C-407E-A947-70E740481C1C}">
              <a14:useLocalDpi xmlns:a14="http://schemas.microsoft.com/office/drawing/2010/main" val="0"/>
            </a:ext>
          </a:extLst>
        </a:blip>
        <a:srcRect/>
        <a:stretch>
          <a:fillRect/>
        </a:stretch>
      </xdr:blipFill>
      <xdr:spPr bwMode="auto">
        <a:xfrm>
          <a:off x="1228725" y="6749319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361</xdr:row>
      <xdr:rowOff>19050</xdr:rowOff>
    </xdr:from>
    <xdr:to>
      <xdr:col>2</xdr:col>
      <xdr:colOff>1733550</xdr:colOff>
      <xdr:row>361</xdr:row>
      <xdr:rowOff>1647825</xdr:rowOff>
    </xdr:to>
    <xdr:pic>
      <xdr:nvPicPr>
        <xdr:cNvPr id="361" name="Picture 360"/>
        <xdr:cNvPicPr>
          <a:picLocks noChangeAspect="1" noChangeArrowheads="1"/>
        </xdr:cNvPicPr>
      </xdr:nvPicPr>
      <xdr:blipFill>
        <a:blip xmlns:r="http://schemas.openxmlformats.org/officeDocument/2006/relationships" r:embed="rId360">
          <a:extLst>
            <a:ext uri="{28A0092B-C50C-407E-A947-70E740481C1C}">
              <a14:useLocalDpi xmlns:a14="http://schemas.microsoft.com/office/drawing/2010/main" val="0"/>
            </a:ext>
          </a:extLst>
        </a:blip>
        <a:srcRect/>
        <a:stretch>
          <a:fillRect/>
        </a:stretch>
      </xdr:blipFill>
      <xdr:spPr bwMode="auto">
        <a:xfrm>
          <a:off x="1228725" y="676827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362</xdr:row>
      <xdr:rowOff>19050</xdr:rowOff>
    </xdr:from>
    <xdr:to>
      <xdr:col>2</xdr:col>
      <xdr:colOff>1733550</xdr:colOff>
      <xdr:row>362</xdr:row>
      <xdr:rowOff>1647825</xdr:rowOff>
    </xdr:to>
    <xdr:pic>
      <xdr:nvPicPr>
        <xdr:cNvPr id="362" name="Picture 361"/>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28725" y="6787229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363</xdr:row>
      <xdr:rowOff>19050</xdr:rowOff>
    </xdr:from>
    <xdr:to>
      <xdr:col>2</xdr:col>
      <xdr:colOff>1733550</xdr:colOff>
      <xdr:row>363</xdr:row>
      <xdr:rowOff>1733550</xdr:rowOff>
    </xdr:to>
    <xdr:pic>
      <xdr:nvPicPr>
        <xdr:cNvPr id="363" name="Picture 362"/>
        <xdr:cNvPicPr>
          <a:picLocks noChangeAspect="1" noChangeArrowheads="1"/>
        </xdr:cNvPicPr>
      </xdr:nvPicPr>
      <xdr:blipFill>
        <a:blip xmlns:r="http://schemas.openxmlformats.org/officeDocument/2006/relationships" r:embed="rId362">
          <a:extLst>
            <a:ext uri="{28A0092B-C50C-407E-A947-70E740481C1C}">
              <a14:useLocalDpi xmlns:a14="http://schemas.microsoft.com/office/drawing/2010/main" val="0"/>
            </a:ext>
          </a:extLst>
        </a:blip>
        <a:srcRect/>
        <a:stretch>
          <a:fillRect/>
        </a:stretch>
      </xdr:blipFill>
      <xdr:spPr bwMode="auto">
        <a:xfrm>
          <a:off x="1228725" y="680618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364</xdr:row>
      <xdr:rowOff>19050</xdr:rowOff>
    </xdr:from>
    <xdr:to>
      <xdr:col>2</xdr:col>
      <xdr:colOff>1733550</xdr:colOff>
      <xdr:row>364</xdr:row>
      <xdr:rowOff>1809750</xdr:rowOff>
    </xdr:to>
    <xdr:pic>
      <xdr:nvPicPr>
        <xdr:cNvPr id="364" name="Picture 363"/>
        <xdr:cNvPicPr>
          <a:picLocks noChangeAspect="1" noChangeArrowheads="1"/>
        </xdr:cNvPicPr>
      </xdr:nvPicPr>
      <xdr:blipFill>
        <a:blip xmlns:r="http://schemas.openxmlformats.org/officeDocument/2006/relationships" r:embed="rId363">
          <a:extLst>
            <a:ext uri="{28A0092B-C50C-407E-A947-70E740481C1C}">
              <a14:useLocalDpi xmlns:a14="http://schemas.microsoft.com/office/drawing/2010/main" val="0"/>
            </a:ext>
          </a:extLst>
        </a:blip>
        <a:srcRect/>
        <a:stretch>
          <a:fillRect/>
        </a:stretch>
      </xdr:blipFill>
      <xdr:spPr bwMode="auto">
        <a:xfrm>
          <a:off x="1228725" y="6826186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365</xdr:row>
      <xdr:rowOff>19050</xdr:rowOff>
    </xdr:from>
    <xdr:to>
      <xdr:col>2</xdr:col>
      <xdr:colOff>1733550</xdr:colOff>
      <xdr:row>365</xdr:row>
      <xdr:rowOff>1733550</xdr:rowOff>
    </xdr:to>
    <xdr:pic>
      <xdr:nvPicPr>
        <xdr:cNvPr id="365" name="Picture 364"/>
        <xdr:cNvPicPr>
          <a:picLocks noChangeAspect="1" noChangeArrowheads="1"/>
        </xdr:cNvPicPr>
      </xdr:nvPicPr>
      <xdr:blipFill>
        <a:blip xmlns:r="http://schemas.openxmlformats.org/officeDocument/2006/relationships" r:embed="rId364">
          <a:extLst>
            <a:ext uri="{28A0092B-C50C-407E-A947-70E740481C1C}">
              <a14:useLocalDpi xmlns:a14="http://schemas.microsoft.com/office/drawing/2010/main" val="0"/>
            </a:ext>
          </a:extLst>
        </a:blip>
        <a:srcRect/>
        <a:stretch>
          <a:fillRect/>
        </a:stretch>
      </xdr:blipFill>
      <xdr:spPr bwMode="auto">
        <a:xfrm>
          <a:off x="1228725" y="6846951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366</xdr:row>
      <xdr:rowOff>19050</xdr:rowOff>
    </xdr:from>
    <xdr:to>
      <xdr:col>2</xdr:col>
      <xdr:colOff>1733550</xdr:colOff>
      <xdr:row>366</xdr:row>
      <xdr:rowOff>1809750</xdr:rowOff>
    </xdr:to>
    <xdr:pic>
      <xdr:nvPicPr>
        <xdr:cNvPr id="366" name="Picture 365"/>
        <xdr:cNvPicPr>
          <a:picLocks noChangeAspect="1" noChangeArrowheads="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1228725" y="6866953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367</xdr:row>
      <xdr:rowOff>9525</xdr:rowOff>
    </xdr:from>
    <xdr:to>
      <xdr:col>2</xdr:col>
      <xdr:colOff>1733550</xdr:colOff>
      <xdr:row>367</xdr:row>
      <xdr:rowOff>1524000</xdr:rowOff>
    </xdr:to>
    <xdr:pic>
      <xdr:nvPicPr>
        <xdr:cNvPr id="367" name="Picture 366"/>
        <xdr:cNvPicPr>
          <a:picLocks noChangeAspect="1" noChangeArrowheads="1"/>
        </xdr:cNvPicPr>
      </xdr:nvPicPr>
      <xdr:blipFill>
        <a:blip xmlns:r="http://schemas.openxmlformats.org/officeDocument/2006/relationships" r:embed="rId366">
          <a:extLst>
            <a:ext uri="{28A0092B-C50C-407E-A947-70E740481C1C}">
              <a14:useLocalDpi xmlns:a14="http://schemas.microsoft.com/office/drawing/2010/main" val="0"/>
            </a:ext>
          </a:extLst>
        </a:blip>
        <a:srcRect/>
        <a:stretch>
          <a:fillRect/>
        </a:stretch>
      </xdr:blipFill>
      <xdr:spPr bwMode="auto">
        <a:xfrm>
          <a:off x="1228725" y="688762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368</xdr:row>
      <xdr:rowOff>9525</xdr:rowOff>
    </xdr:from>
    <xdr:to>
      <xdr:col>2</xdr:col>
      <xdr:colOff>1733550</xdr:colOff>
      <xdr:row>368</xdr:row>
      <xdr:rowOff>1524000</xdr:rowOff>
    </xdr:to>
    <xdr:pic>
      <xdr:nvPicPr>
        <xdr:cNvPr id="368" name="Picture 367"/>
        <xdr:cNvPicPr>
          <a:picLocks noChangeAspect="1" noChangeArrowheads="1"/>
        </xdr:cNvPicPr>
      </xdr:nvPicPr>
      <xdr:blipFill>
        <a:blip xmlns:r="http://schemas.openxmlformats.org/officeDocument/2006/relationships" r:embed="rId367">
          <a:extLst>
            <a:ext uri="{28A0092B-C50C-407E-A947-70E740481C1C}">
              <a14:useLocalDpi xmlns:a14="http://schemas.microsoft.com/office/drawing/2010/main" val="0"/>
            </a:ext>
          </a:extLst>
        </a:blip>
        <a:srcRect/>
        <a:stretch>
          <a:fillRect/>
        </a:stretch>
      </xdr:blipFill>
      <xdr:spPr bwMode="auto">
        <a:xfrm>
          <a:off x="1228725" y="690514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369</xdr:row>
      <xdr:rowOff>9525</xdr:rowOff>
    </xdr:from>
    <xdr:to>
      <xdr:col>2</xdr:col>
      <xdr:colOff>1733550</xdr:colOff>
      <xdr:row>369</xdr:row>
      <xdr:rowOff>1524000</xdr:rowOff>
    </xdr:to>
    <xdr:pic>
      <xdr:nvPicPr>
        <xdr:cNvPr id="369" name="Picture 368"/>
        <xdr:cNvPicPr>
          <a:picLocks noChangeAspect="1" noChangeArrowheads="1"/>
        </xdr:cNvPicPr>
      </xdr:nvPicPr>
      <xdr:blipFill>
        <a:blip xmlns:r="http://schemas.openxmlformats.org/officeDocument/2006/relationships" r:embed="rId368">
          <a:extLst>
            <a:ext uri="{28A0092B-C50C-407E-A947-70E740481C1C}">
              <a14:useLocalDpi xmlns:a14="http://schemas.microsoft.com/office/drawing/2010/main" val="0"/>
            </a:ext>
          </a:extLst>
        </a:blip>
        <a:srcRect/>
        <a:stretch>
          <a:fillRect/>
        </a:stretch>
      </xdr:blipFill>
      <xdr:spPr bwMode="auto">
        <a:xfrm>
          <a:off x="1228725" y="692267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370</xdr:row>
      <xdr:rowOff>9525</xdr:rowOff>
    </xdr:from>
    <xdr:to>
      <xdr:col>2</xdr:col>
      <xdr:colOff>1733550</xdr:colOff>
      <xdr:row>370</xdr:row>
      <xdr:rowOff>1524000</xdr:rowOff>
    </xdr:to>
    <xdr:pic>
      <xdr:nvPicPr>
        <xdr:cNvPr id="370" name="Picture 369"/>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228725" y="694020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371</xdr:row>
      <xdr:rowOff>9525</xdr:rowOff>
    </xdr:from>
    <xdr:to>
      <xdr:col>2</xdr:col>
      <xdr:colOff>1733550</xdr:colOff>
      <xdr:row>371</xdr:row>
      <xdr:rowOff>1524000</xdr:rowOff>
    </xdr:to>
    <xdr:pic>
      <xdr:nvPicPr>
        <xdr:cNvPr id="371" name="Picture 370"/>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228725" y="695772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372</xdr:row>
      <xdr:rowOff>9525</xdr:rowOff>
    </xdr:from>
    <xdr:to>
      <xdr:col>2</xdr:col>
      <xdr:colOff>1733550</xdr:colOff>
      <xdr:row>372</xdr:row>
      <xdr:rowOff>1524000</xdr:rowOff>
    </xdr:to>
    <xdr:pic>
      <xdr:nvPicPr>
        <xdr:cNvPr id="372" name="Picture 371"/>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1228725" y="697525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373</xdr:row>
      <xdr:rowOff>9525</xdr:rowOff>
    </xdr:from>
    <xdr:to>
      <xdr:col>2</xdr:col>
      <xdr:colOff>1733550</xdr:colOff>
      <xdr:row>373</xdr:row>
      <xdr:rowOff>1524000</xdr:rowOff>
    </xdr:to>
    <xdr:pic>
      <xdr:nvPicPr>
        <xdr:cNvPr id="373" name="Picture 372"/>
        <xdr:cNvPicPr>
          <a:picLocks noChangeAspect="1" noChangeArrowheads="1"/>
        </xdr:cNvPicPr>
      </xdr:nvPicPr>
      <xdr:blipFill>
        <a:blip xmlns:r="http://schemas.openxmlformats.org/officeDocument/2006/relationships" r:embed="rId372">
          <a:extLst>
            <a:ext uri="{28A0092B-C50C-407E-A947-70E740481C1C}">
              <a14:useLocalDpi xmlns:a14="http://schemas.microsoft.com/office/drawing/2010/main" val="0"/>
            </a:ext>
          </a:extLst>
        </a:blip>
        <a:srcRect/>
        <a:stretch>
          <a:fillRect/>
        </a:stretch>
      </xdr:blipFill>
      <xdr:spPr bwMode="auto">
        <a:xfrm>
          <a:off x="1228725" y="699277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374</xdr:row>
      <xdr:rowOff>9525</xdr:rowOff>
    </xdr:from>
    <xdr:to>
      <xdr:col>2</xdr:col>
      <xdr:colOff>1733550</xdr:colOff>
      <xdr:row>374</xdr:row>
      <xdr:rowOff>1524000</xdr:rowOff>
    </xdr:to>
    <xdr:pic>
      <xdr:nvPicPr>
        <xdr:cNvPr id="374" name="Picture 373"/>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1228725" y="701030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375</xdr:row>
      <xdr:rowOff>9525</xdr:rowOff>
    </xdr:from>
    <xdr:to>
      <xdr:col>2</xdr:col>
      <xdr:colOff>1733550</xdr:colOff>
      <xdr:row>375</xdr:row>
      <xdr:rowOff>1524000</xdr:rowOff>
    </xdr:to>
    <xdr:pic>
      <xdr:nvPicPr>
        <xdr:cNvPr id="375" name="Picture 374"/>
        <xdr:cNvPicPr>
          <a:picLocks noChangeAspect="1" noChangeArrowheads="1"/>
        </xdr:cNvPicPr>
      </xdr:nvPicPr>
      <xdr:blipFill>
        <a:blip xmlns:r="http://schemas.openxmlformats.org/officeDocument/2006/relationships" r:embed="rId374">
          <a:extLst>
            <a:ext uri="{28A0092B-C50C-407E-A947-70E740481C1C}">
              <a14:useLocalDpi xmlns:a14="http://schemas.microsoft.com/office/drawing/2010/main" val="0"/>
            </a:ext>
          </a:extLst>
        </a:blip>
        <a:srcRect/>
        <a:stretch>
          <a:fillRect/>
        </a:stretch>
      </xdr:blipFill>
      <xdr:spPr bwMode="auto">
        <a:xfrm>
          <a:off x="1228725" y="702783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376</xdr:row>
      <xdr:rowOff>9525</xdr:rowOff>
    </xdr:from>
    <xdr:to>
      <xdr:col>2</xdr:col>
      <xdr:colOff>1733550</xdr:colOff>
      <xdr:row>376</xdr:row>
      <xdr:rowOff>1524000</xdr:rowOff>
    </xdr:to>
    <xdr:pic>
      <xdr:nvPicPr>
        <xdr:cNvPr id="376" name="Picture 375"/>
        <xdr:cNvPicPr>
          <a:picLocks noChangeAspect="1" noChangeArrowheads="1"/>
        </xdr:cNvPicPr>
      </xdr:nvPicPr>
      <xdr:blipFill>
        <a:blip xmlns:r="http://schemas.openxmlformats.org/officeDocument/2006/relationships" r:embed="rId375">
          <a:extLst>
            <a:ext uri="{28A0092B-C50C-407E-A947-70E740481C1C}">
              <a14:useLocalDpi xmlns:a14="http://schemas.microsoft.com/office/drawing/2010/main" val="0"/>
            </a:ext>
          </a:extLst>
        </a:blip>
        <a:srcRect/>
        <a:stretch>
          <a:fillRect/>
        </a:stretch>
      </xdr:blipFill>
      <xdr:spPr bwMode="auto">
        <a:xfrm>
          <a:off x="1228725" y="704535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377</xdr:row>
      <xdr:rowOff>9525</xdr:rowOff>
    </xdr:from>
    <xdr:to>
      <xdr:col>2</xdr:col>
      <xdr:colOff>1733550</xdr:colOff>
      <xdr:row>377</xdr:row>
      <xdr:rowOff>1524000</xdr:rowOff>
    </xdr:to>
    <xdr:pic>
      <xdr:nvPicPr>
        <xdr:cNvPr id="377" name="Picture 376"/>
        <xdr:cNvPicPr>
          <a:picLocks noChangeAspect="1" noChangeArrowheads="1"/>
        </xdr:cNvPicPr>
      </xdr:nvPicPr>
      <xdr:blipFill>
        <a:blip xmlns:r="http://schemas.openxmlformats.org/officeDocument/2006/relationships" r:embed="rId376">
          <a:extLst>
            <a:ext uri="{28A0092B-C50C-407E-A947-70E740481C1C}">
              <a14:useLocalDpi xmlns:a14="http://schemas.microsoft.com/office/drawing/2010/main" val="0"/>
            </a:ext>
          </a:extLst>
        </a:blip>
        <a:srcRect/>
        <a:stretch>
          <a:fillRect/>
        </a:stretch>
      </xdr:blipFill>
      <xdr:spPr bwMode="auto">
        <a:xfrm>
          <a:off x="1228725" y="706288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378</xdr:row>
      <xdr:rowOff>19050</xdr:rowOff>
    </xdr:from>
    <xdr:to>
      <xdr:col>2</xdr:col>
      <xdr:colOff>1733550</xdr:colOff>
      <xdr:row>378</xdr:row>
      <xdr:rowOff>1733550</xdr:rowOff>
    </xdr:to>
    <xdr:pic>
      <xdr:nvPicPr>
        <xdr:cNvPr id="378" name="Picture 377"/>
        <xdr:cNvPicPr>
          <a:picLocks noChangeAspect="1" noChangeArrowheads="1"/>
        </xdr:cNvPicPr>
      </xdr:nvPicPr>
      <xdr:blipFill>
        <a:blip xmlns:r="http://schemas.openxmlformats.org/officeDocument/2006/relationships" r:embed="rId377">
          <a:extLst>
            <a:ext uri="{28A0092B-C50C-407E-A947-70E740481C1C}">
              <a14:useLocalDpi xmlns:a14="http://schemas.microsoft.com/office/drawing/2010/main" val="0"/>
            </a:ext>
          </a:extLst>
        </a:blip>
        <a:srcRect/>
        <a:stretch>
          <a:fillRect/>
        </a:stretch>
      </xdr:blipFill>
      <xdr:spPr bwMode="auto">
        <a:xfrm>
          <a:off x="1228725" y="708050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379</xdr:row>
      <xdr:rowOff>9525</xdr:rowOff>
    </xdr:from>
    <xdr:to>
      <xdr:col>2</xdr:col>
      <xdr:colOff>1733550</xdr:colOff>
      <xdr:row>379</xdr:row>
      <xdr:rowOff>1419225</xdr:rowOff>
    </xdr:to>
    <xdr:pic>
      <xdr:nvPicPr>
        <xdr:cNvPr id="379" name="Picture 378"/>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1228725" y="710041125"/>
          <a:ext cx="1724025" cy="140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380</xdr:row>
      <xdr:rowOff>19050</xdr:rowOff>
    </xdr:from>
    <xdr:to>
      <xdr:col>2</xdr:col>
      <xdr:colOff>1733550</xdr:colOff>
      <xdr:row>380</xdr:row>
      <xdr:rowOff>1666875</xdr:rowOff>
    </xdr:to>
    <xdr:pic>
      <xdr:nvPicPr>
        <xdr:cNvPr id="380" name="Picture 379"/>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1228725" y="711688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381</xdr:row>
      <xdr:rowOff>9525</xdr:rowOff>
    </xdr:from>
    <xdr:to>
      <xdr:col>2</xdr:col>
      <xdr:colOff>1733550</xdr:colOff>
      <xdr:row>381</xdr:row>
      <xdr:rowOff>1524000</xdr:rowOff>
    </xdr:to>
    <xdr:pic>
      <xdr:nvPicPr>
        <xdr:cNvPr id="381" name="Picture 380"/>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1228725" y="713593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382</xdr:row>
      <xdr:rowOff>19050</xdr:rowOff>
    </xdr:from>
    <xdr:to>
      <xdr:col>2</xdr:col>
      <xdr:colOff>1733550</xdr:colOff>
      <xdr:row>382</xdr:row>
      <xdr:rowOff>1733550</xdr:rowOff>
    </xdr:to>
    <xdr:pic>
      <xdr:nvPicPr>
        <xdr:cNvPr id="382" name="Picture 381"/>
        <xdr:cNvPicPr>
          <a:picLocks noChangeAspect="1" noChangeArrowheads="1"/>
        </xdr:cNvPicPr>
      </xdr:nvPicPr>
      <xdr:blipFill>
        <a:blip xmlns:r="http://schemas.openxmlformats.org/officeDocument/2006/relationships" r:embed="rId381">
          <a:extLst>
            <a:ext uri="{28A0092B-C50C-407E-A947-70E740481C1C}">
              <a14:useLocalDpi xmlns:a14="http://schemas.microsoft.com/office/drawing/2010/main" val="0"/>
            </a:ext>
          </a:extLst>
        </a:blip>
        <a:srcRect/>
        <a:stretch>
          <a:fillRect/>
        </a:stretch>
      </xdr:blipFill>
      <xdr:spPr bwMode="auto">
        <a:xfrm>
          <a:off x="1228725" y="7153560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383</xdr:row>
      <xdr:rowOff>19050</xdr:rowOff>
    </xdr:from>
    <xdr:to>
      <xdr:col>2</xdr:col>
      <xdr:colOff>1733550</xdr:colOff>
      <xdr:row>383</xdr:row>
      <xdr:rowOff>1733550</xdr:rowOff>
    </xdr:to>
    <xdr:pic>
      <xdr:nvPicPr>
        <xdr:cNvPr id="383" name="Picture 382"/>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1228725" y="7173563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384</xdr:row>
      <xdr:rowOff>19050</xdr:rowOff>
    </xdr:from>
    <xdr:to>
      <xdr:col>2</xdr:col>
      <xdr:colOff>1733550</xdr:colOff>
      <xdr:row>384</xdr:row>
      <xdr:rowOff>1733550</xdr:rowOff>
    </xdr:to>
    <xdr:pic>
      <xdr:nvPicPr>
        <xdr:cNvPr id="384" name="Picture 383"/>
        <xdr:cNvPicPr>
          <a:picLocks noChangeAspect="1" noChangeArrowheads="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1228725" y="7193565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385</xdr:row>
      <xdr:rowOff>9525</xdr:rowOff>
    </xdr:from>
    <xdr:to>
      <xdr:col>2</xdr:col>
      <xdr:colOff>1733550</xdr:colOff>
      <xdr:row>385</xdr:row>
      <xdr:rowOff>1524000</xdr:rowOff>
    </xdr:to>
    <xdr:pic>
      <xdr:nvPicPr>
        <xdr:cNvPr id="385" name="Picture 384"/>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28725" y="721347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386</xdr:row>
      <xdr:rowOff>9525</xdr:rowOff>
    </xdr:from>
    <xdr:to>
      <xdr:col>2</xdr:col>
      <xdr:colOff>1733550</xdr:colOff>
      <xdr:row>386</xdr:row>
      <xdr:rowOff>1524000</xdr:rowOff>
    </xdr:to>
    <xdr:pic>
      <xdr:nvPicPr>
        <xdr:cNvPr id="386" name="Picture 385"/>
        <xdr:cNvPicPr>
          <a:picLocks noChangeAspect="1" noChangeArrowheads="1"/>
        </xdr:cNvPicPr>
      </xdr:nvPicPr>
      <xdr:blipFill>
        <a:blip xmlns:r="http://schemas.openxmlformats.org/officeDocument/2006/relationships" r:embed="rId385">
          <a:extLst>
            <a:ext uri="{28A0092B-C50C-407E-A947-70E740481C1C}">
              <a14:useLocalDpi xmlns:a14="http://schemas.microsoft.com/office/drawing/2010/main" val="0"/>
            </a:ext>
          </a:extLst>
        </a:blip>
        <a:srcRect/>
        <a:stretch>
          <a:fillRect/>
        </a:stretch>
      </xdr:blipFill>
      <xdr:spPr bwMode="auto">
        <a:xfrm>
          <a:off x="1228725" y="723099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387</xdr:row>
      <xdr:rowOff>9525</xdr:rowOff>
    </xdr:from>
    <xdr:to>
      <xdr:col>2</xdr:col>
      <xdr:colOff>1733550</xdr:colOff>
      <xdr:row>387</xdr:row>
      <xdr:rowOff>1524000</xdr:rowOff>
    </xdr:to>
    <xdr:pic>
      <xdr:nvPicPr>
        <xdr:cNvPr id="387" name="Picture 386"/>
        <xdr:cNvPicPr>
          <a:picLocks noChangeAspect="1" noChangeArrowheads="1"/>
        </xdr:cNvPicPr>
      </xdr:nvPicPr>
      <xdr:blipFill>
        <a:blip xmlns:r="http://schemas.openxmlformats.org/officeDocument/2006/relationships" r:embed="rId386">
          <a:extLst>
            <a:ext uri="{28A0092B-C50C-407E-A947-70E740481C1C}">
              <a14:useLocalDpi xmlns:a14="http://schemas.microsoft.com/office/drawing/2010/main" val="0"/>
            </a:ext>
          </a:extLst>
        </a:blip>
        <a:srcRect/>
        <a:stretch>
          <a:fillRect/>
        </a:stretch>
      </xdr:blipFill>
      <xdr:spPr bwMode="auto">
        <a:xfrm>
          <a:off x="1228725" y="724852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388</xdr:row>
      <xdr:rowOff>19050</xdr:rowOff>
    </xdr:from>
    <xdr:to>
      <xdr:col>2</xdr:col>
      <xdr:colOff>1733550</xdr:colOff>
      <xdr:row>388</xdr:row>
      <xdr:rowOff>1666875</xdr:rowOff>
    </xdr:to>
    <xdr:pic>
      <xdr:nvPicPr>
        <xdr:cNvPr id="388" name="Picture 387"/>
        <xdr:cNvPicPr>
          <a:picLocks noChangeAspect="1" noChangeArrowheads="1"/>
        </xdr:cNvPicPr>
      </xdr:nvPicPr>
      <xdr:blipFill>
        <a:blip xmlns:r="http://schemas.openxmlformats.org/officeDocument/2006/relationships" r:embed="rId387">
          <a:extLst>
            <a:ext uri="{28A0092B-C50C-407E-A947-70E740481C1C}">
              <a14:useLocalDpi xmlns:a14="http://schemas.microsoft.com/office/drawing/2010/main" val="0"/>
            </a:ext>
          </a:extLst>
        </a:blip>
        <a:srcRect/>
        <a:stretch>
          <a:fillRect/>
        </a:stretch>
      </xdr:blipFill>
      <xdr:spPr bwMode="auto">
        <a:xfrm>
          <a:off x="1228725" y="72661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389</xdr:row>
      <xdr:rowOff>9525</xdr:rowOff>
    </xdr:from>
    <xdr:to>
      <xdr:col>2</xdr:col>
      <xdr:colOff>1733550</xdr:colOff>
      <xdr:row>389</xdr:row>
      <xdr:rowOff>1524000</xdr:rowOff>
    </xdr:to>
    <xdr:pic>
      <xdr:nvPicPr>
        <xdr:cNvPr id="389" name="Picture 388"/>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1228725" y="728519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390</xdr:row>
      <xdr:rowOff>19050</xdr:rowOff>
    </xdr:from>
    <xdr:to>
      <xdr:col>2</xdr:col>
      <xdr:colOff>1733550</xdr:colOff>
      <xdr:row>390</xdr:row>
      <xdr:rowOff>1666875</xdr:rowOff>
    </xdr:to>
    <xdr:pic>
      <xdr:nvPicPr>
        <xdr:cNvPr id="390" name="Picture 389"/>
        <xdr:cNvPicPr>
          <a:picLocks noChangeAspect="1" noChangeArrowheads="1"/>
        </xdr:cNvPicPr>
      </xdr:nvPicPr>
      <xdr:blipFill>
        <a:blip xmlns:r="http://schemas.openxmlformats.org/officeDocument/2006/relationships" r:embed="rId389">
          <a:extLst>
            <a:ext uri="{28A0092B-C50C-407E-A947-70E740481C1C}">
              <a14:useLocalDpi xmlns:a14="http://schemas.microsoft.com/office/drawing/2010/main" val="0"/>
            </a:ext>
          </a:extLst>
        </a:blip>
        <a:srcRect/>
        <a:stretch>
          <a:fillRect/>
        </a:stretch>
      </xdr:blipFill>
      <xdr:spPr bwMode="auto">
        <a:xfrm>
          <a:off x="1228725" y="73028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391</xdr:row>
      <xdr:rowOff>19050</xdr:rowOff>
    </xdr:from>
    <xdr:to>
      <xdr:col>2</xdr:col>
      <xdr:colOff>1733550</xdr:colOff>
      <xdr:row>391</xdr:row>
      <xdr:rowOff>1685925</xdr:rowOff>
    </xdr:to>
    <xdr:pic>
      <xdr:nvPicPr>
        <xdr:cNvPr id="391" name="Picture 390"/>
        <xdr:cNvPicPr>
          <a:picLocks noChangeAspect="1" noChangeArrowheads="1"/>
        </xdr:cNvPicPr>
      </xdr:nvPicPr>
      <xdr:blipFill>
        <a:blip xmlns:r="http://schemas.openxmlformats.org/officeDocument/2006/relationships" r:embed="rId390">
          <a:extLst>
            <a:ext uri="{28A0092B-C50C-407E-A947-70E740481C1C}">
              <a14:useLocalDpi xmlns:a14="http://schemas.microsoft.com/office/drawing/2010/main" val="0"/>
            </a:ext>
          </a:extLst>
        </a:blip>
        <a:srcRect/>
        <a:stretch>
          <a:fillRect/>
        </a:stretch>
      </xdr:blipFill>
      <xdr:spPr bwMode="auto">
        <a:xfrm>
          <a:off x="1228725" y="7321962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392</xdr:row>
      <xdr:rowOff>19050</xdr:rowOff>
    </xdr:from>
    <xdr:to>
      <xdr:col>2</xdr:col>
      <xdr:colOff>1733550</xdr:colOff>
      <xdr:row>392</xdr:row>
      <xdr:rowOff>1685925</xdr:rowOff>
    </xdr:to>
    <xdr:pic>
      <xdr:nvPicPr>
        <xdr:cNvPr id="392" name="Picture 391"/>
        <xdr:cNvPicPr>
          <a:picLocks noChangeAspect="1" noChangeArrowheads="1"/>
        </xdr:cNvPicPr>
      </xdr:nvPicPr>
      <xdr:blipFill>
        <a:blip xmlns:r="http://schemas.openxmlformats.org/officeDocument/2006/relationships" r:embed="rId391">
          <a:extLst>
            <a:ext uri="{28A0092B-C50C-407E-A947-70E740481C1C}">
              <a14:useLocalDpi xmlns:a14="http://schemas.microsoft.com/office/drawing/2010/main" val="0"/>
            </a:ext>
          </a:extLst>
        </a:blip>
        <a:srcRect/>
        <a:stretch>
          <a:fillRect/>
        </a:stretch>
      </xdr:blipFill>
      <xdr:spPr bwMode="auto">
        <a:xfrm>
          <a:off x="1228725" y="7341393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393</xdr:row>
      <xdr:rowOff>9525</xdr:rowOff>
    </xdr:from>
    <xdr:to>
      <xdr:col>2</xdr:col>
      <xdr:colOff>1733550</xdr:colOff>
      <xdr:row>393</xdr:row>
      <xdr:rowOff>1524000</xdr:rowOff>
    </xdr:to>
    <xdr:pic>
      <xdr:nvPicPr>
        <xdr:cNvPr id="393" name="Picture 392"/>
        <xdr:cNvPicPr>
          <a:picLocks noChangeAspect="1" noChangeArrowheads="1"/>
        </xdr:cNvPicPr>
      </xdr:nvPicPr>
      <xdr:blipFill>
        <a:blip xmlns:r="http://schemas.openxmlformats.org/officeDocument/2006/relationships" r:embed="rId392">
          <a:extLst>
            <a:ext uri="{28A0092B-C50C-407E-A947-70E740481C1C}">
              <a14:useLocalDpi xmlns:a14="http://schemas.microsoft.com/office/drawing/2010/main" val="0"/>
            </a:ext>
          </a:extLst>
        </a:blip>
        <a:srcRect/>
        <a:stretch>
          <a:fillRect/>
        </a:stretch>
      </xdr:blipFill>
      <xdr:spPr bwMode="auto">
        <a:xfrm>
          <a:off x="1228725" y="736072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394</xdr:row>
      <xdr:rowOff>19050</xdr:rowOff>
    </xdr:from>
    <xdr:to>
      <xdr:col>2</xdr:col>
      <xdr:colOff>1733550</xdr:colOff>
      <xdr:row>394</xdr:row>
      <xdr:rowOff>1666875</xdr:rowOff>
    </xdr:to>
    <xdr:pic>
      <xdr:nvPicPr>
        <xdr:cNvPr id="394" name="Picture 393"/>
        <xdr:cNvPicPr>
          <a:picLocks noChangeAspect="1" noChangeArrowheads="1"/>
        </xdr:cNvPicPr>
      </xdr:nvPicPr>
      <xdr:blipFill>
        <a:blip xmlns:r="http://schemas.openxmlformats.org/officeDocument/2006/relationships" r:embed="rId393">
          <a:extLst>
            <a:ext uri="{28A0092B-C50C-407E-A947-70E740481C1C}">
              <a14:useLocalDpi xmlns:a14="http://schemas.microsoft.com/office/drawing/2010/main" val="0"/>
            </a:ext>
          </a:extLst>
        </a:blip>
        <a:srcRect/>
        <a:stretch>
          <a:fillRect/>
        </a:stretch>
      </xdr:blipFill>
      <xdr:spPr bwMode="auto">
        <a:xfrm>
          <a:off x="1228725" y="73783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395</xdr:row>
      <xdr:rowOff>19050</xdr:rowOff>
    </xdr:from>
    <xdr:to>
      <xdr:col>2</xdr:col>
      <xdr:colOff>1733550</xdr:colOff>
      <xdr:row>395</xdr:row>
      <xdr:rowOff>1647825</xdr:rowOff>
    </xdr:to>
    <xdr:pic>
      <xdr:nvPicPr>
        <xdr:cNvPr id="395" name="Picture 394"/>
        <xdr:cNvPicPr>
          <a:picLocks noChangeAspect="1" noChangeArrowheads="1"/>
        </xdr:cNvPicPr>
      </xdr:nvPicPr>
      <xdr:blipFill>
        <a:blip xmlns:r="http://schemas.openxmlformats.org/officeDocument/2006/relationships" r:embed="rId394">
          <a:extLst>
            <a:ext uri="{28A0092B-C50C-407E-A947-70E740481C1C}">
              <a14:useLocalDpi xmlns:a14="http://schemas.microsoft.com/office/drawing/2010/main" val="0"/>
            </a:ext>
          </a:extLst>
        </a:blip>
        <a:srcRect/>
        <a:stretch>
          <a:fillRect/>
        </a:stretch>
      </xdr:blipFill>
      <xdr:spPr bwMode="auto">
        <a:xfrm>
          <a:off x="1228725" y="739749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396</xdr:row>
      <xdr:rowOff>19050</xdr:rowOff>
    </xdr:from>
    <xdr:to>
      <xdr:col>2</xdr:col>
      <xdr:colOff>1733550</xdr:colOff>
      <xdr:row>396</xdr:row>
      <xdr:rowOff>1647825</xdr:rowOff>
    </xdr:to>
    <xdr:pic>
      <xdr:nvPicPr>
        <xdr:cNvPr id="396" name="Picture 395"/>
        <xdr:cNvPicPr>
          <a:picLocks noChangeAspect="1" noChangeArrowheads="1"/>
        </xdr:cNvPicPr>
      </xdr:nvPicPr>
      <xdr:blipFill>
        <a:blip xmlns:r="http://schemas.openxmlformats.org/officeDocument/2006/relationships" r:embed="rId395">
          <a:extLst>
            <a:ext uri="{28A0092B-C50C-407E-A947-70E740481C1C}">
              <a14:useLocalDpi xmlns:a14="http://schemas.microsoft.com/office/drawing/2010/main" val="0"/>
            </a:ext>
          </a:extLst>
        </a:blip>
        <a:srcRect/>
        <a:stretch>
          <a:fillRect/>
        </a:stretch>
      </xdr:blipFill>
      <xdr:spPr bwMode="auto">
        <a:xfrm>
          <a:off x="1228725" y="7416450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397</xdr:row>
      <xdr:rowOff>19050</xdr:rowOff>
    </xdr:from>
    <xdr:to>
      <xdr:col>2</xdr:col>
      <xdr:colOff>1733550</xdr:colOff>
      <xdr:row>397</xdr:row>
      <xdr:rowOff>1666875</xdr:rowOff>
    </xdr:to>
    <xdr:pic>
      <xdr:nvPicPr>
        <xdr:cNvPr id="397" name="Picture 396"/>
        <xdr:cNvPicPr>
          <a:picLocks noChangeAspect="1" noChangeArrowheads="1"/>
        </xdr:cNvPicPr>
      </xdr:nvPicPr>
      <xdr:blipFill>
        <a:blip xmlns:r="http://schemas.openxmlformats.org/officeDocument/2006/relationships" r:embed="rId396">
          <a:extLst>
            <a:ext uri="{28A0092B-C50C-407E-A947-70E740481C1C}">
              <a14:useLocalDpi xmlns:a14="http://schemas.microsoft.com/office/drawing/2010/main" val="0"/>
            </a:ext>
          </a:extLst>
        </a:blip>
        <a:srcRect/>
        <a:stretch>
          <a:fillRect/>
        </a:stretch>
      </xdr:blipFill>
      <xdr:spPr bwMode="auto">
        <a:xfrm>
          <a:off x="1228725" y="74354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398</xdr:row>
      <xdr:rowOff>19050</xdr:rowOff>
    </xdr:from>
    <xdr:to>
      <xdr:col>2</xdr:col>
      <xdr:colOff>1733550</xdr:colOff>
      <xdr:row>398</xdr:row>
      <xdr:rowOff>1666875</xdr:rowOff>
    </xdr:to>
    <xdr:pic>
      <xdr:nvPicPr>
        <xdr:cNvPr id="398" name="Picture 397"/>
        <xdr:cNvPicPr>
          <a:picLocks noChangeAspect="1" noChangeArrowheads="1"/>
        </xdr:cNvPicPr>
      </xdr:nvPicPr>
      <xdr:blipFill>
        <a:blip xmlns:r="http://schemas.openxmlformats.org/officeDocument/2006/relationships" r:embed="rId397">
          <a:extLst>
            <a:ext uri="{28A0092B-C50C-407E-A947-70E740481C1C}">
              <a14:useLocalDpi xmlns:a14="http://schemas.microsoft.com/office/drawing/2010/main" val="0"/>
            </a:ext>
          </a:extLst>
        </a:blip>
        <a:srcRect/>
        <a:stretch>
          <a:fillRect/>
        </a:stretch>
      </xdr:blipFill>
      <xdr:spPr bwMode="auto">
        <a:xfrm>
          <a:off x="1228725" y="74545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399</xdr:row>
      <xdr:rowOff>19050</xdr:rowOff>
    </xdr:from>
    <xdr:to>
      <xdr:col>2</xdr:col>
      <xdr:colOff>1733550</xdr:colOff>
      <xdr:row>399</xdr:row>
      <xdr:rowOff>1666875</xdr:rowOff>
    </xdr:to>
    <xdr:pic>
      <xdr:nvPicPr>
        <xdr:cNvPr id="399" name="Picture 398"/>
        <xdr:cNvPicPr>
          <a:picLocks noChangeAspect="1" noChangeArrowheads="1"/>
        </xdr:cNvPicPr>
      </xdr:nvPicPr>
      <xdr:blipFill>
        <a:blip xmlns:r="http://schemas.openxmlformats.org/officeDocument/2006/relationships" r:embed="rId398">
          <a:extLst>
            <a:ext uri="{28A0092B-C50C-407E-A947-70E740481C1C}">
              <a14:useLocalDpi xmlns:a14="http://schemas.microsoft.com/office/drawing/2010/main" val="0"/>
            </a:ext>
          </a:extLst>
        </a:blip>
        <a:srcRect/>
        <a:stretch>
          <a:fillRect/>
        </a:stretch>
      </xdr:blipFill>
      <xdr:spPr bwMode="auto">
        <a:xfrm>
          <a:off x="1228725" y="74736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400</xdr:row>
      <xdr:rowOff>19050</xdr:rowOff>
    </xdr:from>
    <xdr:to>
      <xdr:col>2</xdr:col>
      <xdr:colOff>1733550</xdr:colOff>
      <xdr:row>400</xdr:row>
      <xdr:rowOff>1666875</xdr:rowOff>
    </xdr:to>
    <xdr:pic>
      <xdr:nvPicPr>
        <xdr:cNvPr id="400" name="Picture 399"/>
        <xdr:cNvPicPr>
          <a:picLocks noChangeAspect="1" noChangeArrowheads="1"/>
        </xdr:cNvPicPr>
      </xdr:nvPicPr>
      <xdr:blipFill>
        <a:blip xmlns:r="http://schemas.openxmlformats.org/officeDocument/2006/relationships" r:embed="rId399">
          <a:extLst>
            <a:ext uri="{28A0092B-C50C-407E-A947-70E740481C1C}">
              <a14:useLocalDpi xmlns:a14="http://schemas.microsoft.com/office/drawing/2010/main" val="0"/>
            </a:ext>
          </a:extLst>
        </a:blip>
        <a:srcRect/>
        <a:stretch>
          <a:fillRect/>
        </a:stretch>
      </xdr:blipFill>
      <xdr:spPr bwMode="auto">
        <a:xfrm>
          <a:off x="1228725" y="74928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401</xdr:row>
      <xdr:rowOff>19050</xdr:rowOff>
    </xdr:from>
    <xdr:to>
      <xdr:col>2</xdr:col>
      <xdr:colOff>1733550</xdr:colOff>
      <xdr:row>401</xdr:row>
      <xdr:rowOff>1666875</xdr:rowOff>
    </xdr:to>
    <xdr:pic>
      <xdr:nvPicPr>
        <xdr:cNvPr id="401" name="Picture 400"/>
        <xdr:cNvPicPr>
          <a:picLocks noChangeAspect="1" noChangeArrowheads="1"/>
        </xdr:cNvPicPr>
      </xdr:nvPicPr>
      <xdr:blipFill>
        <a:blip xmlns:r="http://schemas.openxmlformats.org/officeDocument/2006/relationships" r:embed="rId400">
          <a:extLst>
            <a:ext uri="{28A0092B-C50C-407E-A947-70E740481C1C}">
              <a14:useLocalDpi xmlns:a14="http://schemas.microsoft.com/office/drawing/2010/main" val="0"/>
            </a:ext>
          </a:extLst>
        </a:blip>
        <a:srcRect/>
        <a:stretch>
          <a:fillRect/>
        </a:stretch>
      </xdr:blipFill>
      <xdr:spPr bwMode="auto">
        <a:xfrm>
          <a:off x="1228725" y="75119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402</xdr:row>
      <xdr:rowOff>19050</xdr:rowOff>
    </xdr:from>
    <xdr:to>
      <xdr:col>2</xdr:col>
      <xdr:colOff>1733550</xdr:colOff>
      <xdr:row>402</xdr:row>
      <xdr:rowOff>1666875</xdr:rowOff>
    </xdr:to>
    <xdr:pic>
      <xdr:nvPicPr>
        <xdr:cNvPr id="402" name="Picture 401"/>
        <xdr:cNvPicPr>
          <a:picLocks noChangeAspect="1" noChangeArrowheads="1"/>
        </xdr:cNvPicPr>
      </xdr:nvPicPr>
      <xdr:blipFill>
        <a:blip xmlns:r="http://schemas.openxmlformats.org/officeDocument/2006/relationships" r:embed="rId401">
          <a:extLst>
            <a:ext uri="{28A0092B-C50C-407E-A947-70E740481C1C}">
              <a14:useLocalDpi xmlns:a14="http://schemas.microsoft.com/office/drawing/2010/main" val="0"/>
            </a:ext>
          </a:extLst>
        </a:blip>
        <a:srcRect/>
        <a:stretch>
          <a:fillRect/>
        </a:stretch>
      </xdr:blipFill>
      <xdr:spPr bwMode="auto">
        <a:xfrm>
          <a:off x="1228725" y="75311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403</xdr:row>
      <xdr:rowOff>19050</xdr:rowOff>
    </xdr:from>
    <xdr:to>
      <xdr:col>2</xdr:col>
      <xdr:colOff>1733550</xdr:colOff>
      <xdr:row>403</xdr:row>
      <xdr:rowOff>1666875</xdr:rowOff>
    </xdr:to>
    <xdr:pic>
      <xdr:nvPicPr>
        <xdr:cNvPr id="403" name="Picture 402"/>
        <xdr:cNvPicPr>
          <a:picLocks noChangeAspect="1" noChangeArrowheads="1"/>
        </xdr:cNvPicPr>
      </xdr:nvPicPr>
      <xdr:blipFill>
        <a:blip xmlns:r="http://schemas.openxmlformats.org/officeDocument/2006/relationships" r:embed="rId402">
          <a:extLst>
            <a:ext uri="{28A0092B-C50C-407E-A947-70E740481C1C}">
              <a14:useLocalDpi xmlns:a14="http://schemas.microsoft.com/office/drawing/2010/main" val="0"/>
            </a:ext>
          </a:extLst>
        </a:blip>
        <a:srcRect/>
        <a:stretch>
          <a:fillRect/>
        </a:stretch>
      </xdr:blipFill>
      <xdr:spPr bwMode="auto">
        <a:xfrm>
          <a:off x="1228725" y="75502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404</xdr:row>
      <xdr:rowOff>19050</xdr:rowOff>
    </xdr:from>
    <xdr:to>
      <xdr:col>2</xdr:col>
      <xdr:colOff>1733550</xdr:colOff>
      <xdr:row>404</xdr:row>
      <xdr:rowOff>1666875</xdr:rowOff>
    </xdr:to>
    <xdr:pic>
      <xdr:nvPicPr>
        <xdr:cNvPr id="404" name="Picture 403"/>
        <xdr:cNvPicPr>
          <a:picLocks noChangeAspect="1" noChangeArrowheads="1"/>
        </xdr:cNvPicPr>
      </xdr:nvPicPr>
      <xdr:blipFill>
        <a:blip xmlns:r="http://schemas.openxmlformats.org/officeDocument/2006/relationships" r:embed="rId403">
          <a:extLst>
            <a:ext uri="{28A0092B-C50C-407E-A947-70E740481C1C}">
              <a14:useLocalDpi xmlns:a14="http://schemas.microsoft.com/office/drawing/2010/main" val="0"/>
            </a:ext>
          </a:extLst>
        </a:blip>
        <a:srcRect/>
        <a:stretch>
          <a:fillRect/>
        </a:stretch>
      </xdr:blipFill>
      <xdr:spPr bwMode="auto">
        <a:xfrm>
          <a:off x="1228725" y="75694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405</xdr:row>
      <xdr:rowOff>19050</xdr:rowOff>
    </xdr:from>
    <xdr:to>
      <xdr:col>2</xdr:col>
      <xdr:colOff>1733550</xdr:colOff>
      <xdr:row>405</xdr:row>
      <xdr:rowOff>1666875</xdr:rowOff>
    </xdr:to>
    <xdr:pic>
      <xdr:nvPicPr>
        <xdr:cNvPr id="405" name="Picture 404"/>
        <xdr:cNvPicPr>
          <a:picLocks noChangeAspect="1" noChangeArrowheads="1"/>
        </xdr:cNvPicPr>
      </xdr:nvPicPr>
      <xdr:blipFill>
        <a:blip xmlns:r="http://schemas.openxmlformats.org/officeDocument/2006/relationships" r:embed="rId404">
          <a:extLst>
            <a:ext uri="{28A0092B-C50C-407E-A947-70E740481C1C}">
              <a14:useLocalDpi xmlns:a14="http://schemas.microsoft.com/office/drawing/2010/main" val="0"/>
            </a:ext>
          </a:extLst>
        </a:blip>
        <a:srcRect/>
        <a:stretch>
          <a:fillRect/>
        </a:stretch>
      </xdr:blipFill>
      <xdr:spPr bwMode="auto">
        <a:xfrm>
          <a:off x="1228725" y="75885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406</xdr:row>
      <xdr:rowOff>19050</xdr:rowOff>
    </xdr:from>
    <xdr:to>
      <xdr:col>2</xdr:col>
      <xdr:colOff>1733550</xdr:colOff>
      <xdr:row>406</xdr:row>
      <xdr:rowOff>1666875</xdr:rowOff>
    </xdr:to>
    <xdr:pic>
      <xdr:nvPicPr>
        <xdr:cNvPr id="406" name="Picture 405"/>
        <xdr:cNvPicPr>
          <a:picLocks noChangeAspect="1" noChangeArrowheads="1"/>
        </xdr:cNvPicPr>
      </xdr:nvPicPr>
      <xdr:blipFill>
        <a:blip xmlns:r="http://schemas.openxmlformats.org/officeDocument/2006/relationships" r:embed="rId405">
          <a:extLst>
            <a:ext uri="{28A0092B-C50C-407E-A947-70E740481C1C}">
              <a14:useLocalDpi xmlns:a14="http://schemas.microsoft.com/office/drawing/2010/main" val="0"/>
            </a:ext>
          </a:extLst>
        </a:blip>
        <a:srcRect/>
        <a:stretch>
          <a:fillRect/>
        </a:stretch>
      </xdr:blipFill>
      <xdr:spPr bwMode="auto">
        <a:xfrm>
          <a:off x="1228725" y="76077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407</xdr:row>
      <xdr:rowOff>19050</xdr:rowOff>
    </xdr:from>
    <xdr:to>
      <xdr:col>2</xdr:col>
      <xdr:colOff>1733550</xdr:colOff>
      <xdr:row>407</xdr:row>
      <xdr:rowOff>1666875</xdr:rowOff>
    </xdr:to>
    <xdr:pic>
      <xdr:nvPicPr>
        <xdr:cNvPr id="407" name="Picture 406"/>
        <xdr:cNvPicPr>
          <a:picLocks noChangeAspect="1" noChangeArrowheads="1"/>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1228725" y="76268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408</xdr:row>
      <xdr:rowOff>19050</xdr:rowOff>
    </xdr:from>
    <xdr:to>
      <xdr:col>2</xdr:col>
      <xdr:colOff>1733550</xdr:colOff>
      <xdr:row>408</xdr:row>
      <xdr:rowOff>1666875</xdr:rowOff>
    </xdr:to>
    <xdr:pic>
      <xdr:nvPicPr>
        <xdr:cNvPr id="408" name="Picture 407"/>
        <xdr:cNvPicPr>
          <a:picLocks noChangeAspect="1" noChangeArrowheads="1"/>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1228725" y="76460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409</xdr:row>
      <xdr:rowOff>19050</xdr:rowOff>
    </xdr:from>
    <xdr:to>
      <xdr:col>2</xdr:col>
      <xdr:colOff>1733550</xdr:colOff>
      <xdr:row>409</xdr:row>
      <xdr:rowOff>1666875</xdr:rowOff>
    </xdr:to>
    <xdr:pic>
      <xdr:nvPicPr>
        <xdr:cNvPr id="409" name="Picture 408"/>
        <xdr:cNvPicPr>
          <a:picLocks noChangeAspect="1" noChangeArrowheads="1"/>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1228725" y="76651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410</xdr:row>
      <xdr:rowOff>19050</xdr:rowOff>
    </xdr:from>
    <xdr:to>
      <xdr:col>2</xdr:col>
      <xdr:colOff>1733550</xdr:colOff>
      <xdr:row>410</xdr:row>
      <xdr:rowOff>1647825</xdr:rowOff>
    </xdr:to>
    <xdr:pic>
      <xdr:nvPicPr>
        <xdr:cNvPr id="410" name="Picture 409"/>
        <xdr:cNvPicPr>
          <a:picLocks noChangeAspect="1" noChangeArrowheads="1"/>
        </xdr:cNvPicPr>
      </xdr:nvPicPr>
      <xdr:blipFill>
        <a:blip xmlns:r="http://schemas.openxmlformats.org/officeDocument/2006/relationships" r:embed="rId409">
          <a:extLst>
            <a:ext uri="{28A0092B-C50C-407E-A947-70E740481C1C}">
              <a14:useLocalDpi xmlns:a14="http://schemas.microsoft.com/office/drawing/2010/main" val="0"/>
            </a:ext>
          </a:extLst>
        </a:blip>
        <a:srcRect/>
        <a:stretch>
          <a:fillRect/>
        </a:stretch>
      </xdr:blipFill>
      <xdr:spPr bwMode="auto">
        <a:xfrm>
          <a:off x="1228725" y="7684293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411</xdr:row>
      <xdr:rowOff>19050</xdr:rowOff>
    </xdr:from>
    <xdr:to>
      <xdr:col>2</xdr:col>
      <xdr:colOff>1733550</xdr:colOff>
      <xdr:row>411</xdr:row>
      <xdr:rowOff>1666875</xdr:rowOff>
    </xdr:to>
    <xdr:pic>
      <xdr:nvPicPr>
        <xdr:cNvPr id="411" name="Picture 410"/>
        <xdr:cNvPicPr>
          <a:picLocks noChangeAspect="1" noChangeArrowheads="1"/>
        </xdr:cNvPicPr>
      </xdr:nvPicPr>
      <xdr:blipFill>
        <a:blip xmlns:r="http://schemas.openxmlformats.org/officeDocument/2006/relationships" r:embed="rId410">
          <a:extLst>
            <a:ext uri="{28A0092B-C50C-407E-A947-70E740481C1C}">
              <a14:useLocalDpi xmlns:a14="http://schemas.microsoft.com/office/drawing/2010/main" val="0"/>
            </a:ext>
          </a:extLst>
        </a:blip>
        <a:srcRect/>
        <a:stretch>
          <a:fillRect/>
        </a:stretch>
      </xdr:blipFill>
      <xdr:spPr bwMode="auto">
        <a:xfrm>
          <a:off x="1228725" y="77032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412</xdr:row>
      <xdr:rowOff>19050</xdr:rowOff>
    </xdr:from>
    <xdr:to>
      <xdr:col>2</xdr:col>
      <xdr:colOff>1733550</xdr:colOff>
      <xdr:row>412</xdr:row>
      <xdr:rowOff>1666875</xdr:rowOff>
    </xdr:to>
    <xdr:pic>
      <xdr:nvPicPr>
        <xdr:cNvPr id="412" name="Picture 411"/>
        <xdr:cNvPicPr>
          <a:picLocks noChangeAspect="1" noChangeArrowheads="1"/>
        </xdr:cNvPicPr>
      </xdr:nvPicPr>
      <xdr:blipFill>
        <a:blip xmlns:r="http://schemas.openxmlformats.org/officeDocument/2006/relationships" r:embed="rId411">
          <a:extLst>
            <a:ext uri="{28A0092B-C50C-407E-A947-70E740481C1C}">
              <a14:useLocalDpi xmlns:a14="http://schemas.microsoft.com/office/drawing/2010/main" val="0"/>
            </a:ext>
          </a:extLst>
        </a:blip>
        <a:srcRect/>
        <a:stretch>
          <a:fillRect/>
        </a:stretch>
      </xdr:blipFill>
      <xdr:spPr bwMode="auto">
        <a:xfrm>
          <a:off x="1228725" y="77223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413</xdr:row>
      <xdr:rowOff>19050</xdr:rowOff>
    </xdr:from>
    <xdr:to>
      <xdr:col>2</xdr:col>
      <xdr:colOff>1733550</xdr:colOff>
      <xdr:row>413</xdr:row>
      <xdr:rowOff>1647825</xdr:rowOff>
    </xdr:to>
    <xdr:pic>
      <xdr:nvPicPr>
        <xdr:cNvPr id="413" name="Picture 412"/>
        <xdr:cNvPicPr>
          <a:picLocks noChangeAspect="1" noChangeArrowheads="1"/>
        </xdr:cNvPicPr>
      </xdr:nvPicPr>
      <xdr:blipFill>
        <a:blip xmlns:r="http://schemas.openxmlformats.org/officeDocument/2006/relationships" r:embed="rId412">
          <a:extLst>
            <a:ext uri="{28A0092B-C50C-407E-A947-70E740481C1C}">
              <a14:useLocalDpi xmlns:a14="http://schemas.microsoft.com/office/drawing/2010/main" val="0"/>
            </a:ext>
          </a:extLst>
        </a:blip>
        <a:srcRect/>
        <a:stretch>
          <a:fillRect/>
        </a:stretch>
      </xdr:blipFill>
      <xdr:spPr bwMode="auto">
        <a:xfrm>
          <a:off x="1228725" y="7741539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414</xdr:row>
      <xdr:rowOff>19050</xdr:rowOff>
    </xdr:from>
    <xdr:to>
      <xdr:col>2</xdr:col>
      <xdr:colOff>1733550</xdr:colOff>
      <xdr:row>414</xdr:row>
      <xdr:rowOff>1666875</xdr:rowOff>
    </xdr:to>
    <xdr:pic>
      <xdr:nvPicPr>
        <xdr:cNvPr id="414" name="Picture 413"/>
        <xdr:cNvPicPr>
          <a:picLocks noChangeAspect="1" noChangeArrowheads="1"/>
        </xdr:cNvPicPr>
      </xdr:nvPicPr>
      <xdr:blipFill>
        <a:blip xmlns:r="http://schemas.openxmlformats.org/officeDocument/2006/relationships" r:embed="rId413">
          <a:extLst>
            <a:ext uri="{28A0092B-C50C-407E-A947-70E740481C1C}">
              <a14:useLocalDpi xmlns:a14="http://schemas.microsoft.com/office/drawing/2010/main" val="0"/>
            </a:ext>
          </a:extLst>
        </a:blip>
        <a:srcRect/>
        <a:stretch>
          <a:fillRect/>
        </a:stretch>
      </xdr:blipFill>
      <xdr:spPr bwMode="auto">
        <a:xfrm>
          <a:off x="1228725" y="77604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415</xdr:row>
      <xdr:rowOff>19050</xdr:rowOff>
    </xdr:from>
    <xdr:to>
      <xdr:col>2</xdr:col>
      <xdr:colOff>1733550</xdr:colOff>
      <xdr:row>415</xdr:row>
      <xdr:rowOff>1666875</xdr:rowOff>
    </xdr:to>
    <xdr:pic>
      <xdr:nvPicPr>
        <xdr:cNvPr id="415" name="Picture 414"/>
        <xdr:cNvPicPr>
          <a:picLocks noChangeAspect="1" noChangeArrowheads="1"/>
        </xdr:cNvPicPr>
      </xdr:nvPicPr>
      <xdr:blipFill>
        <a:blip xmlns:r="http://schemas.openxmlformats.org/officeDocument/2006/relationships" r:embed="rId414">
          <a:extLst>
            <a:ext uri="{28A0092B-C50C-407E-A947-70E740481C1C}">
              <a14:useLocalDpi xmlns:a14="http://schemas.microsoft.com/office/drawing/2010/main" val="0"/>
            </a:ext>
          </a:extLst>
        </a:blip>
        <a:srcRect/>
        <a:stretch>
          <a:fillRect/>
        </a:stretch>
      </xdr:blipFill>
      <xdr:spPr bwMode="auto">
        <a:xfrm>
          <a:off x="1228725" y="77796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416</xdr:row>
      <xdr:rowOff>19050</xdr:rowOff>
    </xdr:from>
    <xdr:to>
      <xdr:col>2</xdr:col>
      <xdr:colOff>1733550</xdr:colOff>
      <xdr:row>416</xdr:row>
      <xdr:rowOff>1666875</xdr:rowOff>
    </xdr:to>
    <xdr:pic>
      <xdr:nvPicPr>
        <xdr:cNvPr id="416" name="Picture 415"/>
        <xdr:cNvPicPr>
          <a:picLocks noChangeAspect="1" noChangeArrowheads="1"/>
        </xdr:cNvPicPr>
      </xdr:nvPicPr>
      <xdr:blipFill>
        <a:blip xmlns:r="http://schemas.openxmlformats.org/officeDocument/2006/relationships" r:embed="rId415">
          <a:extLst>
            <a:ext uri="{28A0092B-C50C-407E-A947-70E740481C1C}">
              <a14:useLocalDpi xmlns:a14="http://schemas.microsoft.com/office/drawing/2010/main" val="0"/>
            </a:ext>
          </a:extLst>
        </a:blip>
        <a:srcRect/>
        <a:stretch>
          <a:fillRect/>
        </a:stretch>
      </xdr:blipFill>
      <xdr:spPr bwMode="auto">
        <a:xfrm>
          <a:off x="1228725" y="77987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417</xdr:row>
      <xdr:rowOff>19050</xdr:rowOff>
    </xdr:from>
    <xdr:to>
      <xdr:col>2</xdr:col>
      <xdr:colOff>1733550</xdr:colOff>
      <xdr:row>417</xdr:row>
      <xdr:rowOff>1666875</xdr:rowOff>
    </xdr:to>
    <xdr:pic>
      <xdr:nvPicPr>
        <xdr:cNvPr id="417" name="Picture 416"/>
        <xdr:cNvPicPr>
          <a:picLocks noChangeAspect="1" noChangeArrowheads="1"/>
        </xdr:cNvPicPr>
      </xdr:nvPicPr>
      <xdr:blipFill>
        <a:blip xmlns:r="http://schemas.openxmlformats.org/officeDocument/2006/relationships" r:embed="rId416">
          <a:extLst>
            <a:ext uri="{28A0092B-C50C-407E-A947-70E740481C1C}">
              <a14:useLocalDpi xmlns:a14="http://schemas.microsoft.com/office/drawing/2010/main" val="0"/>
            </a:ext>
          </a:extLst>
        </a:blip>
        <a:srcRect/>
        <a:stretch>
          <a:fillRect/>
        </a:stretch>
      </xdr:blipFill>
      <xdr:spPr bwMode="auto">
        <a:xfrm>
          <a:off x="1228725" y="78179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418</xdr:row>
      <xdr:rowOff>19050</xdr:rowOff>
    </xdr:from>
    <xdr:to>
      <xdr:col>2</xdr:col>
      <xdr:colOff>1733550</xdr:colOff>
      <xdr:row>418</xdr:row>
      <xdr:rowOff>1666875</xdr:rowOff>
    </xdr:to>
    <xdr:pic>
      <xdr:nvPicPr>
        <xdr:cNvPr id="418" name="Picture 417"/>
        <xdr:cNvPicPr>
          <a:picLocks noChangeAspect="1" noChangeArrowheads="1"/>
        </xdr:cNvPicPr>
      </xdr:nvPicPr>
      <xdr:blipFill>
        <a:blip xmlns:r="http://schemas.openxmlformats.org/officeDocument/2006/relationships" r:embed="rId417">
          <a:extLst>
            <a:ext uri="{28A0092B-C50C-407E-A947-70E740481C1C}">
              <a14:useLocalDpi xmlns:a14="http://schemas.microsoft.com/office/drawing/2010/main" val="0"/>
            </a:ext>
          </a:extLst>
        </a:blip>
        <a:srcRect/>
        <a:stretch>
          <a:fillRect/>
        </a:stretch>
      </xdr:blipFill>
      <xdr:spPr bwMode="auto">
        <a:xfrm>
          <a:off x="1228725" y="78370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419</xdr:row>
      <xdr:rowOff>19050</xdr:rowOff>
    </xdr:from>
    <xdr:to>
      <xdr:col>2</xdr:col>
      <xdr:colOff>1733550</xdr:colOff>
      <xdr:row>419</xdr:row>
      <xdr:rowOff>1666875</xdr:rowOff>
    </xdr:to>
    <xdr:pic>
      <xdr:nvPicPr>
        <xdr:cNvPr id="419" name="Picture 418"/>
        <xdr:cNvPicPr>
          <a:picLocks noChangeAspect="1" noChangeArrowheads="1"/>
        </xdr:cNvPicPr>
      </xdr:nvPicPr>
      <xdr:blipFill>
        <a:blip xmlns:r="http://schemas.openxmlformats.org/officeDocument/2006/relationships" r:embed="rId418">
          <a:extLst>
            <a:ext uri="{28A0092B-C50C-407E-A947-70E740481C1C}">
              <a14:useLocalDpi xmlns:a14="http://schemas.microsoft.com/office/drawing/2010/main" val="0"/>
            </a:ext>
          </a:extLst>
        </a:blip>
        <a:srcRect/>
        <a:stretch>
          <a:fillRect/>
        </a:stretch>
      </xdr:blipFill>
      <xdr:spPr bwMode="auto">
        <a:xfrm>
          <a:off x="1228725" y="78562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420</xdr:row>
      <xdr:rowOff>19050</xdr:rowOff>
    </xdr:from>
    <xdr:to>
      <xdr:col>2</xdr:col>
      <xdr:colOff>1733550</xdr:colOff>
      <xdr:row>420</xdr:row>
      <xdr:rowOff>1666875</xdr:rowOff>
    </xdr:to>
    <xdr:pic>
      <xdr:nvPicPr>
        <xdr:cNvPr id="420" name="Picture 419"/>
        <xdr:cNvPicPr>
          <a:picLocks noChangeAspect="1" noChangeArrowheads="1"/>
        </xdr:cNvPicPr>
      </xdr:nvPicPr>
      <xdr:blipFill>
        <a:blip xmlns:r="http://schemas.openxmlformats.org/officeDocument/2006/relationships" r:embed="rId419">
          <a:extLst>
            <a:ext uri="{28A0092B-C50C-407E-A947-70E740481C1C}">
              <a14:useLocalDpi xmlns:a14="http://schemas.microsoft.com/office/drawing/2010/main" val="0"/>
            </a:ext>
          </a:extLst>
        </a:blip>
        <a:srcRect/>
        <a:stretch>
          <a:fillRect/>
        </a:stretch>
      </xdr:blipFill>
      <xdr:spPr bwMode="auto">
        <a:xfrm>
          <a:off x="1228725" y="78753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421</xdr:row>
      <xdr:rowOff>19050</xdr:rowOff>
    </xdr:from>
    <xdr:to>
      <xdr:col>2</xdr:col>
      <xdr:colOff>1733550</xdr:colOff>
      <xdr:row>421</xdr:row>
      <xdr:rowOff>1666875</xdr:rowOff>
    </xdr:to>
    <xdr:pic>
      <xdr:nvPicPr>
        <xdr:cNvPr id="421" name="Picture 420"/>
        <xdr:cNvPicPr>
          <a:picLocks noChangeAspect="1" noChangeArrowheads="1"/>
        </xdr:cNvPicPr>
      </xdr:nvPicPr>
      <xdr:blipFill>
        <a:blip xmlns:r="http://schemas.openxmlformats.org/officeDocument/2006/relationships" r:embed="rId420">
          <a:extLst>
            <a:ext uri="{28A0092B-C50C-407E-A947-70E740481C1C}">
              <a14:useLocalDpi xmlns:a14="http://schemas.microsoft.com/office/drawing/2010/main" val="0"/>
            </a:ext>
          </a:extLst>
        </a:blip>
        <a:srcRect/>
        <a:stretch>
          <a:fillRect/>
        </a:stretch>
      </xdr:blipFill>
      <xdr:spPr bwMode="auto">
        <a:xfrm>
          <a:off x="1228725" y="78945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422</xdr:row>
      <xdr:rowOff>19050</xdr:rowOff>
    </xdr:from>
    <xdr:to>
      <xdr:col>2</xdr:col>
      <xdr:colOff>1733550</xdr:colOff>
      <xdr:row>422</xdr:row>
      <xdr:rowOff>1666875</xdr:rowOff>
    </xdr:to>
    <xdr:pic>
      <xdr:nvPicPr>
        <xdr:cNvPr id="422" name="Picture 421"/>
        <xdr:cNvPicPr>
          <a:picLocks noChangeAspect="1" noChangeArrowheads="1"/>
        </xdr:cNvPicPr>
      </xdr:nvPicPr>
      <xdr:blipFill>
        <a:blip xmlns:r="http://schemas.openxmlformats.org/officeDocument/2006/relationships" r:embed="rId421">
          <a:extLst>
            <a:ext uri="{28A0092B-C50C-407E-A947-70E740481C1C}">
              <a14:useLocalDpi xmlns:a14="http://schemas.microsoft.com/office/drawing/2010/main" val="0"/>
            </a:ext>
          </a:extLst>
        </a:blip>
        <a:srcRect/>
        <a:stretch>
          <a:fillRect/>
        </a:stretch>
      </xdr:blipFill>
      <xdr:spPr bwMode="auto">
        <a:xfrm>
          <a:off x="1228725" y="79136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423</xdr:row>
      <xdr:rowOff>19050</xdr:rowOff>
    </xdr:from>
    <xdr:to>
      <xdr:col>2</xdr:col>
      <xdr:colOff>1733550</xdr:colOff>
      <xdr:row>423</xdr:row>
      <xdr:rowOff>1647825</xdr:rowOff>
    </xdr:to>
    <xdr:pic>
      <xdr:nvPicPr>
        <xdr:cNvPr id="423" name="Picture 422"/>
        <xdr:cNvPicPr>
          <a:picLocks noChangeAspect="1" noChangeArrowheads="1"/>
        </xdr:cNvPicPr>
      </xdr:nvPicPr>
      <xdr:blipFill>
        <a:blip xmlns:r="http://schemas.openxmlformats.org/officeDocument/2006/relationships" r:embed="rId422">
          <a:extLst>
            <a:ext uri="{28A0092B-C50C-407E-A947-70E740481C1C}">
              <a14:useLocalDpi xmlns:a14="http://schemas.microsoft.com/office/drawing/2010/main" val="0"/>
            </a:ext>
          </a:extLst>
        </a:blip>
        <a:srcRect/>
        <a:stretch>
          <a:fillRect/>
        </a:stretch>
      </xdr:blipFill>
      <xdr:spPr bwMode="auto">
        <a:xfrm>
          <a:off x="1228725" y="7932801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424</xdr:row>
      <xdr:rowOff>19050</xdr:rowOff>
    </xdr:from>
    <xdr:to>
      <xdr:col>2</xdr:col>
      <xdr:colOff>1733550</xdr:colOff>
      <xdr:row>424</xdr:row>
      <xdr:rowOff>1666875</xdr:rowOff>
    </xdr:to>
    <xdr:pic>
      <xdr:nvPicPr>
        <xdr:cNvPr id="424" name="Picture 423"/>
        <xdr:cNvPicPr>
          <a:picLocks noChangeAspect="1" noChangeArrowheads="1"/>
        </xdr:cNvPicPr>
      </xdr:nvPicPr>
      <xdr:blipFill>
        <a:blip xmlns:r="http://schemas.openxmlformats.org/officeDocument/2006/relationships" r:embed="rId423">
          <a:extLst>
            <a:ext uri="{28A0092B-C50C-407E-A947-70E740481C1C}">
              <a14:useLocalDpi xmlns:a14="http://schemas.microsoft.com/office/drawing/2010/main" val="0"/>
            </a:ext>
          </a:extLst>
        </a:blip>
        <a:srcRect/>
        <a:stretch>
          <a:fillRect/>
        </a:stretch>
      </xdr:blipFill>
      <xdr:spPr bwMode="auto">
        <a:xfrm>
          <a:off x="1228725" y="79517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425</xdr:row>
      <xdr:rowOff>19050</xdr:rowOff>
    </xdr:from>
    <xdr:to>
      <xdr:col>2</xdr:col>
      <xdr:colOff>1733550</xdr:colOff>
      <xdr:row>425</xdr:row>
      <xdr:rowOff>1666875</xdr:rowOff>
    </xdr:to>
    <xdr:pic>
      <xdr:nvPicPr>
        <xdr:cNvPr id="425" name="Picture 424"/>
        <xdr:cNvPicPr>
          <a:picLocks noChangeAspect="1" noChangeArrowheads="1"/>
        </xdr:cNvPicPr>
      </xdr:nvPicPr>
      <xdr:blipFill>
        <a:blip xmlns:r="http://schemas.openxmlformats.org/officeDocument/2006/relationships" r:embed="rId424">
          <a:extLst>
            <a:ext uri="{28A0092B-C50C-407E-A947-70E740481C1C}">
              <a14:useLocalDpi xmlns:a14="http://schemas.microsoft.com/office/drawing/2010/main" val="0"/>
            </a:ext>
          </a:extLst>
        </a:blip>
        <a:srcRect/>
        <a:stretch>
          <a:fillRect/>
        </a:stretch>
      </xdr:blipFill>
      <xdr:spPr bwMode="auto">
        <a:xfrm>
          <a:off x="1228725" y="79709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426</xdr:row>
      <xdr:rowOff>19050</xdr:rowOff>
    </xdr:from>
    <xdr:to>
      <xdr:col>2</xdr:col>
      <xdr:colOff>1733550</xdr:colOff>
      <xdr:row>426</xdr:row>
      <xdr:rowOff>1647825</xdr:rowOff>
    </xdr:to>
    <xdr:pic>
      <xdr:nvPicPr>
        <xdr:cNvPr id="426" name="Picture 425"/>
        <xdr:cNvPicPr>
          <a:picLocks noChangeAspect="1" noChangeArrowheads="1"/>
        </xdr:cNvPicPr>
      </xdr:nvPicPr>
      <xdr:blipFill>
        <a:blip xmlns:r="http://schemas.openxmlformats.org/officeDocument/2006/relationships" r:embed="rId425">
          <a:extLst>
            <a:ext uri="{28A0092B-C50C-407E-A947-70E740481C1C}">
              <a14:useLocalDpi xmlns:a14="http://schemas.microsoft.com/office/drawing/2010/main" val="0"/>
            </a:ext>
          </a:extLst>
        </a:blip>
        <a:srcRect/>
        <a:stretch>
          <a:fillRect/>
        </a:stretch>
      </xdr:blipFill>
      <xdr:spPr bwMode="auto">
        <a:xfrm>
          <a:off x="1228725" y="799004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427</xdr:row>
      <xdr:rowOff>19050</xdr:rowOff>
    </xdr:from>
    <xdr:to>
      <xdr:col>2</xdr:col>
      <xdr:colOff>1733550</xdr:colOff>
      <xdr:row>427</xdr:row>
      <xdr:rowOff>1666875</xdr:rowOff>
    </xdr:to>
    <xdr:pic>
      <xdr:nvPicPr>
        <xdr:cNvPr id="427" name="Picture 426"/>
        <xdr:cNvPicPr>
          <a:picLocks noChangeAspect="1" noChangeArrowheads="1"/>
        </xdr:cNvPicPr>
      </xdr:nvPicPr>
      <xdr:blipFill>
        <a:blip xmlns:r="http://schemas.openxmlformats.org/officeDocument/2006/relationships" r:embed="rId426">
          <a:extLst>
            <a:ext uri="{28A0092B-C50C-407E-A947-70E740481C1C}">
              <a14:useLocalDpi xmlns:a14="http://schemas.microsoft.com/office/drawing/2010/main" val="0"/>
            </a:ext>
          </a:extLst>
        </a:blip>
        <a:srcRect/>
        <a:stretch>
          <a:fillRect/>
        </a:stretch>
      </xdr:blipFill>
      <xdr:spPr bwMode="auto">
        <a:xfrm>
          <a:off x="1228725" y="80090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428</xdr:row>
      <xdr:rowOff>19050</xdr:rowOff>
    </xdr:from>
    <xdr:to>
      <xdr:col>2</xdr:col>
      <xdr:colOff>1733550</xdr:colOff>
      <xdr:row>428</xdr:row>
      <xdr:rowOff>1666875</xdr:rowOff>
    </xdr:to>
    <xdr:pic>
      <xdr:nvPicPr>
        <xdr:cNvPr id="428" name="Picture 427"/>
        <xdr:cNvPicPr>
          <a:picLocks noChangeAspect="1" noChangeArrowheads="1"/>
        </xdr:cNvPicPr>
      </xdr:nvPicPr>
      <xdr:blipFill>
        <a:blip xmlns:r="http://schemas.openxmlformats.org/officeDocument/2006/relationships" r:embed="rId427">
          <a:extLst>
            <a:ext uri="{28A0092B-C50C-407E-A947-70E740481C1C}">
              <a14:useLocalDpi xmlns:a14="http://schemas.microsoft.com/office/drawing/2010/main" val="0"/>
            </a:ext>
          </a:extLst>
        </a:blip>
        <a:srcRect/>
        <a:stretch>
          <a:fillRect/>
        </a:stretch>
      </xdr:blipFill>
      <xdr:spPr bwMode="auto">
        <a:xfrm>
          <a:off x="1228725" y="80281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429</xdr:row>
      <xdr:rowOff>19050</xdr:rowOff>
    </xdr:from>
    <xdr:to>
      <xdr:col>2</xdr:col>
      <xdr:colOff>1733550</xdr:colOff>
      <xdr:row>429</xdr:row>
      <xdr:rowOff>1666875</xdr:rowOff>
    </xdr:to>
    <xdr:pic>
      <xdr:nvPicPr>
        <xdr:cNvPr id="429" name="Picture 428"/>
        <xdr:cNvPicPr>
          <a:picLocks noChangeAspect="1" noChangeArrowheads="1"/>
        </xdr:cNvPicPr>
      </xdr:nvPicPr>
      <xdr:blipFill>
        <a:blip xmlns:r="http://schemas.openxmlformats.org/officeDocument/2006/relationships" r:embed="rId428">
          <a:extLst>
            <a:ext uri="{28A0092B-C50C-407E-A947-70E740481C1C}">
              <a14:useLocalDpi xmlns:a14="http://schemas.microsoft.com/office/drawing/2010/main" val="0"/>
            </a:ext>
          </a:extLst>
        </a:blip>
        <a:srcRect/>
        <a:stretch>
          <a:fillRect/>
        </a:stretch>
      </xdr:blipFill>
      <xdr:spPr bwMode="auto">
        <a:xfrm>
          <a:off x="1228725" y="80472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430</xdr:row>
      <xdr:rowOff>19050</xdr:rowOff>
    </xdr:from>
    <xdr:to>
      <xdr:col>2</xdr:col>
      <xdr:colOff>1733550</xdr:colOff>
      <xdr:row>430</xdr:row>
      <xdr:rowOff>1666875</xdr:rowOff>
    </xdr:to>
    <xdr:pic>
      <xdr:nvPicPr>
        <xdr:cNvPr id="430" name="Picture 429"/>
        <xdr:cNvPicPr>
          <a:picLocks noChangeAspect="1" noChangeArrowheads="1"/>
        </xdr:cNvPicPr>
      </xdr:nvPicPr>
      <xdr:blipFill>
        <a:blip xmlns:r="http://schemas.openxmlformats.org/officeDocument/2006/relationships" r:embed="rId429">
          <a:extLst>
            <a:ext uri="{28A0092B-C50C-407E-A947-70E740481C1C}">
              <a14:useLocalDpi xmlns:a14="http://schemas.microsoft.com/office/drawing/2010/main" val="0"/>
            </a:ext>
          </a:extLst>
        </a:blip>
        <a:srcRect/>
        <a:stretch>
          <a:fillRect/>
        </a:stretch>
      </xdr:blipFill>
      <xdr:spPr bwMode="auto">
        <a:xfrm>
          <a:off x="1228725" y="80664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431</xdr:row>
      <xdr:rowOff>19050</xdr:rowOff>
    </xdr:from>
    <xdr:to>
      <xdr:col>2</xdr:col>
      <xdr:colOff>1733550</xdr:colOff>
      <xdr:row>431</xdr:row>
      <xdr:rowOff>1647825</xdr:rowOff>
    </xdr:to>
    <xdr:pic>
      <xdr:nvPicPr>
        <xdr:cNvPr id="431" name="Picture 430"/>
        <xdr:cNvPicPr>
          <a:picLocks noChangeAspect="1" noChangeArrowheads="1"/>
        </xdr:cNvPicPr>
      </xdr:nvPicPr>
      <xdr:blipFill>
        <a:blip xmlns:r="http://schemas.openxmlformats.org/officeDocument/2006/relationships" r:embed="rId430">
          <a:extLst>
            <a:ext uri="{28A0092B-C50C-407E-A947-70E740481C1C}">
              <a14:useLocalDpi xmlns:a14="http://schemas.microsoft.com/office/drawing/2010/main" val="0"/>
            </a:ext>
          </a:extLst>
        </a:blip>
        <a:srcRect/>
        <a:stretch>
          <a:fillRect/>
        </a:stretch>
      </xdr:blipFill>
      <xdr:spPr bwMode="auto">
        <a:xfrm>
          <a:off x="1228725" y="8085582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432</xdr:row>
      <xdr:rowOff>19050</xdr:rowOff>
    </xdr:from>
    <xdr:to>
      <xdr:col>2</xdr:col>
      <xdr:colOff>1733550</xdr:colOff>
      <xdr:row>432</xdr:row>
      <xdr:rowOff>1647825</xdr:rowOff>
    </xdr:to>
    <xdr:pic>
      <xdr:nvPicPr>
        <xdr:cNvPr id="432" name="Picture 431"/>
        <xdr:cNvPicPr>
          <a:picLocks noChangeAspect="1" noChangeArrowheads="1"/>
        </xdr:cNvPicPr>
      </xdr:nvPicPr>
      <xdr:blipFill>
        <a:blip xmlns:r="http://schemas.openxmlformats.org/officeDocument/2006/relationships" r:embed="rId431">
          <a:extLst>
            <a:ext uri="{28A0092B-C50C-407E-A947-70E740481C1C}">
              <a14:useLocalDpi xmlns:a14="http://schemas.microsoft.com/office/drawing/2010/main" val="0"/>
            </a:ext>
          </a:extLst>
        </a:blip>
        <a:srcRect/>
        <a:stretch>
          <a:fillRect/>
        </a:stretch>
      </xdr:blipFill>
      <xdr:spPr bwMode="auto">
        <a:xfrm>
          <a:off x="1228725" y="8104536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433</xdr:row>
      <xdr:rowOff>19050</xdr:rowOff>
    </xdr:from>
    <xdr:to>
      <xdr:col>2</xdr:col>
      <xdr:colOff>1733550</xdr:colOff>
      <xdr:row>433</xdr:row>
      <xdr:rowOff>1666875</xdr:rowOff>
    </xdr:to>
    <xdr:pic>
      <xdr:nvPicPr>
        <xdr:cNvPr id="433" name="Picture 432"/>
        <xdr:cNvPicPr>
          <a:picLocks noChangeAspect="1" noChangeArrowheads="1"/>
        </xdr:cNvPicPr>
      </xdr:nvPicPr>
      <xdr:blipFill>
        <a:blip xmlns:r="http://schemas.openxmlformats.org/officeDocument/2006/relationships" r:embed="rId432">
          <a:extLst>
            <a:ext uri="{28A0092B-C50C-407E-A947-70E740481C1C}">
              <a14:useLocalDpi xmlns:a14="http://schemas.microsoft.com/office/drawing/2010/main" val="0"/>
            </a:ext>
          </a:extLst>
        </a:blip>
        <a:srcRect/>
        <a:stretch>
          <a:fillRect/>
        </a:stretch>
      </xdr:blipFill>
      <xdr:spPr bwMode="auto">
        <a:xfrm>
          <a:off x="1228725" y="81234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434</xdr:row>
      <xdr:rowOff>19050</xdr:rowOff>
    </xdr:from>
    <xdr:to>
      <xdr:col>2</xdr:col>
      <xdr:colOff>1733550</xdr:colOff>
      <xdr:row>434</xdr:row>
      <xdr:rowOff>1666875</xdr:rowOff>
    </xdr:to>
    <xdr:pic>
      <xdr:nvPicPr>
        <xdr:cNvPr id="434" name="Picture 433"/>
        <xdr:cNvPicPr>
          <a:picLocks noChangeAspect="1" noChangeArrowheads="1"/>
        </xdr:cNvPicPr>
      </xdr:nvPicPr>
      <xdr:blipFill>
        <a:blip xmlns:r="http://schemas.openxmlformats.org/officeDocument/2006/relationships" r:embed="rId433">
          <a:extLst>
            <a:ext uri="{28A0092B-C50C-407E-A947-70E740481C1C}">
              <a14:useLocalDpi xmlns:a14="http://schemas.microsoft.com/office/drawing/2010/main" val="0"/>
            </a:ext>
          </a:extLst>
        </a:blip>
        <a:srcRect/>
        <a:stretch>
          <a:fillRect/>
        </a:stretch>
      </xdr:blipFill>
      <xdr:spPr bwMode="auto">
        <a:xfrm>
          <a:off x="1228725" y="81426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435</xdr:row>
      <xdr:rowOff>19050</xdr:rowOff>
    </xdr:from>
    <xdr:to>
      <xdr:col>2</xdr:col>
      <xdr:colOff>1733550</xdr:colOff>
      <xdr:row>435</xdr:row>
      <xdr:rowOff>1666875</xdr:rowOff>
    </xdr:to>
    <xdr:pic>
      <xdr:nvPicPr>
        <xdr:cNvPr id="435" name="Picture 434"/>
        <xdr:cNvPicPr>
          <a:picLocks noChangeAspect="1" noChangeArrowheads="1"/>
        </xdr:cNvPicPr>
      </xdr:nvPicPr>
      <xdr:blipFill>
        <a:blip xmlns:r="http://schemas.openxmlformats.org/officeDocument/2006/relationships" r:embed="rId434">
          <a:extLst>
            <a:ext uri="{28A0092B-C50C-407E-A947-70E740481C1C}">
              <a14:useLocalDpi xmlns:a14="http://schemas.microsoft.com/office/drawing/2010/main" val="0"/>
            </a:ext>
          </a:extLst>
        </a:blip>
        <a:srcRect/>
        <a:stretch>
          <a:fillRect/>
        </a:stretch>
      </xdr:blipFill>
      <xdr:spPr bwMode="auto">
        <a:xfrm>
          <a:off x="1228725" y="816178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436</xdr:row>
      <xdr:rowOff>19050</xdr:rowOff>
    </xdr:from>
    <xdr:to>
      <xdr:col>2</xdr:col>
      <xdr:colOff>1733550</xdr:colOff>
      <xdr:row>436</xdr:row>
      <xdr:rowOff>1666875</xdr:rowOff>
    </xdr:to>
    <xdr:pic>
      <xdr:nvPicPr>
        <xdr:cNvPr id="436" name="Picture 435"/>
        <xdr:cNvPicPr>
          <a:picLocks noChangeAspect="1" noChangeArrowheads="1"/>
        </xdr:cNvPicPr>
      </xdr:nvPicPr>
      <xdr:blipFill>
        <a:blip xmlns:r="http://schemas.openxmlformats.org/officeDocument/2006/relationships" r:embed="rId435">
          <a:extLst>
            <a:ext uri="{28A0092B-C50C-407E-A947-70E740481C1C}">
              <a14:useLocalDpi xmlns:a14="http://schemas.microsoft.com/office/drawing/2010/main" val="0"/>
            </a:ext>
          </a:extLst>
        </a:blip>
        <a:srcRect/>
        <a:stretch>
          <a:fillRect/>
        </a:stretch>
      </xdr:blipFill>
      <xdr:spPr bwMode="auto">
        <a:xfrm>
          <a:off x="1228725" y="81809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437</xdr:row>
      <xdr:rowOff>19050</xdr:rowOff>
    </xdr:from>
    <xdr:to>
      <xdr:col>2</xdr:col>
      <xdr:colOff>1733550</xdr:colOff>
      <xdr:row>437</xdr:row>
      <xdr:rowOff>1666875</xdr:rowOff>
    </xdr:to>
    <xdr:pic>
      <xdr:nvPicPr>
        <xdr:cNvPr id="437" name="Picture 436"/>
        <xdr:cNvPicPr>
          <a:picLocks noChangeAspect="1" noChangeArrowheads="1"/>
        </xdr:cNvPicPr>
      </xdr:nvPicPr>
      <xdr:blipFill>
        <a:blip xmlns:r="http://schemas.openxmlformats.org/officeDocument/2006/relationships" r:embed="rId436">
          <a:extLst>
            <a:ext uri="{28A0092B-C50C-407E-A947-70E740481C1C}">
              <a14:useLocalDpi xmlns:a14="http://schemas.microsoft.com/office/drawing/2010/main" val="0"/>
            </a:ext>
          </a:extLst>
        </a:blip>
        <a:srcRect/>
        <a:stretch>
          <a:fillRect/>
        </a:stretch>
      </xdr:blipFill>
      <xdr:spPr bwMode="auto">
        <a:xfrm>
          <a:off x="1228725" y="820007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438</xdr:row>
      <xdr:rowOff>19050</xdr:rowOff>
    </xdr:from>
    <xdr:to>
      <xdr:col>2</xdr:col>
      <xdr:colOff>1733550</xdr:colOff>
      <xdr:row>438</xdr:row>
      <xdr:rowOff>1666875</xdr:rowOff>
    </xdr:to>
    <xdr:pic>
      <xdr:nvPicPr>
        <xdr:cNvPr id="438" name="Picture 437"/>
        <xdr:cNvPicPr>
          <a:picLocks noChangeAspect="1" noChangeArrowheads="1"/>
        </xdr:cNvPicPr>
      </xdr:nvPicPr>
      <xdr:blipFill>
        <a:blip xmlns:r="http://schemas.openxmlformats.org/officeDocument/2006/relationships" r:embed="rId437">
          <a:extLst>
            <a:ext uri="{28A0092B-C50C-407E-A947-70E740481C1C}">
              <a14:useLocalDpi xmlns:a14="http://schemas.microsoft.com/office/drawing/2010/main" val="0"/>
            </a:ext>
          </a:extLst>
        </a:blip>
        <a:srcRect/>
        <a:stretch>
          <a:fillRect/>
        </a:stretch>
      </xdr:blipFill>
      <xdr:spPr bwMode="auto">
        <a:xfrm>
          <a:off x="1228725" y="821921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439</xdr:row>
      <xdr:rowOff>19050</xdr:rowOff>
    </xdr:from>
    <xdr:to>
      <xdr:col>2</xdr:col>
      <xdr:colOff>1733550</xdr:colOff>
      <xdr:row>439</xdr:row>
      <xdr:rowOff>1666875</xdr:rowOff>
    </xdr:to>
    <xdr:pic>
      <xdr:nvPicPr>
        <xdr:cNvPr id="439" name="Picture 438"/>
        <xdr:cNvPicPr>
          <a:picLocks noChangeAspect="1" noChangeArrowheads="1"/>
        </xdr:cNvPicPr>
      </xdr:nvPicPr>
      <xdr:blipFill>
        <a:blip xmlns:r="http://schemas.openxmlformats.org/officeDocument/2006/relationships" r:embed="rId438">
          <a:extLst>
            <a:ext uri="{28A0092B-C50C-407E-A947-70E740481C1C}">
              <a14:useLocalDpi xmlns:a14="http://schemas.microsoft.com/office/drawing/2010/main" val="0"/>
            </a:ext>
          </a:extLst>
        </a:blip>
        <a:srcRect/>
        <a:stretch>
          <a:fillRect/>
        </a:stretch>
      </xdr:blipFill>
      <xdr:spPr bwMode="auto">
        <a:xfrm>
          <a:off x="1228725" y="823836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440</xdr:row>
      <xdr:rowOff>9525</xdr:rowOff>
    </xdr:from>
    <xdr:to>
      <xdr:col>2</xdr:col>
      <xdr:colOff>1733550</xdr:colOff>
      <xdr:row>440</xdr:row>
      <xdr:rowOff>1524000</xdr:rowOff>
    </xdr:to>
    <xdr:pic>
      <xdr:nvPicPr>
        <xdr:cNvPr id="440" name="Picture 439"/>
        <xdr:cNvPicPr>
          <a:picLocks noChangeAspect="1" noChangeArrowheads="1"/>
        </xdr:cNvPicPr>
      </xdr:nvPicPr>
      <xdr:blipFill>
        <a:blip xmlns:r="http://schemas.openxmlformats.org/officeDocument/2006/relationships" r:embed="rId439">
          <a:extLst>
            <a:ext uri="{28A0092B-C50C-407E-A947-70E740481C1C}">
              <a14:useLocalDpi xmlns:a14="http://schemas.microsoft.com/office/drawing/2010/main" val="0"/>
            </a:ext>
          </a:extLst>
        </a:blip>
        <a:srcRect/>
        <a:stretch>
          <a:fillRect/>
        </a:stretch>
      </xdr:blipFill>
      <xdr:spPr bwMode="auto">
        <a:xfrm>
          <a:off x="1228725" y="825741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441</xdr:row>
      <xdr:rowOff>9525</xdr:rowOff>
    </xdr:from>
    <xdr:to>
      <xdr:col>2</xdr:col>
      <xdr:colOff>1733550</xdr:colOff>
      <xdr:row>441</xdr:row>
      <xdr:rowOff>1524000</xdr:rowOff>
    </xdr:to>
    <xdr:pic>
      <xdr:nvPicPr>
        <xdr:cNvPr id="441" name="Picture 440"/>
        <xdr:cNvPicPr>
          <a:picLocks noChangeAspect="1" noChangeArrowheads="1"/>
        </xdr:cNvPicPr>
      </xdr:nvPicPr>
      <xdr:blipFill>
        <a:blip xmlns:r="http://schemas.openxmlformats.org/officeDocument/2006/relationships" r:embed="rId440">
          <a:extLst>
            <a:ext uri="{28A0092B-C50C-407E-A947-70E740481C1C}">
              <a14:useLocalDpi xmlns:a14="http://schemas.microsoft.com/office/drawing/2010/main" val="0"/>
            </a:ext>
          </a:extLst>
        </a:blip>
        <a:srcRect/>
        <a:stretch>
          <a:fillRect/>
        </a:stretch>
      </xdr:blipFill>
      <xdr:spPr bwMode="auto">
        <a:xfrm>
          <a:off x="1228725" y="827493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442</xdr:row>
      <xdr:rowOff>9525</xdr:rowOff>
    </xdr:from>
    <xdr:to>
      <xdr:col>2</xdr:col>
      <xdr:colOff>1733550</xdr:colOff>
      <xdr:row>442</xdr:row>
      <xdr:rowOff>1524000</xdr:rowOff>
    </xdr:to>
    <xdr:pic>
      <xdr:nvPicPr>
        <xdr:cNvPr id="442" name="Picture 441"/>
        <xdr:cNvPicPr>
          <a:picLocks noChangeAspect="1" noChangeArrowheads="1"/>
        </xdr:cNvPicPr>
      </xdr:nvPicPr>
      <xdr:blipFill>
        <a:blip xmlns:r="http://schemas.openxmlformats.org/officeDocument/2006/relationships" r:embed="rId441">
          <a:extLst>
            <a:ext uri="{28A0092B-C50C-407E-A947-70E740481C1C}">
              <a14:useLocalDpi xmlns:a14="http://schemas.microsoft.com/office/drawing/2010/main" val="0"/>
            </a:ext>
          </a:extLst>
        </a:blip>
        <a:srcRect/>
        <a:stretch>
          <a:fillRect/>
        </a:stretch>
      </xdr:blipFill>
      <xdr:spPr bwMode="auto">
        <a:xfrm>
          <a:off x="1228725" y="829246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443</xdr:row>
      <xdr:rowOff>9525</xdr:rowOff>
    </xdr:from>
    <xdr:to>
      <xdr:col>2</xdr:col>
      <xdr:colOff>1733550</xdr:colOff>
      <xdr:row>443</xdr:row>
      <xdr:rowOff>1524000</xdr:rowOff>
    </xdr:to>
    <xdr:pic>
      <xdr:nvPicPr>
        <xdr:cNvPr id="443" name="Picture 442"/>
        <xdr:cNvPicPr>
          <a:picLocks noChangeAspect="1" noChangeArrowheads="1"/>
        </xdr:cNvPicPr>
      </xdr:nvPicPr>
      <xdr:blipFill>
        <a:blip xmlns:r="http://schemas.openxmlformats.org/officeDocument/2006/relationships" r:embed="rId442">
          <a:extLst>
            <a:ext uri="{28A0092B-C50C-407E-A947-70E740481C1C}">
              <a14:useLocalDpi xmlns:a14="http://schemas.microsoft.com/office/drawing/2010/main" val="0"/>
            </a:ext>
          </a:extLst>
        </a:blip>
        <a:srcRect/>
        <a:stretch>
          <a:fillRect/>
        </a:stretch>
      </xdr:blipFill>
      <xdr:spPr bwMode="auto">
        <a:xfrm>
          <a:off x="1228725" y="830999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444</xdr:row>
      <xdr:rowOff>9525</xdr:rowOff>
    </xdr:from>
    <xdr:to>
      <xdr:col>2</xdr:col>
      <xdr:colOff>1733550</xdr:colOff>
      <xdr:row>444</xdr:row>
      <xdr:rowOff>1524000</xdr:rowOff>
    </xdr:to>
    <xdr:pic>
      <xdr:nvPicPr>
        <xdr:cNvPr id="444" name="Picture 443"/>
        <xdr:cNvPicPr>
          <a:picLocks noChangeAspect="1" noChangeArrowheads="1"/>
        </xdr:cNvPicPr>
      </xdr:nvPicPr>
      <xdr:blipFill>
        <a:blip xmlns:r="http://schemas.openxmlformats.org/officeDocument/2006/relationships" r:embed="rId443">
          <a:extLst>
            <a:ext uri="{28A0092B-C50C-407E-A947-70E740481C1C}">
              <a14:useLocalDpi xmlns:a14="http://schemas.microsoft.com/office/drawing/2010/main" val="0"/>
            </a:ext>
          </a:extLst>
        </a:blip>
        <a:srcRect/>
        <a:stretch>
          <a:fillRect/>
        </a:stretch>
      </xdr:blipFill>
      <xdr:spPr bwMode="auto">
        <a:xfrm>
          <a:off x="1228725" y="832751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445</xdr:row>
      <xdr:rowOff>9525</xdr:rowOff>
    </xdr:from>
    <xdr:to>
      <xdr:col>2</xdr:col>
      <xdr:colOff>1733550</xdr:colOff>
      <xdr:row>445</xdr:row>
      <xdr:rowOff>1524000</xdr:rowOff>
    </xdr:to>
    <xdr:pic>
      <xdr:nvPicPr>
        <xdr:cNvPr id="445" name="Picture 444"/>
        <xdr:cNvPicPr>
          <a:picLocks noChangeAspect="1" noChangeArrowheads="1"/>
        </xdr:cNvPicPr>
      </xdr:nvPicPr>
      <xdr:blipFill>
        <a:blip xmlns:r="http://schemas.openxmlformats.org/officeDocument/2006/relationships" r:embed="rId444">
          <a:extLst>
            <a:ext uri="{28A0092B-C50C-407E-A947-70E740481C1C}">
              <a14:useLocalDpi xmlns:a14="http://schemas.microsoft.com/office/drawing/2010/main" val="0"/>
            </a:ext>
          </a:extLst>
        </a:blip>
        <a:srcRect/>
        <a:stretch>
          <a:fillRect/>
        </a:stretch>
      </xdr:blipFill>
      <xdr:spPr bwMode="auto">
        <a:xfrm>
          <a:off x="1228725" y="834504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446</xdr:row>
      <xdr:rowOff>9525</xdr:rowOff>
    </xdr:from>
    <xdr:to>
      <xdr:col>2</xdr:col>
      <xdr:colOff>1733550</xdr:colOff>
      <xdr:row>446</xdr:row>
      <xdr:rowOff>1524000</xdr:rowOff>
    </xdr:to>
    <xdr:pic>
      <xdr:nvPicPr>
        <xdr:cNvPr id="446" name="Picture 445"/>
        <xdr:cNvPicPr>
          <a:picLocks noChangeAspect="1" noChangeArrowheads="1"/>
        </xdr:cNvPicPr>
      </xdr:nvPicPr>
      <xdr:blipFill>
        <a:blip xmlns:r="http://schemas.openxmlformats.org/officeDocument/2006/relationships" r:embed="rId445">
          <a:extLst>
            <a:ext uri="{28A0092B-C50C-407E-A947-70E740481C1C}">
              <a14:useLocalDpi xmlns:a14="http://schemas.microsoft.com/office/drawing/2010/main" val="0"/>
            </a:ext>
          </a:extLst>
        </a:blip>
        <a:srcRect/>
        <a:stretch>
          <a:fillRect/>
        </a:stretch>
      </xdr:blipFill>
      <xdr:spPr bwMode="auto">
        <a:xfrm>
          <a:off x="1228725" y="836256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447</xdr:row>
      <xdr:rowOff>9525</xdr:rowOff>
    </xdr:from>
    <xdr:to>
      <xdr:col>2</xdr:col>
      <xdr:colOff>1733550</xdr:colOff>
      <xdr:row>447</xdr:row>
      <xdr:rowOff>1524000</xdr:rowOff>
    </xdr:to>
    <xdr:pic>
      <xdr:nvPicPr>
        <xdr:cNvPr id="447" name="Picture 446"/>
        <xdr:cNvPicPr>
          <a:picLocks noChangeAspect="1" noChangeArrowheads="1"/>
        </xdr:cNvPicPr>
      </xdr:nvPicPr>
      <xdr:blipFill>
        <a:blip xmlns:r="http://schemas.openxmlformats.org/officeDocument/2006/relationships" r:embed="rId446">
          <a:extLst>
            <a:ext uri="{28A0092B-C50C-407E-A947-70E740481C1C}">
              <a14:useLocalDpi xmlns:a14="http://schemas.microsoft.com/office/drawing/2010/main" val="0"/>
            </a:ext>
          </a:extLst>
        </a:blip>
        <a:srcRect/>
        <a:stretch>
          <a:fillRect/>
        </a:stretch>
      </xdr:blipFill>
      <xdr:spPr bwMode="auto">
        <a:xfrm>
          <a:off x="1228725" y="838009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448</xdr:row>
      <xdr:rowOff>9525</xdr:rowOff>
    </xdr:from>
    <xdr:to>
      <xdr:col>2</xdr:col>
      <xdr:colOff>1733550</xdr:colOff>
      <xdr:row>448</xdr:row>
      <xdr:rowOff>1524000</xdr:rowOff>
    </xdr:to>
    <xdr:pic>
      <xdr:nvPicPr>
        <xdr:cNvPr id="448" name="Picture 447"/>
        <xdr:cNvPicPr>
          <a:picLocks noChangeAspect="1" noChangeArrowheads="1"/>
        </xdr:cNvPicPr>
      </xdr:nvPicPr>
      <xdr:blipFill>
        <a:blip xmlns:r="http://schemas.openxmlformats.org/officeDocument/2006/relationships" r:embed="rId447">
          <a:extLst>
            <a:ext uri="{28A0092B-C50C-407E-A947-70E740481C1C}">
              <a14:useLocalDpi xmlns:a14="http://schemas.microsoft.com/office/drawing/2010/main" val="0"/>
            </a:ext>
          </a:extLst>
        </a:blip>
        <a:srcRect/>
        <a:stretch>
          <a:fillRect/>
        </a:stretch>
      </xdr:blipFill>
      <xdr:spPr bwMode="auto">
        <a:xfrm>
          <a:off x="1228725" y="839762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449</xdr:row>
      <xdr:rowOff>9525</xdr:rowOff>
    </xdr:from>
    <xdr:to>
      <xdr:col>2</xdr:col>
      <xdr:colOff>1733550</xdr:colOff>
      <xdr:row>449</xdr:row>
      <xdr:rowOff>1524000</xdr:rowOff>
    </xdr:to>
    <xdr:pic>
      <xdr:nvPicPr>
        <xdr:cNvPr id="449" name="Picture 448"/>
        <xdr:cNvPicPr>
          <a:picLocks noChangeAspect="1" noChangeArrowheads="1"/>
        </xdr:cNvPicPr>
      </xdr:nvPicPr>
      <xdr:blipFill>
        <a:blip xmlns:r="http://schemas.openxmlformats.org/officeDocument/2006/relationships" r:embed="rId448">
          <a:extLst>
            <a:ext uri="{28A0092B-C50C-407E-A947-70E740481C1C}">
              <a14:useLocalDpi xmlns:a14="http://schemas.microsoft.com/office/drawing/2010/main" val="0"/>
            </a:ext>
          </a:extLst>
        </a:blip>
        <a:srcRect/>
        <a:stretch>
          <a:fillRect/>
        </a:stretch>
      </xdr:blipFill>
      <xdr:spPr bwMode="auto">
        <a:xfrm>
          <a:off x="1228725" y="841514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450</xdr:row>
      <xdr:rowOff>9525</xdr:rowOff>
    </xdr:from>
    <xdr:to>
      <xdr:col>2</xdr:col>
      <xdr:colOff>1733550</xdr:colOff>
      <xdr:row>450</xdr:row>
      <xdr:rowOff>1524000</xdr:rowOff>
    </xdr:to>
    <xdr:pic>
      <xdr:nvPicPr>
        <xdr:cNvPr id="450" name="Picture 449"/>
        <xdr:cNvPicPr>
          <a:picLocks noChangeAspect="1" noChangeArrowheads="1"/>
        </xdr:cNvPicPr>
      </xdr:nvPicPr>
      <xdr:blipFill>
        <a:blip xmlns:r="http://schemas.openxmlformats.org/officeDocument/2006/relationships" r:embed="rId449">
          <a:extLst>
            <a:ext uri="{28A0092B-C50C-407E-A947-70E740481C1C}">
              <a14:useLocalDpi xmlns:a14="http://schemas.microsoft.com/office/drawing/2010/main" val="0"/>
            </a:ext>
          </a:extLst>
        </a:blip>
        <a:srcRect/>
        <a:stretch>
          <a:fillRect/>
        </a:stretch>
      </xdr:blipFill>
      <xdr:spPr bwMode="auto">
        <a:xfrm>
          <a:off x="1228725" y="843267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451</xdr:row>
      <xdr:rowOff>9525</xdr:rowOff>
    </xdr:from>
    <xdr:to>
      <xdr:col>2</xdr:col>
      <xdr:colOff>1733550</xdr:colOff>
      <xdr:row>451</xdr:row>
      <xdr:rowOff>1524000</xdr:rowOff>
    </xdr:to>
    <xdr:pic>
      <xdr:nvPicPr>
        <xdr:cNvPr id="451" name="Picture 450"/>
        <xdr:cNvPicPr>
          <a:picLocks noChangeAspect="1" noChangeArrowheads="1"/>
        </xdr:cNvPicPr>
      </xdr:nvPicPr>
      <xdr:blipFill>
        <a:blip xmlns:r="http://schemas.openxmlformats.org/officeDocument/2006/relationships" r:embed="rId450">
          <a:extLst>
            <a:ext uri="{28A0092B-C50C-407E-A947-70E740481C1C}">
              <a14:useLocalDpi xmlns:a14="http://schemas.microsoft.com/office/drawing/2010/main" val="0"/>
            </a:ext>
          </a:extLst>
        </a:blip>
        <a:srcRect/>
        <a:stretch>
          <a:fillRect/>
        </a:stretch>
      </xdr:blipFill>
      <xdr:spPr bwMode="auto">
        <a:xfrm>
          <a:off x="1228725" y="845019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452</xdr:row>
      <xdr:rowOff>9525</xdr:rowOff>
    </xdr:from>
    <xdr:to>
      <xdr:col>2</xdr:col>
      <xdr:colOff>1733550</xdr:colOff>
      <xdr:row>452</xdr:row>
      <xdr:rowOff>1524000</xdr:rowOff>
    </xdr:to>
    <xdr:pic>
      <xdr:nvPicPr>
        <xdr:cNvPr id="452" name="Picture 451"/>
        <xdr:cNvPicPr>
          <a:picLocks noChangeAspect="1" noChangeArrowheads="1"/>
        </xdr:cNvPicPr>
      </xdr:nvPicPr>
      <xdr:blipFill>
        <a:blip xmlns:r="http://schemas.openxmlformats.org/officeDocument/2006/relationships" r:embed="rId451">
          <a:extLst>
            <a:ext uri="{28A0092B-C50C-407E-A947-70E740481C1C}">
              <a14:useLocalDpi xmlns:a14="http://schemas.microsoft.com/office/drawing/2010/main" val="0"/>
            </a:ext>
          </a:extLst>
        </a:blip>
        <a:srcRect/>
        <a:stretch>
          <a:fillRect/>
        </a:stretch>
      </xdr:blipFill>
      <xdr:spPr bwMode="auto">
        <a:xfrm>
          <a:off x="1228725" y="846772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453</xdr:row>
      <xdr:rowOff>9525</xdr:rowOff>
    </xdr:from>
    <xdr:to>
      <xdr:col>2</xdr:col>
      <xdr:colOff>1733550</xdr:colOff>
      <xdr:row>453</xdr:row>
      <xdr:rowOff>1524000</xdr:rowOff>
    </xdr:to>
    <xdr:pic>
      <xdr:nvPicPr>
        <xdr:cNvPr id="453" name="Picture 452"/>
        <xdr:cNvPicPr>
          <a:picLocks noChangeAspect="1" noChangeArrowheads="1"/>
        </xdr:cNvPicPr>
      </xdr:nvPicPr>
      <xdr:blipFill>
        <a:blip xmlns:r="http://schemas.openxmlformats.org/officeDocument/2006/relationships" r:embed="rId452">
          <a:extLst>
            <a:ext uri="{28A0092B-C50C-407E-A947-70E740481C1C}">
              <a14:useLocalDpi xmlns:a14="http://schemas.microsoft.com/office/drawing/2010/main" val="0"/>
            </a:ext>
          </a:extLst>
        </a:blip>
        <a:srcRect/>
        <a:stretch>
          <a:fillRect/>
        </a:stretch>
      </xdr:blipFill>
      <xdr:spPr bwMode="auto">
        <a:xfrm>
          <a:off x="1228725" y="848525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454</xdr:row>
      <xdr:rowOff>9525</xdr:rowOff>
    </xdr:from>
    <xdr:to>
      <xdr:col>2</xdr:col>
      <xdr:colOff>1733550</xdr:colOff>
      <xdr:row>454</xdr:row>
      <xdr:rowOff>1524000</xdr:rowOff>
    </xdr:to>
    <xdr:pic>
      <xdr:nvPicPr>
        <xdr:cNvPr id="454" name="Picture 453"/>
        <xdr:cNvPicPr>
          <a:picLocks noChangeAspect="1" noChangeArrowheads="1"/>
        </xdr:cNvPicPr>
      </xdr:nvPicPr>
      <xdr:blipFill>
        <a:blip xmlns:r="http://schemas.openxmlformats.org/officeDocument/2006/relationships" r:embed="rId453">
          <a:extLst>
            <a:ext uri="{28A0092B-C50C-407E-A947-70E740481C1C}">
              <a14:useLocalDpi xmlns:a14="http://schemas.microsoft.com/office/drawing/2010/main" val="0"/>
            </a:ext>
          </a:extLst>
        </a:blip>
        <a:srcRect/>
        <a:stretch>
          <a:fillRect/>
        </a:stretch>
      </xdr:blipFill>
      <xdr:spPr bwMode="auto">
        <a:xfrm>
          <a:off x="1228725" y="850277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455</xdr:row>
      <xdr:rowOff>19050</xdr:rowOff>
    </xdr:from>
    <xdr:to>
      <xdr:col>2</xdr:col>
      <xdr:colOff>1733550</xdr:colOff>
      <xdr:row>455</xdr:row>
      <xdr:rowOff>1666875</xdr:rowOff>
    </xdr:to>
    <xdr:pic>
      <xdr:nvPicPr>
        <xdr:cNvPr id="455" name="Picture 454"/>
        <xdr:cNvPicPr>
          <a:picLocks noChangeAspect="1" noChangeArrowheads="1"/>
        </xdr:cNvPicPr>
      </xdr:nvPicPr>
      <xdr:blipFill>
        <a:blip xmlns:r="http://schemas.openxmlformats.org/officeDocument/2006/relationships" r:embed="rId454">
          <a:extLst>
            <a:ext uri="{28A0092B-C50C-407E-A947-70E740481C1C}">
              <a14:useLocalDpi xmlns:a14="http://schemas.microsoft.com/office/drawing/2010/main" val="0"/>
            </a:ext>
          </a:extLst>
        </a:blip>
        <a:srcRect/>
        <a:stretch>
          <a:fillRect/>
        </a:stretch>
      </xdr:blipFill>
      <xdr:spPr bwMode="auto">
        <a:xfrm>
          <a:off x="1228725" y="852039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456</xdr:row>
      <xdr:rowOff>9525</xdr:rowOff>
    </xdr:from>
    <xdr:to>
      <xdr:col>2</xdr:col>
      <xdr:colOff>1733550</xdr:colOff>
      <xdr:row>456</xdr:row>
      <xdr:rowOff>1524000</xdr:rowOff>
    </xdr:to>
    <xdr:pic>
      <xdr:nvPicPr>
        <xdr:cNvPr id="456" name="Picture 455"/>
        <xdr:cNvPicPr>
          <a:picLocks noChangeAspect="1" noChangeArrowheads="1"/>
        </xdr:cNvPicPr>
      </xdr:nvPicPr>
      <xdr:blipFill>
        <a:blip xmlns:r="http://schemas.openxmlformats.org/officeDocument/2006/relationships" r:embed="rId455">
          <a:extLst>
            <a:ext uri="{28A0092B-C50C-407E-A947-70E740481C1C}">
              <a14:useLocalDpi xmlns:a14="http://schemas.microsoft.com/office/drawing/2010/main" val="0"/>
            </a:ext>
          </a:extLst>
        </a:blip>
        <a:srcRect/>
        <a:stretch>
          <a:fillRect/>
        </a:stretch>
      </xdr:blipFill>
      <xdr:spPr bwMode="auto">
        <a:xfrm>
          <a:off x="1228725" y="853944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457</xdr:row>
      <xdr:rowOff>9525</xdr:rowOff>
    </xdr:from>
    <xdr:to>
      <xdr:col>2</xdr:col>
      <xdr:colOff>1733550</xdr:colOff>
      <xdr:row>457</xdr:row>
      <xdr:rowOff>1524000</xdr:rowOff>
    </xdr:to>
    <xdr:pic>
      <xdr:nvPicPr>
        <xdr:cNvPr id="457" name="Picture 456"/>
        <xdr:cNvPicPr>
          <a:picLocks noChangeAspect="1" noChangeArrowheads="1"/>
        </xdr:cNvPicPr>
      </xdr:nvPicPr>
      <xdr:blipFill>
        <a:blip xmlns:r="http://schemas.openxmlformats.org/officeDocument/2006/relationships" r:embed="rId456">
          <a:extLst>
            <a:ext uri="{28A0092B-C50C-407E-A947-70E740481C1C}">
              <a14:useLocalDpi xmlns:a14="http://schemas.microsoft.com/office/drawing/2010/main" val="0"/>
            </a:ext>
          </a:extLst>
        </a:blip>
        <a:srcRect/>
        <a:stretch>
          <a:fillRect/>
        </a:stretch>
      </xdr:blipFill>
      <xdr:spPr bwMode="auto">
        <a:xfrm>
          <a:off x="1228725" y="855697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458</xdr:row>
      <xdr:rowOff>9525</xdr:rowOff>
    </xdr:from>
    <xdr:to>
      <xdr:col>2</xdr:col>
      <xdr:colOff>1733550</xdr:colOff>
      <xdr:row>458</xdr:row>
      <xdr:rowOff>1524000</xdr:rowOff>
    </xdr:to>
    <xdr:pic>
      <xdr:nvPicPr>
        <xdr:cNvPr id="458" name="Picture 457"/>
        <xdr:cNvPicPr>
          <a:picLocks noChangeAspect="1" noChangeArrowheads="1"/>
        </xdr:cNvPicPr>
      </xdr:nvPicPr>
      <xdr:blipFill>
        <a:blip xmlns:r="http://schemas.openxmlformats.org/officeDocument/2006/relationships" r:embed="rId457">
          <a:extLst>
            <a:ext uri="{28A0092B-C50C-407E-A947-70E740481C1C}">
              <a14:useLocalDpi xmlns:a14="http://schemas.microsoft.com/office/drawing/2010/main" val="0"/>
            </a:ext>
          </a:extLst>
        </a:blip>
        <a:srcRect/>
        <a:stretch>
          <a:fillRect/>
        </a:stretch>
      </xdr:blipFill>
      <xdr:spPr bwMode="auto">
        <a:xfrm>
          <a:off x="1228725" y="857450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459</xdr:row>
      <xdr:rowOff>9525</xdr:rowOff>
    </xdr:from>
    <xdr:to>
      <xdr:col>2</xdr:col>
      <xdr:colOff>1733550</xdr:colOff>
      <xdr:row>459</xdr:row>
      <xdr:rowOff>1524000</xdr:rowOff>
    </xdr:to>
    <xdr:pic>
      <xdr:nvPicPr>
        <xdr:cNvPr id="459" name="Picture 458"/>
        <xdr:cNvPicPr>
          <a:picLocks noChangeAspect="1" noChangeArrowheads="1"/>
        </xdr:cNvPicPr>
      </xdr:nvPicPr>
      <xdr:blipFill>
        <a:blip xmlns:r="http://schemas.openxmlformats.org/officeDocument/2006/relationships" r:embed="rId458">
          <a:extLst>
            <a:ext uri="{28A0092B-C50C-407E-A947-70E740481C1C}">
              <a14:useLocalDpi xmlns:a14="http://schemas.microsoft.com/office/drawing/2010/main" val="0"/>
            </a:ext>
          </a:extLst>
        </a:blip>
        <a:srcRect/>
        <a:stretch>
          <a:fillRect/>
        </a:stretch>
      </xdr:blipFill>
      <xdr:spPr bwMode="auto">
        <a:xfrm>
          <a:off x="1228725" y="859202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460</xdr:row>
      <xdr:rowOff>9525</xdr:rowOff>
    </xdr:from>
    <xdr:to>
      <xdr:col>2</xdr:col>
      <xdr:colOff>1733550</xdr:colOff>
      <xdr:row>460</xdr:row>
      <xdr:rowOff>1524000</xdr:rowOff>
    </xdr:to>
    <xdr:pic>
      <xdr:nvPicPr>
        <xdr:cNvPr id="460" name="Picture 459"/>
        <xdr:cNvPicPr>
          <a:picLocks noChangeAspect="1" noChangeArrowheads="1"/>
        </xdr:cNvPicPr>
      </xdr:nvPicPr>
      <xdr:blipFill>
        <a:blip xmlns:r="http://schemas.openxmlformats.org/officeDocument/2006/relationships" r:embed="rId459">
          <a:extLst>
            <a:ext uri="{28A0092B-C50C-407E-A947-70E740481C1C}">
              <a14:useLocalDpi xmlns:a14="http://schemas.microsoft.com/office/drawing/2010/main" val="0"/>
            </a:ext>
          </a:extLst>
        </a:blip>
        <a:srcRect/>
        <a:stretch>
          <a:fillRect/>
        </a:stretch>
      </xdr:blipFill>
      <xdr:spPr bwMode="auto">
        <a:xfrm>
          <a:off x="1228725" y="860955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461</xdr:row>
      <xdr:rowOff>9525</xdr:rowOff>
    </xdr:from>
    <xdr:to>
      <xdr:col>2</xdr:col>
      <xdr:colOff>1733550</xdr:colOff>
      <xdr:row>461</xdr:row>
      <xdr:rowOff>1524000</xdr:rowOff>
    </xdr:to>
    <xdr:pic>
      <xdr:nvPicPr>
        <xdr:cNvPr id="461" name="Picture 460"/>
        <xdr:cNvPicPr>
          <a:picLocks noChangeAspect="1" noChangeArrowheads="1"/>
        </xdr:cNvPicPr>
      </xdr:nvPicPr>
      <xdr:blipFill>
        <a:blip xmlns:r="http://schemas.openxmlformats.org/officeDocument/2006/relationships" r:embed="rId460">
          <a:extLst>
            <a:ext uri="{28A0092B-C50C-407E-A947-70E740481C1C}">
              <a14:useLocalDpi xmlns:a14="http://schemas.microsoft.com/office/drawing/2010/main" val="0"/>
            </a:ext>
          </a:extLst>
        </a:blip>
        <a:srcRect/>
        <a:stretch>
          <a:fillRect/>
        </a:stretch>
      </xdr:blipFill>
      <xdr:spPr bwMode="auto">
        <a:xfrm>
          <a:off x="1228725" y="862707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462</xdr:row>
      <xdr:rowOff>9525</xdr:rowOff>
    </xdr:from>
    <xdr:to>
      <xdr:col>2</xdr:col>
      <xdr:colOff>1733550</xdr:colOff>
      <xdr:row>462</xdr:row>
      <xdr:rowOff>1524000</xdr:rowOff>
    </xdr:to>
    <xdr:pic>
      <xdr:nvPicPr>
        <xdr:cNvPr id="462" name="Picture 461"/>
        <xdr:cNvPicPr>
          <a:picLocks noChangeAspect="1" noChangeArrowheads="1"/>
        </xdr:cNvPicPr>
      </xdr:nvPicPr>
      <xdr:blipFill>
        <a:blip xmlns:r="http://schemas.openxmlformats.org/officeDocument/2006/relationships" r:embed="rId461">
          <a:extLst>
            <a:ext uri="{28A0092B-C50C-407E-A947-70E740481C1C}">
              <a14:useLocalDpi xmlns:a14="http://schemas.microsoft.com/office/drawing/2010/main" val="0"/>
            </a:ext>
          </a:extLst>
        </a:blip>
        <a:srcRect/>
        <a:stretch>
          <a:fillRect/>
        </a:stretch>
      </xdr:blipFill>
      <xdr:spPr bwMode="auto">
        <a:xfrm>
          <a:off x="1228725" y="864460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463</xdr:row>
      <xdr:rowOff>9525</xdr:rowOff>
    </xdr:from>
    <xdr:to>
      <xdr:col>2</xdr:col>
      <xdr:colOff>1733550</xdr:colOff>
      <xdr:row>463</xdr:row>
      <xdr:rowOff>1524000</xdr:rowOff>
    </xdr:to>
    <xdr:pic>
      <xdr:nvPicPr>
        <xdr:cNvPr id="463" name="Picture 462"/>
        <xdr:cNvPicPr>
          <a:picLocks noChangeAspect="1" noChangeArrowheads="1"/>
        </xdr:cNvPicPr>
      </xdr:nvPicPr>
      <xdr:blipFill>
        <a:blip xmlns:r="http://schemas.openxmlformats.org/officeDocument/2006/relationships" r:embed="rId462">
          <a:extLst>
            <a:ext uri="{28A0092B-C50C-407E-A947-70E740481C1C}">
              <a14:useLocalDpi xmlns:a14="http://schemas.microsoft.com/office/drawing/2010/main" val="0"/>
            </a:ext>
          </a:extLst>
        </a:blip>
        <a:srcRect/>
        <a:stretch>
          <a:fillRect/>
        </a:stretch>
      </xdr:blipFill>
      <xdr:spPr bwMode="auto">
        <a:xfrm>
          <a:off x="1228725" y="866213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464</xdr:row>
      <xdr:rowOff>9525</xdr:rowOff>
    </xdr:from>
    <xdr:to>
      <xdr:col>2</xdr:col>
      <xdr:colOff>1733550</xdr:colOff>
      <xdr:row>464</xdr:row>
      <xdr:rowOff>1524000</xdr:rowOff>
    </xdr:to>
    <xdr:pic>
      <xdr:nvPicPr>
        <xdr:cNvPr id="464" name="Picture 463"/>
        <xdr:cNvPicPr>
          <a:picLocks noChangeAspect="1" noChangeArrowheads="1"/>
        </xdr:cNvPicPr>
      </xdr:nvPicPr>
      <xdr:blipFill>
        <a:blip xmlns:r="http://schemas.openxmlformats.org/officeDocument/2006/relationships" r:embed="rId463">
          <a:extLst>
            <a:ext uri="{28A0092B-C50C-407E-A947-70E740481C1C}">
              <a14:useLocalDpi xmlns:a14="http://schemas.microsoft.com/office/drawing/2010/main" val="0"/>
            </a:ext>
          </a:extLst>
        </a:blip>
        <a:srcRect/>
        <a:stretch>
          <a:fillRect/>
        </a:stretch>
      </xdr:blipFill>
      <xdr:spPr bwMode="auto">
        <a:xfrm>
          <a:off x="1228725" y="867965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465</xdr:row>
      <xdr:rowOff>9525</xdr:rowOff>
    </xdr:from>
    <xdr:to>
      <xdr:col>2</xdr:col>
      <xdr:colOff>1733550</xdr:colOff>
      <xdr:row>465</xdr:row>
      <xdr:rowOff>1524000</xdr:rowOff>
    </xdr:to>
    <xdr:pic>
      <xdr:nvPicPr>
        <xdr:cNvPr id="465" name="Picture 464"/>
        <xdr:cNvPicPr>
          <a:picLocks noChangeAspect="1" noChangeArrowheads="1"/>
        </xdr:cNvPicPr>
      </xdr:nvPicPr>
      <xdr:blipFill>
        <a:blip xmlns:r="http://schemas.openxmlformats.org/officeDocument/2006/relationships" r:embed="rId464">
          <a:extLst>
            <a:ext uri="{28A0092B-C50C-407E-A947-70E740481C1C}">
              <a14:useLocalDpi xmlns:a14="http://schemas.microsoft.com/office/drawing/2010/main" val="0"/>
            </a:ext>
          </a:extLst>
        </a:blip>
        <a:srcRect/>
        <a:stretch>
          <a:fillRect/>
        </a:stretch>
      </xdr:blipFill>
      <xdr:spPr bwMode="auto">
        <a:xfrm>
          <a:off x="1228725" y="869718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466</xdr:row>
      <xdr:rowOff>9525</xdr:rowOff>
    </xdr:from>
    <xdr:to>
      <xdr:col>2</xdr:col>
      <xdr:colOff>1733550</xdr:colOff>
      <xdr:row>466</xdr:row>
      <xdr:rowOff>1524000</xdr:rowOff>
    </xdr:to>
    <xdr:pic>
      <xdr:nvPicPr>
        <xdr:cNvPr id="466" name="Picture 465"/>
        <xdr:cNvPicPr>
          <a:picLocks noChangeAspect="1" noChangeArrowheads="1"/>
        </xdr:cNvPicPr>
      </xdr:nvPicPr>
      <xdr:blipFill>
        <a:blip xmlns:r="http://schemas.openxmlformats.org/officeDocument/2006/relationships" r:embed="rId465">
          <a:extLst>
            <a:ext uri="{28A0092B-C50C-407E-A947-70E740481C1C}">
              <a14:useLocalDpi xmlns:a14="http://schemas.microsoft.com/office/drawing/2010/main" val="0"/>
            </a:ext>
          </a:extLst>
        </a:blip>
        <a:srcRect/>
        <a:stretch>
          <a:fillRect/>
        </a:stretch>
      </xdr:blipFill>
      <xdr:spPr bwMode="auto">
        <a:xfrm>
          <a:off x="1228725" y="871470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467</xdr:row>
      <xdr:rowOff>9525</xdr:rowOff>
    </xdr:from>
    <xdr:to>
      <xdr:col>2</xdr:col>
      <xdr:colOff>1733550</xdr:colOff>
      <xdr:row>467</xdr:row>
      <xdr:rowOff>1524000</xdr:rowOff>
    </xdr:to>
    <xdr:pic>
      <xdr:nvPicPr>
        <xdr:cNvPr id="467" name="Picture 466"/>
        <xdr:cNvPicPr>
          <a:picLocks noChangeAspect="1" noChangeArrowheads="1"/>
        </xdr:cNvPicPr>
      </xdr:nvPicPr>
      <xdr:blipFill>
        <a:blip xmlns:r="http://schemas.openxmlformats.org/officeDocument/2006/relationships" r:embed="rId466">
          <a:extLst>
            <a:ext uri="{28A0092B-C50C-407E-A947-70E740481C1C}">
              <a14:useLocalDpi xmlns:a14="http://schemas.microsoft.com/office/drawing/2010/main" val="0"/>
            </a:ext>
          </a:extLst>
        </a:blip>
        <a:srcRect/>
        <a:stretch>
          <a:fillRect/>
        </a:stretch>
      </xdr:blipFill>
      <xdr:spPr bwMode="auto">
        <a:xfrm>
          <a:off x="1228725" y="873223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468</xdr:row>
      <xdr:rowOff>9525</xdr:rowOff>
    </xdr:from>
    <xdr:to>
      <xdr:col>2</xdr:col>
      <xdr:colOff>1733550</xdr:colOff>
      <xdr:row>468</xdr:row>
      <xdr:rowOff>1524000</xdr:rowOff>
    </xdr:to>
    <xdr:pic>
      <xdr:nvPicPr>
        <xdr:cNvPr id="468" name="Picture 467"/>
        <xdr:cNvPicPr>
          <a:picLocks noChangeAspect="1" noChangeArrowheads="1"/>
        </xdr:cNvPicPr>
      </xdr:nvPicPr>
      <xdr:blipFill>
        <a:blip xmlns:r="http://schemas.openxmlformats.org/officeDocument/2006/relationships" r:embed="rId467">
          <a:extLst>
            <a:ext uri="{28A0092B-C50C-407E-A947-70E740481C1C}">
              <a14:useLocalDpi xmlns:a14="http://schemas.microsoft.com/office/drawing/2010/main" val="0"/>
            </a:ext>
          </a:extLst>
        </a:blip>
        <a:srcRect/>
        <a:stretch>
          <a:fillRect/>
        </a:stretch>
      </xdr:blipFill>
      <xdr:spPr bwMode="auto">
        <a:xfrm>
          <a:off x="1228725" y="874976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469</xdr:row>
      <xdr:rowOff>19050</xdr:rowOff>
    </xdr:from>
    <xdr:to>
      <xdr:col>2</xdr:col>
      <xdr:colOff>1733550</xdr:colOff>
      <xdr:row>469</xdr:row>
      <xdr:rowOff>1666875</xdr:rowOff>
    </xdr:to>
    <xdr:pic>
      <xdr:nvPicPr>
        <xdr:cNvPr id="469" name="Picture 468"/>
        <xdr:cNvPicPr>
          <a:picLocks noChangeAspect="1" noChangeArrowheads="1"/>
        </xdr:cNvPicPr>
      </xdr:nvPicPr>
      <xdr:blipFill>
        <a:blip xmlns:r="http://schemas.openxmlformats.org/officeDocument/2006/relationships" r:embed="rId468">
          <a:extLst>
            <a:ext uri="{28A0092B-C50C-407E-A947-70E740481C1C}">
              <a14:useLocalDpi xmlns:a14="http://schemas.microsoft.com/office/drawing/2010/main" val="0"/>
            </a:ext>
          </a:extLst>
        </a:blip>
        <a:srcRect/>
        <a:stretch>
          <a:fillRect/>
        </a:stretch>
      </xdr:blipFill>
      <xdr:spPr bwMode="auto">
        <a:xfrm>
          <a:off x="1228725" y="87673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470</xdr:row>
      <xdr:rowOff>19050</xdr:rowOff>
    </xdr:from>
    <xdr:to>
      <xdr:col>2</xdr:col>
      <xdr:colOff>1733550</xdr:colOff>
      <xdr:row>470</xdr:row>
      <xdr:rowOff>1647825</xdr:rowOff>
    </xdr:to>
    <xdr:pic>
      <xdr:nvPicPr>
        <xdr:cNvPr id="470" name="Picture 469"/>
        <xdr:cNvPicPr>
          <a:picLocks noChangeAspect="1" noChangeArrowheads="1"/>
        </xdr:cNvPicPr>
      </xdr:nvPicPr>
      <xdr:blipFill>
        <a:blip xmlns:r="http://schemas.openxmlformats.org/officeDocument/2006/relationships" r:embed="rId469">
          <a:extLst>
            <a:ext uri="{28A0092B-C50C-407E-A947-70E740481C1C}">
              <a14:useLocalDpi xmlns:a14="http://schemas.microsoft.com/office/drawing/2010/main" val="0"/>
            </a:ext>
          </a:extLst>
        </a:blip>
        <a:srcRect/>
        <a:stretch>
          <a:fillRect/>
        </a:stretch>
      </xdr:blipFill>
      <xdr:spPr bwMode="auto">
        <a:xfrm>
          <a:off x="1228725" y="8786526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471</xdr:row>
      <xdr:rowOff>19050</xdr:rowOff>
    </xdr:from>
    <xdr:to>
      <xdr:col>2</xdr:col>
      <xdr:colOff>1733550</xdr:colOff>
      <xdr:row>471</xdr:row>
      <xdr:rowOff>1666875</xdr:rowOff>
    </xdr:to>
    <xdr:pic>
      <xdr:nvPicPr>
        <xdr:cNvPr id="471" name="Picture 470"/>
        <xdr:cNvPicPr>
          <a:picLocks noChangeAspect="1" noChangeArrowheads="1"/>
        </xdr:cNvPicPr>
      </xdr:nvPicPr>
      <xdr:blipFill>
        <a:blip xmlns:r="http://schemas.openxmlformats.org/officeDocument/2006/relationships" r:embed="rId470">
          <a:extLst>
            <a:ext uri="{28A0092B-C50C-407E-A947-70E740481C1C}">
              <a14:useLocalDpi xmlns:a14="http://schemas.microsoft.com/office/drawing/2010/main" val="0"/>
            </a:ext>
          </a:extLst>
        </a:blip>
        <a:srcRect/>
        <a:stretch>
          <a:fillRect/>
        </a:stretch>
      </xdr:blipFill>
      <xdr:spPr bwMode="auto">
        <a:xfrm>
          <a:off x="1228725" y="88054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472</xdr:row>
      <xdr:rowOff>19050</xdr:rowOff>
    </xdr:from>
    <xdr:to>
      <xdr:col>2</xdr:col>
      <xdr:colOff>1733550</xdr:colOff>
      <xdr:row>472</xdr:row>
      <xdr:rowOff>1647825</xdr:rowOff>
    </xdr:to>
    <xdr:pic>
      <xdr:nvPicPr>
        <xdr:cNvPr id="472" name="Picture 471"/>
        <xdr:cNvPicPr>
          <a:picLocks noChangeAspect="1" noChangeArrowheads="1"/>
        </xdr:cNvPicPr>
      </xdr:nvPicPr>
      <xdr:blipFill>
        <a:blip xmlns:r="http://schemas.openxmlformats.org/officeDocument/2006/relationships" r:embed="rId471">
          <a:extLst>
            <a:ext uri="{28A0092B-C50C-407E-A947-70E740481C1C}">
              <a14:useLocalDpi xmlns:a14="http://schemas.microsoft.com/office/drawing/2010/main" val="0"/>
            </a:ext>
          </a:extLst>
        </a:blip>
        <a:srcRect/>
        <a:stretch>
          <a:fillRect/>
        </a:stretch>
      </xdr:blipFill>
      <xdr:spPr bwMode="auto">
        <a:xfrm>
          <a:off x="1228725" y="8824626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473</xdr:row>
      <xdr:rowOff>19050</xdr:rowOff>
    </xdr:from>
    <xdr:to>
      <xdr:col>2</xdr:col>
      <xdr:colOff>1733550</xdr:colOff>
      <xdr:row>473</xdr:row>
      <xdr:rowOff>1647825</xdr:rowOff>
    </xdr:to>
    <xdr:pic>
      <xdr:nvPicPr>
        <xdr:cNvPr id="473" name="Picture 472"/>
        <xdr:cNvPicPr>
          <a:picLocks noChangeAspect="1" noChangeArrowheads="1"/>
        </xdr:cNvPicPr>
      </xdr:nvPicPr>
      <xdr:blipFill>
        <a:blip xmlns:r="http://schemas.openxmlformats.org/officeDocument/2006/relationships" r:embed="rId472">
          <a:extLst>
            <a:ext uri="{28A0092B-C50C-407E-A947-70E740481C1C}">
              <a14:useLocalDpi xmlns:a14="http://schemas.microsoft.com/office/drawing/2010/main" val="0"/>
            </a:ext>
          </a:extLst>
        </a:blip>
        <a:srcRect/>
        <a:stretch>
          <a:fillRect/>
        </a:stretch>
      </xdr:blipFill>
      <xdr:spPr bwMode="auto">
        <a:xfrm>
          <a:off x="1228725" y="8843581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474</xdr:row>
      <xdr:rowOff>19050</xdr:rowOff>
    </xdr:from>
    <xdr:to>
      <xdr:col>2</xdr:col>
      <xdr:colOff>1733550</xdr:colOff>
      <xdr:row>474</xdr:row>
      <xdr:rowOff>1647825</xdr:rowOff>
    </xdr:to>
    <xdr:pic>
      <xdr:nvPicPr>
        <xdr:cNvPr id="474" name="Picture 473"/>
        <xdr:cNvPicPr>
          <a:picLocks noChangeAspect="1" noChangeArrowheads="1"/>
        </xdr:cNvPicPr>
      </xdr:nvPicPr>
      <xdr:blipFill>
        <a:blip xmlns:r="http://schemas.openxmlformats.org/officeDocument/2006/relationships" r:embed="rId473">
          <a:extLst>
            <a:ext uri="{28A0092B-C50C-407E-A947-70E740481C1C}">
              <a14:useLocalDpi xmlns:a14="http://schemas.microsoft.com/office/drawing/2010/main" val="0"/>
            </a:ext>
          </a:extLst>
        </a:blip>
        <a:srcRect/>
        <a:stretch>
          <a:fillRect/>
        </a:stretch>
      </xdr:blipFill>
      <xdr:spPr bwMode="auto">
        <a:xfrm>
          <a:off x="1228725" y="886253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475</xdr:row>
      <xdr:rowOff>19050</xdr:rowOff>
    </xdr:from>
    <xdr:to>
      <xdr:col>2</xdr:col>
      <xdr:colOff>1733550</xdr:colOff>
      <xdr:row>475</xdr:row>
      <xdr:rowOff>1647825</xdr:rowOff>
    </xdr:to>
    <xdr:pic>
      <xdr:nvPicPr>
        <xdr:cNvPr id="475" name="Picture 474"/>
        <xdr:cNvPicPr>
          <a:picLocks noChangeAspect="1" noChangeArrowheads="1"/>
        </xdr:cNvPicPr>
      </xdr:nvPicPr>
      <xdr:blipFill>
        <a:blip xmlns:r="http://schemas.openxmlformats.org/officeDocument/2006/relationships" r:embed="rId474">
          <a:extLst>
            <a:ext uri="{28A0092B-C50C-407E-A947-70E740481C1C}">
              <a14:useLocalDpi xmlns:a14="http://schemas.microsoft.com/office/drawing/2010/main" val="0"/>
            </a:ext>
          </a:extLst>
        </a:blip>
        <a:srcRect/>
        <a:stretch>
          <a:fillRect/>
        </a:stretch>
      </xdr:blipFill>
      <xdr:spPr bwMode="auto">
        <a:xfrm>
          <a:off x="1228725" y="8881491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476</xdr:row>
      <xdr:rowOff>19050</xdr:rowOff>
    </xdr:from>
    <xdr:to>
      <xdr:col>2</xdr:col>
      <xdr:colOff>1733550</xdr:colOff>
      <xdr:row>476</xdr:row>
      <xdr:rowOff>1666875</xdr:rowOff>
    </xdr:to>
    <xdr:pic>
      <xdr:nvPicPr>
        <xdr:cNvPr id="476" name="Picture 475"/>
        <xdr:cNvPicPr>
          <a:picLocks noChangeAspect="1" noChangeArrowheads="1"/>
        </xdr:cNvPicPr>
      </xdr:nvPicPr>
      <xdr:blipFill>
        <a:blip xmlns:r="http://schemas.openxmlformats.org/officeDocument/2006/relationships" r:embed="rId475">
          <a:extLst>
            <a:ext uri="{28A0092B-C50C-407E-A947-70E740481C1C}">
              <a14:useLocalDpi xmlns:a14="http://schemas.microsoft.com/office/drawing/2010/main" val="0"/>
            </a:ext>
          </a:extLst>
        </a:blip>
        <a:srcRect/>
        <a:stretch>
          <a:fillRect/>
        </a:stretch>
      </xdr:blipFill>
      <xdr:spPr bwMode="auto">
        <a:xfrm>
          <a:off x="1228725" y="890044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477</xdr:row>
      <xdr:rowOff>19050</xdr:rowOff>
    </xdr:from>
    <xdr:to>
      <xdr:col>2</xdr:col>
      <xdr:colOff>1733550</xdr:colOff>
      <xdr:row>477</xdr:row>
      <xdr:rowOff>1666875</xdr:rowOff>
    </xdr:to>
    <xdr:pic>
      <xdr:nvPicPr>
        <xdr:cNvPr id="477" name="Picture 476"/>
        <xdr:cNvPicPr>
          <a:picLocks noChangeAspect="1" noChangeArrowheads="1"/>
        </xdr:cNvPicPr>
      </xdr:nvPicPr>
      <xdr:blipFill>
        <a:blip xmlns:r="http://schemas.openxmlformats.org/officeDocument/2006/relationships" r:embed="rId476">
          <a:extLst>
            <a:ext uri="{28A0092B-C50C-407E-A947-70E740481C1C}">
              <a14:useLocalDpi xmlns:a14="http://schemas.microsoft.com/office/drawing/2010/main" val="0"/>
            </a:ext>
          </a:extLst>
        </a:blip>
        <a:srcRect/>
        <a:stretch>
          <a:fillRect/>
        </a:stretch>
      </xdr:blipFill>
      <xdr:spPr bwMode="auto">
        <a:xfrm>
          <a:off x="1228725" y="891959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478</xdr:row>
      <xdr:rowOff>19050</xdr:rowOff>
    </xdr:from>
    <xdr:to>
      <xdr:col>2</xdr:col>
      <xdr:colOff>1733550</xdr:colOff>
      <xdr:row>478</xdr:row>
      <xdr:rowOff>1647825</xdr:rowOff>
    </xdr:to>
    <xdr:pic>
      <xdr:nvPicPr>
        <xdr:cNvPr id="478" name="Picture 477"/>
        <xdr:cNvPicPr>
          <a:picLocks noChangeAspect="1" noChangeArrowheads="1"/>
        </xdr:cNvPicPr>
      </xdr:nvPicPr>
      <xdr:blipFill>
        <a:blip xmlns:r="http://schemas.openxmlformats.org/officeDocument/2006/relationships" r:embed="rId477">
          <a:extLst>
            <a:ext uri="{28A0092B-C50C-407E-A947-70E740481C1C}">
              <a14:useLocalDpi xmlns:a14="http://schemas.microsoft.com/office/drawing/2010/main" val="0"/>
            </a:ext>
          </a:extLst>
        </a:blip>
        <a:srcRect/>
        <a:stretch>
          <a:fillRect/>
        </a:stretch>
      </xdr:blipFill>
      <xdr:spPr bwMode="auto">
        <a:xfrm>
          <a:off x="1228725" y="893873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479</xdr:row>
      <xdr:rowOff>19050</xdr:rowOff>
    </xdr:from>
    <xdr:to>
      <xdr:col>2</xdr:col>
      <xdr:colOff>1733550</xdr:colOff>
      <xdr:row>479</xdr:row>
      <xdr:rowOff>1647825</xdr:rowOff>
    </xdr:to>
    <xdr:pic>
      <xdr:nvPicPr>
        <xdr:cNvPr id="479" name="Picture 478"/>
        <xdr:cNvPicPr>
          <a:picLocks noChangeAspect="1" noChangeArrowheads="1"/>
        </xdr:cNvPicPr>
      </xdr:nvPicPr>
      <xdr:blipFill>
        <a:blip xmlns:r="http://schemas.openxmlformats.org/officeDocument/2006/relationships" r:embed="rId478">
          <a:extLst>
            <a:ext uri="{28A0092B-C50C-407E-A947-70E740481C1C}">
              <a14:useLocalDpi xmlns:a14="http://schemas.microsoft.com/office/drawing/2010/main" val="0"/>
            </a:ext>
          </a:extLst>
        </a:blip>
        <a:srcRect/>
        <a:stretch>
          <a:fillRect/>
        </a:stretch>
      </xdr:blipFill>
      <xdr:spPr bwMode="auto">
        <a:xfrm>
          <a:off x="1228725" y="8957691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480</xdr:row>
      <xdr:rowOff>19050</xdr:rowOff>
    </xdr:from>
    <xdr:to>
      <xdr:col>2</xdr:col>
      <xdr:colOff>1733550</xdr:colOff>
      <xdr:row>480</xdr:row>
      <xdr:rowOff>1647825</xdr:rowOff>
    </xdr:to>
    <xdr:pic>
      <xdr:nvPicPr>
        <xdr:cNvPr id="480" name="Picture 479"/>
        <xdr:cNvPicPr>
          <a:picLocks noChangeAspect="1" noChangeArrowheads="1"/>
        </xdr:cNvPicPr>
      </xdr:nvPicPr>
      <xdr:blipFill>
        <a:blip xmlns:r="http://schemas.openxmlformats.org/officeDocument/2006/relationships" r:embed="rId479">
          <a:extLst>
            <a:ext uri="{28A0092B-C50C-407E-A947-70E740481C1C}">
              <a14:useLocalDpi xmlns:a14="http://schemas.microsoft.com/office/drawing/2010/main" val="0"/>
            </a:ext>
          </a:extLst>
        </a:blip>
        <a:srcRect/>
        <a:stretch>
          <a:fillRect/>
        </a:stretch>
      </xdr:blipFill>
      <xdr:spPr bwMode="auto">
        <a:xfrm>
          <a:off x="1228725" y="8976645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481</xdr:row>
      <xdr:rowOff>19050</xdr:rowOff>
    </xdr:from>
    <xdr:to>
      <xdr:col>2</xdr:col>
      <xdr:colOff>1733550</xdr:colOff>
      <xdr:row>481</xdr:row>
      <xdr:rowOff>1647825</xdr:rowOff>
    </xdr:to>
    <xdr:pic>
      <xdr:nvPicPr>
        <xdr:cNvPr id="481" name="Picture 480"/>
        <xdr:cNvPicPr>
          <a:picLocks noChangeAspect="1" noChangeArrowheads="1"/>
        </xdr:cNvPicPr>
      </xdr:nvPicPr>
      <xdr:blipFill>
        <a:blip xmlns:r="http://schemas.openxmlformats.org/officeDocument/2006/relationships" r:embed="rId480">
          <a:extLst>
            <a:ext uri="{28A0092B-C50C-407E-A947-70E740481C1C}">
              <a14:useLocalDpi xmlns:a14="http://schemas.microsoft.com/office/drawing/2010/main" val="0"/>
            </a:ext>
          </a:extLst>
        </a:blip>
        <a:srcRect/>
        <a:stretch>
          <a:fillRect/>
        </a:stretch>
      </xdr:blipFill>
      <xdr:spPr bwMode="auto">
        <a:xfrm>
          <a:off x="1228725" y="8995600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482</xdr:row>
      <xdr:rowOff>19050</xdr:rowOff>
    </xdr:from>
    <xdr:to>
      <xdr:col>2</xdr:col>
      <xdr:colOff>1733550</xdr:colOff>
      <xdr:row>482</xdr:row>
      <xdr:rowOff>1647825</xdr:rowOff>
    </xdr:to>
    <xdr:pic>
      <xdr:nvPicPr>
        <xdr:cNvPr id="482" name="Picture 481"/>
        <xdr:cNvPicPr>
          <a:picLocks noChangeAspect="1" noChangeArrowheads="1"/>
        </xdr:cNvPicPr>
      </xdr:nvPicPr>
      <xdr:blipFill>
        <a:blip xmlns:r="http://schemas.openxmlformats.org/officeDocument/2006/relationships" r:embed="rId481">
          <a:extLst>
            <a:ext uri="{28A0092B-C50C-407E-A947-70E740481C1C}">
              <a14:useLocalDpi xmlns:a14="http://schemas.microsoft.com/office/drawing/2010/main" val="0"/>
            </a:ext>
          </a:extLst>
        </a:blip>
        <a:srcRect/>
        <a:stretch>
          <a:fillRect/>
        </a:stretch>
      </xdr:blipFill>
      <xdr:spPr bwMode="auto">
        <a:xfrm>
          <a:off x="1228725" y="9014555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483</xdr:row>
      <xdr:rowOff>19050</xdr:rowOff>
    </xdr:from>
    <xdr:to>
      <xdr:col>2</xdr:col>
      <xdr:colOff>1733550</xdr:colOff>
      <xdr:row>483</xdr:row>
      <xdr:rowOff>1647825</xdr:rowOff>
    </xdr:to>
    <xdr:pic>
      <xdr:nvPicPr>
        <xdr:cNvPr id="483" name="Picture 482"/>
        <xdr:cNvPicPr>
          <a:picLocks noChangeAspect="1" noChangeArrowheads="1"/>
        </xdr:cNvPicPr>
      </xdr:nvPicPr>
      <xdr:blipFill>
        <a:blip xmlns:r="http://schemas.openxmlformats.org/officeDocument/2006/relationships" r:embed="rId482">
          <a:extLst>
            <a:ext uri="{28A0092B-C50C-407E-A947-70E740481C1C}">
              <a14:useLocalDpi xmlns:a14="http://schemas.microsoft.com/office/drawing/2010/main" val="0"/>
            </a:ext>
          </a:extLst>
        </a:blip>
        <a:srcRect/>
        <a:stretch>
          <a:fillRect/>
        </a:stretch>
      </xdr:blipFill>
      <xdr:spPr bwMode="auto">
        <a:xfrm>
          <a:off x="1228725" y="903351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484</xdr:row>
      <xdr:rowOff>19050</xdr:rowOff>
    </xdr:from>
    <xdr:to>
      <xdr:col>2</xdr:col>
      <xdr:colOff>1733550</xdr:colOff>
      <xdr:row>484</xdr:row>
      <xdr:rowOff>1647825</xdr:rowOff>
    </xdr:to>
    <xdr:pic>
      <xdr:nvPicPr>
        <xdr:cNvPr id="484" name="Picture 483"/>
        <xdr:cNvPicPr>
          <a:picLocks noChangeAspect="1" noChangeArrowheads="1"/>
        </xdr:cNvPicPr>
      </xdr:nvPicPr>
      <xdr:blipFill>
        <a:blip xmlns:r="http://schemas.openxmlformats.org/officeDocument/2006/relationships" r:embed="rId483">
          <a:extLst>
            <a:ext uri="{28A0092B-C50C-407E-A947-70E740481C1C}">
              <a14:useLocalDpi xmlns:a14="http://schemas.microsoft.com/office/drawing/2010/main" val="0"/>
            </a:ext>
          </a:extLst>
        </a:blip>
        <a:srcRect/>
        <a:stretch>
          <a:fillRect/>
        </a:stretch>
      </xdr:blipFill>
      <xdr:spPr bwMode="auto">
        <a:xfrm>
          <a:off x="1228725" y="9052464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485</xdr:row>
      <xdr:rowOff>19050</xdr:rowOff>
    </xdr:from>
    <xdr:to>
      <xdr:col>2</xdr:col>
      <xdr:colOff>1733550</xdr:colOff>
      <xdr:row>485</xdr:row>
      <xdr:rowOff>1647825</xdr:rowOff>
    </xdr:to>
    <xdr:pic>
      <xdr:nvPicPr>
        <xdr:cNvPr id="485" name="Picture 484"/>
        <xdr:cNvPicPr>
          <a:picLocks noChangeAspect="1" noChangeArrowheads="1"/>
        </xdr:cNvPicPr>
      </xdr:nvPicPr>
      <xdr:blipFill>
        <a:blip xmlns:r="http://schemas.openxmlformats.org/officeDocument/2006/relationships" r:embed="rId484">
          <a:extLst>
            <a:ext uri="{28A0092B-C50C-407E-A947-70E740481C1C}">
              <a14:useLocalDpi xmlns:a14="http://schemas.microsoft.com/office/drawing/2010/main" val="0"/>
            </a:ext>
          </a:extLst>
        </a:blip>
        <a:srcRect/>
        <a:stretch>
          <a:fillRect/>
        </a:stretch>
      </xdr:blipFill>
      <xdr:spPr bwMode="auto">
        <a:xfrm>
          <a:off x="1228725" y="9071419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486</xdr:row>
      <xdr:rowOff>19050</xdr:rowOff>
    </xdr:from>
    <xdr:to>
      <xdr:col>2</xdr:col>
      <xdr:colOff>1733550</xdr:colOff>
      <xdr:row>486</xdr:row>
      <xdr:rowOff>1647825</xdr:rowOff>
    </xdr:to>
    <xdr:pic>
      <xdr:nvPicPr>
        <xdr:cNvPr id="486" name="Picture 485"/>
        <xdr:cNvPicPr>
          <a:picLocks noChangeAspect="1" noChangeArrowheads="1"/>
        </xdr:cNvPicPr>
      </xdr:nvPicPr>
      <xdr:blipFill>
        <a:blip xmlns:r="http://schemas.openxmlformats.org/officeDocument/2006/relationships" r:embed="rId485">
          <a:extLst>
            <a:ext uri="{28A0092B-C50C-407E-A947-70E740481C1C}">
              <a14:useLocalDpi xmlns:a14="http://schemas.microsoft.com/office/drawing/2010/main" val="0"/>
            </a:ext>
          </a:extLst>
        </a:blip>
        <a:srcRect/>
        <a:stretch>
          <a:fillRect/>
        </a:stretch>
      </xdr:blipFill>
      <xdr:spPr bwMode="auto">
        <a:xfrm>
          <a:off x="1228725" y="909037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487</xdr:row>
      <xdr:rowOff>19050</xdr:rowOff>
    </xdr:from>
    <xdr:to>
      <xdr:col>2</xdr:col>
      <xdr:colOff>1733550</xdr:colOff>
      <xdr:row>487</xdr:row>
      <xdr:rowOff>1666875</xdr:rowOff>
    </xdr:to>
    <xdr:pic>
      <xdr:nvPicPr>
        <xdr:cNvPr id="487" name="Picture 486"/>
        <xdr:cNvPicPr>
          <a:picLocks noChangeAspect="1" noChangeArrowheads="1"/>
        </xdr:cNvPicPr>
      </xdr:nvPicPr>
      <xdr:blipFill>
        <a:blip xmlns:r="http://schemas.openxmlformats.org/officeDocument/2006/relationships" r:embed="rId486">
          <a:extLst>
            <a:ext uri="{28A0092B-C50C-407E-A947-70E740481C1C}">
              <a14:useLocalDpi xmlns:a14="http://schemas.microsoft.com/office/drawing/2010/main" val="0"/>
            </a:ext>
          </a:extLst>
        </a:blip>
        <a:srcRect/>
        <a:stretch>
          <a:fillRect/>
        </a:stretch>
      </xdr:blipFill>
      <xdr:spPr bwMode="auto">
        <a:xfrm>
          <a:off x="1228725" y="91093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488</xdr:row>
      <xdr:rowOff>19050</xdr:rowOff>
    </xdr:from>
    <xdr:to>
      <xdr:col>2</xdr:col>
      <xdr:colOff>1733550</xdr:colOff>
      <xdr:row>488</xdr:row>
      <xdr:rowOff>1647825</xdr:rowOff>
    </xdr:to>
    <xdr:pic>
      <xdr:nvPicPr>
        <xdr:cNvPr id="488" name="Picture 487"/>
        <xdr:cNvPicPr>
          <a:picLocks noChangeAspect="1" noChangeArrowheads="1"/>
        </xdr:cNvPicPr>
      </xdr:nvPicPr>
      <xdr:blipFill>
        <a:blip xmlns:r="http://schemas.openxmlformats.org/officeDocument/2006/relationships" r:embed="rId487">
          <a:extLst>
            <a:ext uri="{28A0092B-C50C-407E-A947-70E740481C1C}">
              <a14:useLocalDpi xmlns:a14="http://schemas.microsoft.com/office/drawing/2010/main" val="0"/>
            </a:ext>
          </a:extLst>
        </a:blip>
        <a:srcRect/>
        <a:stretch>
          <a:fillRect/>
        </a:stretch>
      </xdr:blipFill>
      <xdr:spPr bwMode="auto">
        <a:xfrm>
          <a:off x="1228725" y="912847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489</xdr:row>
      <xdr:rowOff>19050</xdr:rowOff>
    </xdr:from>
    <xdr:to>
      <xdr:col>2</xdr:col>
      <xdr:colOff>1733550</xdr:colOff>
      <xdr:row>489</xdr:row>
      <xdr:rowOff>1666875</xdr:rowOff>
    </xdr:to>
    <xdr:pic>
      <xdr:nvPicPr>
        <xdr:cNvPr id="489" name="Picture 488"/>
        <xdr:cNvPicPr>
          <a:picLocks noChangeAspect="1" noChangeArrowheads="1"/>
        </xdr:cNvPicPr>
      </xdr:nvPicPr>
      <xdr:blipFill>
        <a:blip xmlns:r="http://schemas.openxmlformats.org/officeDocument/2006/relationships" r:embed="rId488">
          <a:extLst>
            <a:ext uri="{28A0092B-C50C-407E-A947-70E740481C1C}">
              <a14:useLocalDpi xmlns:a14="http://schemas.microsoft.com/office/drawing/2010/main" val="0"/>
            </a:ext>
          </a:extLst>
        </a:blip>
        <a:srcRect/>
        <a:stretch>
          <a:fillRect/>
        </a:stretch>
      </xdr:blipFill>
      <xdr:spPr bwMode="auto">
        <a:xfrm>
          <a:off x="1228725" y="91474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490</xdr:row>
      <xdr:rowOff>19050</xdr:rowOff>
    </xdr:from>
    <xdr:to>
      <xdr:col>2</xdr:col>
      <xdr:colOff>1733550</xdr:colOff>
      <xdr:row>490</xdr:row>
      <xdr:rowOff>1647825</xdr:rowOff>
    </xdr:to>
    <xdr:pic>
      <xdr:nvPicPr>
        <xdr:cNvPr id="490" name="Picture 489"/>
        <xdr:cNvPicPr>
          <a:picLocks noChangeAspect="1" noChangeArrowheads="1"/>
        </xdr:cNvPicPr>
      </xdr:nvPicPr>
      <xdr:blipFill>
        <a:blip xmlns:r="http://schemas.openxmlformats.org/officeDocument/2006/relationships" r:embed="rId489">
          <a:extLst>
            <a:ext uri="{28A0092B-C50C-407E-A947-70E740481C1C}">
              <a14:useLocalDpi xmlns:a14="http://schemas.microsoft.com/office/drawing/2010/main" val="0"/>
            </a:ext>
          </a:extLst>
        </a:blip>
        <a:srcRect/>
        <a:stretch>
          <a:fillRect/>
        </a:stretch>
      </xdr:blipFill>
      <xdr:spPr bwMode="auto">
        <a:xfrm>
          <a:off x="1228725" y="916657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491</xdr:row>
      <xdr:rowOff>19050</xdr:rowOff>
    </xdr:from>
    <xdr:to>
      <xdr:col>2</xdr:col>
      <xdr:colOff>1733550</xdr:colOff>
      <xdr:row>491</xdr:row>
      <xdr:rowOff>1666875</xdr:rowOff>
    </xdr:to>
    <xdr:pic>
      <xdr:nvPicPr>
        <xdr:cNvPr id="491" name="Picture 490"/>
        <xdr:cNvPicPr>
          <a:picLocks noChangeAspect="1" noChangeArrowheads="1"/>
        </xdr:cNvPicPr>
      </xdr:nvPicPr>
      <xdr:blipFill>
        <a:blip xmlns:r="http://schemas.openxmlformats.org/officeDocument/2006/relationships" r:embed="rId490">
          <a:extLst>
            <a:ext uri="{28A0092B-C50C-407E-A947-70E740481C1C}">
              <a14:useLocalDpi xmlns:a14="http://schemas.microsoft.com/office/drawing/2010/main" val="0"/>
            </a:ext>
          </a:extLst>
        </a:blip>
        <a:srcRect/>
        <a:stretch>
          <a:fillRect/>
        </a:stretch>
      </xdr:blipFill>
      <xdr:spPr bwMode="auto">
        <a:xfrm>
          <a:off x="1228725" y="91855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492</xdr:row>
      <xdr:rowOff>19050</xdr:rowOff>
    </xdr:from>
    <xdr:to>
      <xdr:col>2</xdr:col>
      <xdr:colOff>1733550</xdr:colOff>
      <xdr:row>492</xdr:row>
      <xdr:rowOff>1647825</xdr:rowOff>
    </xdr:to>
    <xdr:pic>
      <xdr:nvPicPr>
        <xdr:cNvPr id="492" name="Picture 491"/>
        <xdr:cNvPicPr>
          <a:picLocks noChangeAspect="1" noChangeArrowheads="1"/>
        </xdr:cNvPicPr>
      </xdr:nvPicPr>
      <xdr:blipFill>
        <a:blip xmlns:r="http://schemas.openxmlformats.org/officeDocument/2006/relationships" r:embed="rId491">
          <a:extLst>
            <a:ext uri="{28A0092B-C50C-407E-A947-70E740481C1C}">
              <a14:useLocalDpi xmlns:a14="http://schemas.microsoft.com/office/drawing/2010/main" val="0"/>
            </a:ext>
          </a:extLst>
        </a:blip>
        <a:srcRect/>
        <a:stretch>
          <a:fillRect/>
        </a:stretch>
      </xdr:blipFill>
      <xdr:spPr bwMode="auto">
        <a:xfrm>
          <a:off x="1228725" y="920467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493</xdr:row>
      <xdr:rowOff>19050</xdr:rowOff>
    </xdr:from>
    <xdr:to>
      <xdr:col>2</xdr:col>
      <xdr:colOff>1733550</xdr:colOff>
      <xdr:row>493</xdr:row>
      <xdr:rowOff>1666875</xdr:rowOff>
    </xdr:to>
    <xdr:pic>
      <xdr:nvPicPr>
        <xdr:cNvPr id="493" name="Picture 492"/>
        <xdr:cNvPicPr>
          <a:picLocks noChangeAspect="1" noChangeArrowheads="1"/>
        </xdr:cNvPicPr>
      </xdr:nvPicPr>
      <xdr:blipFill>
        <a:blip xmlns:r="http://schemas.openxmlformats.org/officeDocument/2006/relationships" r:embed="rId492">
          <a:extLst>
            <a:ext uri="{28A0092B-C50C-407E-A947-70E740481C1C}">
              <a14:useLocalDpi xmlns:a14="http://schemas.microsoft.com/office/drawing/2010/main" val="0"/>
            </a:ext>
          </a:extLst>
        </a:blip>
        <a:srcRect/>
        <a:stretch>
          <a:fillRect/>
        </a:stretch>
      </xdr:blipFill>
      <xdr:spPr bwMode="auto">
        <a:xfrm>
          <a:off x="1228725" y="92236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494</xdr:row>
      <xdr:rowOff>19050</xdr:rowOff>
    </xdr:from>
    <xdr:to>
      <xdr:col>2</xdr:col>
      <xdr:colOff>1733550</xdr:colOff>
      <xdr:row>494</xdr:row>
      <xdr:rowOff>1647825</xdr:rowOff>
    </xdr:to>
    <xdr:pic>
      <xdr:nvPicPr>
        <xdr:cNvPr id="494" name="Picture 493"/>
        <xdr:cNvPicPr>
          <a:picLocks noChangeAspect="1" noChangeArrowheads="1"/>
        </xdr:cNvPicPr>
      </xdr:nvPicPr>
      <xdr:blipFill>
        <a:blip xmlns:r="http://schemas.openxmlformats.org/officeDocument/2006/relationships" r:embed="rId493">
          <a:extLst>
            <a:ext uri="{28A0092B-C50C-407E-A947-70E740481C1C}">
              <a14:useLocalDpi xmlns:a14="http://schemas.microsoft.com/office/drawing/2010/main" val="0"/>
            </a:ext>
          </a:extLst>
        </a:blip>
        <a:srcRect/>
        <a:stretch>
          <a:fillRect/>
        </a:stretch>
      </xdr:blipFill>
      <xdr:spPr bwMode="auto">
        <a:xfrm>
          <a:off x="1228725" y="924277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495</xdr:row>
      <xdr:rowOff>19050</xdr:rowOff>
    </xdr:from>
    <xdr:to>
      <xdr:col>2</xdr:col>
      <xdr:colOff>1733550</xdr:colOff>
      <xdr:row>495</xdr:row>
      <xdr:rowOff>1666875</xdr:rowOff>
    </xdr:to>
    <xdr:pic>
      <xdr:nvPicPr>
        <xdr:cNvPr id="495" name="Picture 494"/>
        <xdr:cNvPicPr>
          <a:picLocks noChangeAspect="1" noChangeArrowheads="1"/>
        </xdr:cNvPicPr>
      </xdr:nvPicPr>
      <xdr:blipFill>
        <a:blip xmlns:r="http://schemas.openxmlformats.org/officeDocument/2006/relationships" r:embed="rId494">
          <a:extLst>
            <a:ext uri="{28A0092B-C50C-407E-A947-70E740481C1C}">
              <a14:useLocalDpi xmlns:a14="http://schemas.microsoft.com/office/drawing/2010/main" val="0"/>
            </a:ext>
          </a:extLst>
        </a:blip>
        <a:srcRect/>
        <a:stretch>
          <a:fillRect/>
        </a:stretch>
      </xdr:blipFill>
      <xdr:spPr bwMode="auto">
        <a:xfrm>
          <a:off x="1228725" y="92617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496</xdr:row>
      <xdr:rowOff>19050</xdr:rowOff>
    </xdr:from>
    <xdr:to>
      <xdr:col>2</xdr:col>
      <xdr:colOff>1733550</xdr:colOff>
      <xdr:row>496</xdr:row>
      <xdr:rowOff>1666875</xdr:rowOff>
    </xdr:to>
    <xdr:pic>
      <xdr:nvPicPr>
        <xdr:cNvPr id="496" name="Picture 495"/>
        <xdr:cNvPicPr>
          <a:picLocks noChangeAspect="1" noChangeArrowheads="1"/>
        </xdr:cNvPicPr>
      </xdr:nvPicPr>
      <xdr:blipFill>
        <a:blip xmlns:r="http://schemas.openxmlformats.org/officeDocument/2006/relationships" r:embed="rId495">
          <a:extLst>
            <a:ext uri="{28A0092B-C50C-407E-A947-70E740481C1C}">
              <a14:useLocalDpi xmlns:a14="http://schemas.microsoft.com/office/drawing/2010/main" val="0"/>
            </a:ext>
          </a:extLst>
        </a:blip>
        <a:srcRect/>
        <a:stretch>
          <a:fillRect/>
        </a:stretch>
      </xdr:blipFill>
      <xdr:spPr bwMode="auto">
        <a:xfrm>
          <a:off x="1228725" y="92808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497</xdr:row>
      <xdr:rowOff>19050</xdr:rowOff>
    </xdr:from>
    <xdr:to>
      <xdr:col>2</xdr:col>
      <xdr:colOff>1733550</xdr:colOff>
      <xdr:row>497</xdr:row>
      <xdr:rowOff>1647825</xdr:rowOff>
    </xdr:to>
    <xdr:pic>
      <xdr:nvPicPr>
        <xdr:cNvPr id="497" name="Picture 496"/>
        <xdr:cNvPicPr>
          <a:picLocks noChangeAspect="1" noChangeArrowheads="1"/>
        </xdr:cNvPicPr>
      </xdr:nvPicPr>
      <xdr:blipFill>
        <a:blip xmlns:r="http://schemas.openxmlformats.org/officeDocument/2006/relationships" r:embed="rId496">
          <a:extLst>
            <a:ext uri="{28A0092B-C50C-407E-A947-70E740481C1C}">
              <a14:useLocalDpi xmlns:a14="http://schemas.microsoft.com/office/drawing/2010/main" val="0"/>
            </a:ext>
          </a:extLst>
        </a:blip>
        <a:srcRect/>
        <a:stretch>
          <a:fillRect/>
        </a:stretch>
      </xdr:blipFill>
      <xdr:spPr bwMode="auto">
        <a:xfrm>
          <a:off x="1228725" y="9300019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498</xdr:row>
      <xdr:rowOff>19050</xdr:rowOff>
    </xdr:from>
    <xdr:to>
      <xdr:col>2</xdr:col>
      <xdr:colOff>1733550</xdr:colOff>
      <xdr:row>498</xdr:row>
      <xdr:rowOff>1685925</xdr:rowOff>
    </xdr:to>
    <xdr:pic>
      <xdr:nvPicPr>
        <xdr:cNvPr id="498" name="Picture 497"/>
        <xdr:cNvPicPr>
          <a:picLocks noChangeAspect="1" noChangeArrowheads="1"/>
        </xdr:cNvPicPr>
      </xdr:nvPicPr>
      <xdr:blipFill>
        <a:blip xmlns:r="http://schemas.openxmlformats.org/officeDocument/2006/relationships" r:embed="rId497">
          <a:extLst>
            <a:ext uri="{28A0092B-C50C-407E-A947-70E740481C1C}">
              <a14:useLocalDpi xmlns:a14="http://schemas.microsoft.com/office/drawing/2010/main" val="0"/>
            </a:ext>
          </a:extLst>
        </a:blip>
        <a:srcRect/>
        <a:stretch>
          <a:fillRect/>
        </a:stretch>
      </xdr:blipFill>
      <xdr:spPr bwMode="auto">
        <a:xfrm>
          <a:off x="1228725" y="9318974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499</xdr:row>
      <xdr:rowOff>19050</xdr:rowOff>
    </xdr:from>
    <xdr:to>
      <xdr:col>2</xdr:col>
      <xdr:colOff>1733550</xdr:colOff>
      <xdr:row>499</xdr:row>
      <xdr:rowOff>1647825</xdr:rowOff>
    </xdr:to>
    <xdr:pic>
      <xdr:nvPicPr>
        <xdr:cNvPr id="499" name="Picture 498"/>
        <xdr:cNvPicPr>
          <a:picLocks noChangeAspect="1" noChangeArrowheads="1"/>
        </xdr:cNvPicPr>
      </xdr:nvPicPr>
      <xdr:blipFill>
        <a:blip xmlns:r="http://schemas.openxmlformats.org/officeDocument/2006/relationships" r:embed="rId498">
          <a:extLst>
            <a:ext uri="{28A0092B-C50C-407E-A947-70E740481C1C}">
              <a14:useLocalDpi xmlns:a14="http://schemas.microsoft.com/office/drawing/2010/main" val="0"/>
            </a:ext>
          </a:extLst>
        </a:blip>
        <a:srcRect/>
        <a:stretch>
          <a:fillRect/>
        </a:stretch>
      </xdr:blipFill>
      <xdr:spPr bwMode="auto">
        <a:xfrm>
          <a:off x="1228725" y="9338405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500</xdr:row>
      <xdr:rowOff>19050</xdr:rowOff>
    </xdr:from>
    <xdr:to>
      <xdr:col>2</xdr:col>
      <xdr:colOff>1733550</xdr:colOff>
      <xdr:row>500</xdr:row>
      <xdr:rowOff>1647825</xdr:rowOff>
    </xdr:to>
    <xdr:pic>
      <xdr:nvPicPr>
        <xdr:cNvPr id="500" name="Picture 499"/>
        <xdr:cNvPicPr>
          <a:picLocks noChangeAspect="1" noChangeArrowheads="1"/>
        </xdr:cNvPicPr>
      </xdr:nvPicPr>
      <xdr:blipFill>
        <a:blip xmlns:r="http://schemas.openxmlformats.org/officeDocument/2006/relationships" r:embed="rId499">
          <a:extLst>
            <a:ext uri="{28A0092B-C50C-407E-A947-70E740481C1C}">
              <a14:useLocalDpi xmlns:a14="http://schemas.microsoft.com/office/drawing/2010/main" val="0"/>
            </a:ext>
          </a:extLst>
        </a:blip>
        <a:srcRect/>
        <a:stretch>
          <a:fillRect/>
        </a:stretch>
      </xdr:blipFill>
      <xdr:spPr bwMode="auto">
        <a:xfrm>
          <a:off x="1228725" y="935736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501</xdr:row>
      <xdr:rowOff>19050</xdr:rowOff>
    </xdr:from>
    <xdr:to>
      <xdr:col>2</xdr:col>
      <xdr:colOff>1733550</xdr:colOff>
      <xdr:row>501</xdr:row>
      <xdr:rowOff>1647825</xdr:rowOff>
    </xdr:to>
    <xdr:pic>
      <xdr:nvPicPr>
        <xdr:cNvPr id="501" name="Picture 500"/>
        <xdr:cNvPicPr>
          <a:picLocks noChangeAspect="1" noChangeArrowheads="1"/>
        </xdr:cNvPicPr>
      </xdr:nvPicPr>
      <xdr:blipFill>
        <a:blip xmlns:r="http://schemas.openxmlformats.org/officeDocument/2006/relationships" r:embed="rId500">
          <a:extLst>
            <a:ext uri="{28A0092B-C50C-407E-A947-70E740481C1C}">
              <a14:useLocalDpi xmlns:a14="http://schemas.microsoft.com/office/drawing/2010/main" val="0"/>
            </a:ext>
          </a:extLst>
        </a:blip>
        <a:srcRect/>
        <a:stretch>
          <a:fillRect/>
        </a:stretch>
      </xdr:blipFill>
      <xdr:spPr bwMode="auto">
        <a:xfrm>
          <a:off x="1228725" y="9376314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502</xdr:row>
      <xdr:rowOff>19050</xdr:rowOff>
    </xdr:from>
    <xdr:to>
      <xdr:col>2</xdr:col>
      <xdr:colOff>1733550</xdr:colOff>
      <xdr:row>502</xdr:row>
      <xdr:rowOff>1647825</xdr:rowOff>
    </xdr:to>
    <xdr:pic>
      <xdr:nvPicPr>
        <xdr:cNvPr id="502" name="Picture 501"/>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1228725" y="9395269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503</xdr:row>
      <xdr:rowOff>19050</xdr:rowOff>
    </xdr:from>
    <xdr:to>
      <xdr:col>2</xdr:col>
      <xdr:colOff>1733550</xdr:colOff>
      <xdr:row>503</xdr:row>
      <xdr:rowOff>1666875</xdr:rowOff>
    </xdr:to>
    <xdr:pic>
      <xdr:nvPicPr>
        <xdr:cNvPr id="503" name="Picture 502"/>
        <xdr:cNvPicPr>
          <a:picLocks noChangeAspect="1" noChangeArrowheads="1"/>
        </xdr:cNvPicPr>
      </xdr:nvPicPr>
      <xdr:blipFill>
        <a:blip xmlns:r="http://schemas.openxmlformats.org/officeDocument/2006/relationships" r:embed="rId502">
          <a:extLst>
            <a:ext uri="{28A0092B-C50C-407E-A947-70E740481C1C}">
              <a14:useLocalDpi xmlns:a14="http://schemas.microsoft.com/office/drawing/2010/main" val="0"/>
            </a:ext>
          </a:extLst>
        </a:blip>
        <a:srcRect/>
        <a:stretch>
          <a:fillRect/>
        </a:stretch>
      </xdr:blipFill>
      <xdr:spPr bwMode="auto">
        <a:xfrm>
          <a:off x="1228725" y="941422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504</xdr:row>
      <xdr:rowOff>19050</xdr:rowOff>
    </xdr:from>
    <xdr:to>
      <xdr:col>2</xdr:col>
      <xdr:colOff>1733550</xdr:colOff>
      <xdr:row>504</xdr:row>
      <xdr:rowOff>1666875</xdr:rowOff>
    </xdr:to>
    <xdr:pic>
      <xdr:nvPicPr>
        <xdr:cNvPr id="504" name="Picture 503"/>
        <xdr:cNvPicPr>
          <a:picLocks noChangeAspect="1" noChangeArrowheads="1"/>
        </xdr:cNvPicPr>
      </xdr:nvPicPr>
      <xdr:blipFill>
        <a:blip xmlns:r="http://schemas.openxmlformats.org/officeDocument/2006/relationships" r:embed="rId503">
          <a:extLst>
            <a:ext uri="{28A0092B-C50C-407E-A947-70E740481C1C}">
              <a14:useLocalDpi xmlns:a14="http://schemas.microsoft.com/office/drawing/2010/main" val="0"/>
            </a:ext>
          </a:extLst>
        </a:blip>
        <a:srcRect/>
        <a:stretch>
          <a:fillRect/>
        </a:stretch>
      </xdr:blipFill>
      <xdr:spPr bwMode="auto">
        <a:xfrm>
          <a:off x="1228725" y="94333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505</xdr:row>
      <xdr:rowOff>19050</xdr:rowOff>
    </xdr:from>
    <xdr:to>
      <xdr:col>2</xdr:col>
      <xdr:colOff>1733550</xdr:colOff>
      <xdr:row>505</xdr:row>
      <xdr:rowOff>1647825</xdr:rowOff>
    </xdr:to>
    <xdr:pic>
      <xdr:nvPicPr>
        <xdr:cNvPr id="505" name="Picture 504"/>
        <xdr:cNvPicPr>
          <a:picLocks noChangeAspect="1" noChangeArrowheads="1"/>
        </xdr:cNvPicPr>
      </xdr:nvPicPr>
      <xdr:blipFill>
        <a:blip xmlns:r="http://schemas.openxmlformats.org/officeDocument/2006/relationships" r:embed="rId504">
          <a:extLst>
            <a:ext uri="{28A0092B-C50C-407E-A947-70E740481C1C}">
              <a14:useLocalDpi xmlns:a14="http://schemas.microsoft.com/office/drawing/2010/main" val="0"/>
            </a:ext>
          </a:extLst>
        </a:blip>
        <a:srcRect/>
        <a:stretch>
          <a:fillRect/>
        </a:stretch>
      </xdr:blipFill>
      <xdr:spPr bwMode="auto">
        <a:xfrm>
          <a:off x="1228725" y="9452514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506</xdr:row>
      <xdr:rowOff>19050</xdr:rowOff>
    </xdr:from>
    <xdr:to>
      <xdr:col>2</xdr:col>
      <xdr:colOff>1733550</xdr:colOff>
      <xdr:row>506</xdr:row>
      <xdr:rowOff>1666875</xdr:rowOff>
    </xdr:to>
    <xdr:pic>
      <xdr:nvPicPr>
        <xdr:cNvPr id="506" name="Picture 505"/>
        <xdr:cNvPicPr>
          <a:picLocks noChangeAspect="1" noChangeArrowheads="1"/>
        </xdr:cNvPicPr>
      </xdr:nvPicPr>
      <xdr:blipFill>
        <a:blip xmlns:r="http://schemas.openxmlformats.org/officeDocument/2006/relationships" r:embed="rId505">
          <a:extLst>
            <a:ext uri="{28A0092B-C50C-407E-A947-70E740481C1C}">
              <a14:useLocalDpi xmlns:a14="http://schemas.microsoft.com/office/drawing/2010/main" val="0"/>
            </a:ext>
          </a:extLst>
        </a:blip>
        <a:srcRect/>
        <a:stretch>
          <a:fillRect/>
        </a:stretch>
      </xdr:blipFill>
      <xdr:spPr bwMode="auto">
        <a:xfrm>
          <a:off x="1228725" y="94714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507</xdr:row>
      <xdr:rowOff>19050</xdr:rowOff>
    </xdr:from>
    <xdr:to>
      <xdr:col>2</xdr:col>
      <xdr:colOff>1733550</xdr:colOff>
      <xdr:row>507</xdr:row>
      <xdr:rowOff>1666875</xdr:rowOff>
    </xdr:to>
    <xdr:pic>
      <xdr:nvPicPr>
        <xdr:cNvPr id="507" name="Picture 506"/>
        <xdr:cNvPicPr>
          <a:picLocks noChangeAspect="1" noChangeArrowheads="1"/>
        </xdr:cNvPicPr>
      </xdr:nvPicPr>
      <xdr:blipFill>
        <a:blip xmlns:r="http://schemas.openxmlformats.org/officeDocument/2006/relationships" r:embed="rId506">
          <a:extLst>
            <a:ext uri="{28A0092B-C50C-407E-A947-70E740481C1C}">
              <a14:useLocalDpi xmlns:a14="http://schemas.microsoft.com/office/drawing/2010/main" val="0"/>
            </a:ext>
          </a:extLst>
        </a:blip>
        <a:srcRect/>
        <a:stretch>
          <a:fillRect/>
        </a:stretch>
      </xdr:blipFill>
      <xdr:spPr bwMode="auto">
        <a:xfrm>
          <a:off x="1228725" y="94906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508</xdr:row>
      <xdr:rowOff>19050</xdr:rowOff>
    </xdr:from>
    <xdr:to>
      <xdr:col>2</xdr:col>
      <xdr:colOff>1733550</xdr:colOff>
      <xdr:row>508</xdr:row>
      <xdr:rowOff>1666875</xdr:rowOff>
    </xdr:to>
    <xdr:pic>
      <xdr:nvPicPr>
        <xdr:cNvPr id="508" name="Picture 507"/>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val="0"/>
            </a:ext>
          </a:extLst>
        </a:blip>
        <a:srcRect/>
        <a:stretch>
          <a:fillRect/>
        </a:stretch>
      </xdr:blipFill>
      <xdr:spPr bwMode="auto">
        <a:xfrm>
          <a:off x="1228725" y="950976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509</xdr:row>
      <xdr:rowOff>19050</xdr:rowOff>
    </xdr:from>
    <xdr:to>
      <xdr:col>2</xdr:col>
      <xdr:colOff>1733550</xdr:colOff>
      <xdr:row>509</xdr:row>
      <xdr:rowOff>1647825</xdr:rowOff>
    </xdr:to>
    <xdr:pic>
      <xdr:nvPicPr>
        <xdr:cNvPr id="509" name="Picture 508"/>
        <xdr:cNvPicPr>
          <a:picLocks noChangeAspect="1" noChangeArrowheads="1"/>
        </xdr:cNvPicPr>
      </xdr:nvPicPr>
      <xdr:blipFill>
        <a:blip xmlns:r="http://schemas.openxmlformats.org/officeDocument/2006/relationships" r:embed="rId508">
          <a:extLst>
            <a:ext uri="{28A0092B-C50C-407E-A947-70E740481C1C}">
              <a14:useLocalDpi xmlns:a14="http://schemas.microsoft.com/office/drawing/2010/main" val="0"/>
            </a:ext>
          </a:extLst>
        </a:blip>
        <a:srcRect/>
        <a:stretch>
          <a:fillRect/>
        </a:stretch>
      </xdr:blipFill>
      <xdr:spPr bwMode="auto">
        <a:xfrm>
          <a:off x="1228725" y="9528905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510</xdr:row>
      <xdr:rowOff>19050</xdr:rowOff>
    </xdr:from>
    <xdr:to>
      <xdr:col>2</xdr:col>
      <xdr:colOff>1733550</xdr:colOff>
      <xdr:row>510</xdr:row>
      <xdr:rowOff>1647825</xdr:rowOff>
    </xdr:to>
    <xdr:pic>
      <xdr:nvPicPr>
        <xdr:cNvPr id="510" name="Picture 509"/>
        <xdr:cNvPicPr>
          <a:picLocks noChangeAspect="1" noChangeArrowheads="1"/>
        </xdr:cNvPicPr>
      </xdr:nvPicPr>
      <xdr:blipFill>
        <a:blip xmlns:r="http://schemas.openxmlformats.org/officeDocument/2006/relationships" r:embed="rId509">
          <a:extLst>
            <a:ext uri="{28A0092B-C50C-407E-A947-70E740481C1C}">
              <a14:useLocalDpi xmlns:a14="http://schemas.microsoft.com/office/drawing/2010/main" val="0"/>
            </a:ext>
          </a:extLst>
        </a:blip>
        <a:srcRect/>
        <a:stretch>
          <a:fillRect/>
        </a:stretch>
      </xdr:blipFill>
      <xdr:spPr bwMode="auto">
        <a:xfrm>
          <a:off x="1228725" y="954786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511</xdr:row>
      <xdr:rowOff>19050</xdr:rowOff>
    </xdr:from>
    <xdr:to>
      <xdr:col>2</xdr:col>
      <xdr:colOff>1733550</xdr:colOff>
      <xdr:row>511</xdr:row>
      <xdr:rowOff>1647825</xdr:rowOff>
    </xdr:to>
    <xdr:pic>
      <xdr:nvPicPr>
        <xdr:cNvPr id="511" name="Picture 510"/>
        <xdr:cNvPicPr>
          <a:picLocks noChangeAspect="1" noChangeArrowheads="1"/>
        </xdr:cNvPicPr>
      </xdr:nvPicPr>
      <xdr:blipFill>
        <a:blip xmlns:r="http://schemas.openxmlformats.org/officeDocument/2006/relationships" r:embed="rId510">
          <a:extLst>
            <a:ext uri="{28A0092B-C50C-407E-A947-70E740481C1C}">
              <a14:useLocalDpi xmlns:a14="http://schemas.microsoft.com/office/drawing/2010/main" val="0"/>
            </a:ext>
          </a:extLst>
        </a:blip>
        <a:srcRect/>
        <a:stretch>
          <a:fillRect/>
        </a:stretch>
      </xdr:blipFill>
      <xdr:spPr bwMode="auto">
        <a:xfrm>
          <a:off x="1228725" y="9566814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512</xdr:row>
      <xdr:rowOff>19050</xdr:rowOff>
    </xdr:from>
    <xdr:to>
      <xdr:col>2</xdr:col>
      <xdr:colOff>1733550</xdr:colOff>
      <xdr:row>512</xdr:row>
      <xdr:rowOff>1666875</xdr:rowOff>
    </xdr:to>
    <xdr:pic>
      <xdr:nvPicPr>
        <xdr:cNvPr id="512" name="Picture 511"/>
        <xdr:cNvPicPr>
          <a:picLocks noChangeAspect="1" noChangeArrowheads="1"/>
        </xdr:cNvPicPr>
      </xdr:nvPicPr>
      <xdr:blipFill>
        <a:blip xmlns:r="http://schemas.openxmlformats.org/officeDocument/2006/relationships" r:embed="rId511">
          <a:extLst>
            <a:ext uri="{28A0092B-C50C-407E-A947-70E740481C1C}">
              <a14:useLocalDpi xmlns:a14="http://schemas.microsoft.com/office/drawing/2010/main" val="0"/>
            </a:ext>
          </a:extLst>
        </a:blip>
        <a:srcRect/>
        <a:stretch>
          <a:fillRect/>
        </a:stretch>
      </xdr:blipFill>
      <xdr:spPr bwMode="auto">
        <a:xfrm>
          <a:off x="1228725" y="95857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513</xdr:row>
      <xdr:rowOff>19050</xdr:rowOff>
    </xdr:from>
    <xdr:to>
      <xdr:col>2</xdr:col>
      <xdr:colOff>1733550</xdr:colOff>
      <xdr:row>513</xdr:row>
      <xdr:rowOff>1666875</xdr:rowOff>
    </xdr:to>
    <xdr:pic>
      <xdr:nvPicPr>
        <xdr:cNvPr id="513" name="Picture 512"/>
        <xdr:cNvPicPr>
          <a:picLocks noChangeAspect="1" noChangeArrowheads="1"/>
        </xdr:cNvPicPr>
      </xdr:nvPicPr>
      <xdr:blipFill>
        <a:blip xmlns:r="http://schemas.openxmlformats.org/officeDocument/2006/relationships" r:embed="rId512">
          <a:extLst>
            <a:ext uri="{28A0092B-C50C-407E-A947-70E740481C1C}">
              <a14:useLocalDpi xmlns:a14="http://schemas.microsoft.com/office/drawing/2010/main" val="0"/>
            </a:ext>
          </a:extLst>
        </a:blip>
        <a:srcRect/>
        <a:stretch>
          <a:fillRect/>
        </a:stretch>
      </xdr:blipFill>
      <xdr:spPr bwMode="auto">
        <a:xfrm>
          <a:off x="1228725" y="96049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514</xdr:row>
      <xdr:rowOff>19050</xdr:rowOff>
    </xdr:from>
    <xdr:to>
      <xdr:col>2</xdr:col>
      <xdr:colOff>1733550</xdr:colOff>
      <xdr:row>514</xdr:row>
      <xdr:rowOff>1647825</xdr:rowOff>
    </xdr:to>
    <xdr:pic>
      <xdr:nvPicPr>
        <xdr:cNvPr id="514" name="Picture 513"/>
        <xdr:cNvPicPr>
          <a:picLocks noChangeAspect="1" noChangeArrowheads="1"/>
        </xdr:cNvPicPr>
      </xdr:nvPicPr>
      <xdr:blipFill>
        <a:blip xmlns:r="http://schemas.openxmlformats.org/officeDocument/2006/relationships" r:embed="rId513">
          <a:extLst>
            <a:ext uri="{28A0092B-C50C-407E-A947-70E740481C1C}">
              <a14:useLocalDpi xmlns:a14="http://schemas.microsoft.com/office/drawing/2010/main" val="0"/>
            </a:ext>
          </a:extLst>
        </a:blip>
        <a:srcRect/>
        <a:stretch>
          <a:fillRect/>
        </a:stretch>
      </xdr:blipFill>
      <xdr:spPr bwMode="auto">
        <a:xfrm>
          <a:off x="1228725" y="962406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515</xdr:row>
      <xdr:rowOff>19050</xdr:rowOff>
    </xdr:from>
    <xdr:to>
      <xdr:col>2</xdr:col>
      <xdr:colOff>1733550</xdr:colOff>
      <xdr:row>515</xdr:row>
      <xdr:rowOff>1666875</xdr:rowOff>
    </xdr:to>
    <xdr:pic>
      <xdr:nvPicPr>
        <xdr:cNvPr id="515" name="Picture 514"/>
        <xdr:cNvPicPr>
          <a:picLocks noChangeAspect="1" noChangeArrowheads="1"/>
        </xdr:cNvPicPr>
      </xdr:nvPicPr>
      <xdr:blipFill>
        <a:blip xmlns:r="http://schemas.openxmlformats.org/officeDocument/2006/relationships" r:embed="rId514">
          <a:extLst>
            <a:ext uri="{28A0092B-C50C-407E-A947-70E740481C1C}">
              <a14:useLocalDpi xmlns:a14="http://schemas.microsoft.com/office/drawing/2010/main" val="0"/>
            </a:ext>
          </a:extLst>
        </a:blip>
        <a:srcRect/>
        <a:stretch>
          <a:fillRect/>
        </a:stretch>
      </xdr:blipFill>
      <xdr:spPr bwMode="auto">
        <a:xfrm>
          <a:off x="1228725" y="96430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516</xdr:row>
      <xdr:rowOff>19050</xdr:rowOff>
    </xdr:from>
    <xdr:to>
      <xdr:col>2</xdr:col>
      <xdr:colOff>1733550</xdr:colOff>
      <xdr:row>516</xdr:row>
      <xdr:rowOff>1666875</xdr:rowOff>
    </xdr:to>
    <xdr:pic>
      <xdr:nvPicPr>
        <xdr:cNvPr id="516" name="Picture 515"/>
        <xdr:cNvPicPr>
          <a:picLocks noChangeAspect="1" noChangeArrowheads="1"/>
        </xdr:cNvPicPr>
      </xdr:nvPicPr>
      <xdr:blipFill>
        <a:blip xmlns:r="http://schemas.openxmlformats.org/officeDocument/2006/relationships" r:embed="rId515">
          <a:extLst>
            <a:ext uri="{28A0092B-C50C-407E-A947-70E740481C1C}">
              <a14:useLocalDpi xmlns:a14="http://schemas.microsoft.com/office/drawing/2010/main" val="0"/>
            </a:ext>
          </a:extLst>
        </a:blip>
        <a:srcRect/>
        <a:stretch>
          <a:fillRect/>
        </a:stretch>
      </xdr:blipFill>
      <xdr:spPr bwMode="auto">
        <a:xfrm>
          <a:off x="1228725" y="966216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517</xdr:row>
      <xdr:rowOff>19050</xdr:rowOff>
    </xdr:from>
    <xdr:to>
      <xdr:col>2</xdr:col>
      <xdr:colOff>1733550</xdr:colOff>
      <xdr:row>517</xdr:row>
      <xdr:rowOff>1666875</xdr:rowOff>
    </xdr:to>
    <xdr:pic>
      <xdr:nvPicPr>
        <xdr:cNvPr id="517" name="Picture 516"/>
        <xdr:cNvPicPr>
          <a:picLocks noChangeAspect="1" noChangeArrowheads="1"/>
        </xdr:cNvPicPr>
      </xdr:nvPicPr>
      <xdr:blipFill>
        <a:blip xmlns:r="http://schemas.openxmlformats.org/officeDocument/2006/relationships" r:embed="rId516">
          <a:extLst>
            <a:ext uri="{28A0092B-C50C-407E-A947-70E740481C1C}">
              <a14:useLocalDpi xmlns:a14="http://schemas.microsoft.com/office/drawing/2010/main" val="0"/>
            </a:ext>
          </a:extLst>
        </a:blip>
        <a:srcRect/>
        <a:stretch>
          <a:fillRect/>
        </a:stretch>
      </xdr:blipFill>
      <xdr:spPr bwMode="auto">
        <a:xfrm>
          <a:off x="1228725" y="968130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518</xdr:row>
      <xdr:rowOff>19050</xdr:rowOff>
    </xdr:from>
    <xdr:to>
      <xdr:col>2</xdr:col>
      <xdr:colOff>1733550</xdr:colOff>
      <xdr:row>518</xdr:row>
      <xdr:rowOff>1666875</xdr:rowOff>
    </xdr:to>
    <xdr:pic>
      <xdr:nvPicPr>
        <xdr:cNvPr id="518" name="Picture 517"/>
        <xdr:cNvPicPr>
          <a:picLocks noChangeAspect="1" noChangeArrowheads="1"/>
        </xdr:cNvPicPr>
      </xdr:nvPicPr>
      <xdr:blipFill>
        <a:blip xmlns:r="http://schemas.openxmlformats.org/officeDocument/2006/relationships" r:embed="rId517">
          <a:extLst>
            <a:ext uri="{28A0092B-C50C-407E-A947-70E740481C1C}">
              <a14:useLocalDpi xmlns:a14="http://schemas.microsoft.com/office/drawing/2010/main" val="0"/>
            </a:ext>
          </a:extLst>
        </a:blip>
        <a:srcRect/>
        <a:stretch>
          <a:fillRect/>
        </a:stretch>
      </xdr:blipFill>
      <xdr:spPr bwMode="auto">
        <a:xfrm>
          <a:off x="1228725" y="970045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519</xdr:row>
      <xdr:rowOff>19050</xdr:rowOff>
    </xdr:from>
    <xdr:to>
      <xdr:col>2</xdr:col>
      <xdr:colOff>1733550</xdr:colOff>
      <xdr:row>519</xdr:row>
      <xdr:rowOff>1647825</xdr:rowOff>
    </xdr:to>
    <xdr:pic>
      <xdr:nvPicPr>
        <xdr:cNvPr id="519" name="Picture 518"/>
        <xdr:cNvPicPr>
          <a:picLocks noChangeAspect="1" noChangeArrowheads="1"/>
        </xdr:cNvPicPr>
      </xdr:nvPicPr>
      <xdr:blipFill>
        <a:blip xmlns:r="http://schemas.openxmlformats.org/officeDocument/2006/relationships" r:embed="rId518">
          <a:extLst>
            <a:ext uri="{28A0092B-C50C-407E-A947-70E740481C1C}">
              <a14:useLocalDpi xmlns:a14="http://schemas.microsoft.com/office/drawing/2010/main" val="0"/>
            </a:ext>
          </a:extLst>
        </a:blip>
        <a:srcRect/>
        <a:stretch>
          <a:fillRect/>
        </a:stretch>
      </xdr:blipFill>
      <xdr:spPr bwMode="auto">
        <a:xfrm>
          <a:off x="1228725" y="9719595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520</xdr:row>
      <xdr:rowOff>19050</xdr:rowOff>
    </xdr:from>
    <xdr:to>
      <xdr:col>2</xdr:col>
      <xdr:colOff>1733550</xdr:colOff>
      <xdr:row>520</xdr:row>
      <xdr:rowOff>1666875</xdr:rowOff>
    </xdr:to>
    <xdr:pic>
      <xdr:nvPicPr>
        <xdr:cNvPr id="520" name="Picture 519"/>
        <xdr:cNvPicPr>
          <a:picLocks noChangeAspect="1" noChangeArrowheads="1"/>
        </xdr:cNvPicPr>
      </xdr:nvPicPr>
      <xdr:blipFill>
        <a:blip xmlns:r="http://schemas.openxmlformats.org/officeDocument/2006/relationships" r:embed="rId519">
          <a:extLst>
            <a:ext uri="{28A0092B-C50C-407E-A947-70E740481C1C}">
              <a14:useLocalDpi xmlns:a14="http://schemas.microsoft.com/office/drawing/2010/main" val="0"/>
            </a:ext>
          </a:extLst>
        </a:blip>
        <a:srcRect/>
        <a:stretch>
          <a:fillRect/>
        </a:stretch>
      </xdr:blipFill>
      <xdr:spPr bwMode="auto">
        <a:xfrm>
          <a:off x="1228725" y="973855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521</xdr:row>
      <xdr:rowOff>19050</xdr:rowOff>
    </xdr:from>
    <xdr:to>
      <xdr:col>2</xdr:col>
      <xdr:colOff>1733550</xdr:colOff>
      <xdr:row>521</xdr:row>
      <xdr:rowOff>1666875</xdr:rowOff>
    </xdr:to>
    <xdr:pic>
      <xdr:nvPicPr>
        <xdr:cNvPr id="521" name="Picture 520"/>
        <xdr:cNvPicPr>
          <a:picLocks noChangeAspect="1" noChangeArrowheads="1"/>
        </xdr:cNvPicPr>
      </xdr:nvPicPr>
      <xdr:blipFill>
        <a:blip xmlns:r="http://schemas.openxmlformats.org/officeDocument/2006/relationships" r:embed="rId520">
          <a:extLst>
            <a:ext uri="{28A0092B-C50C-407E-A947-70E740481C1C}">
              <a14:useLocalDpi xmlns:a14="http://schemas.microsoft.com/office/drawing/2010/main" val="0"/>
            </a:ext>
          </a:extLst>
        </a:blip>
        <a:srcRect/>
        <a:stretch>
          <a:fillRect/>
        </a:stretch>
      </xdr:blipFill>
      <xdr:spPr bwMode="auto">
        <a:xfrm>
          <a:off x="1228725" y="975769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522</xdr:row>
      <xdr:rowOff>19050</xdr:rowOff>
    </xdr:from>
    <xdr:to>
      <xdr:col>2</xdr:col>
      <xdr:colOff>1733550</xdr:colOff>
      <xdr:row>522</xdr:row>
      <xdr:rowOff>1666875</xdr:rowOff>
    </xdr:to>
    <xdr:pic>
      <xdr:nvPicPr>
        <xdr:cNvPr id="522" name="Picture 521"/>
        <xdr:cNvPicPr>
          <a:picLocks noChangeAspect="1" noChangeArrowheads="1"/>
        </xdr:cNvPicPr>
      </xdr:nvPicPr>
      <xdr:blipFill>
        <a:blip xmlns:r="http://schemas.openxmlformats.org/officeDocument/2006/relationships" r:embed="rId521">
          <a:extLst>
            <a:ext uri="{28A0092B-C50C-407E-A947-70E740481C1C}">
              <a14:useLocalDpi xmlns:a14="http://schemas.microsoft.com/office/drawing/2010/main" val="0"/>
            </a:ext>
          </a:extLst>
        </a:blip>
        <a:srcRect/>
        <a:stretch>
          <a:fillRect/>
        </a:stretch>
      </xdr:blipFill>
      <xdr:spPr bwMode="auto">
        <a:xfrm>
          <a:off x="1228725" y="977684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523</xdr:row>
      <xdr:rowOff>19050</xdr:rowOff>
    </xdr:from>
    <xdr:to>
      <xdr:col>2</xdr:col>
      <xdr:colOff>1733550</xdr:colOff>
      <xdr:row>523</xdr:row>
      <xdr:rowOff>1666875</xdr:rowOff>
    </xdr:to>
    <xdr:pic>
      <xdr:nvPicPr>
        <xdr:cNvPr id="523" name="Picture 522"/>
        <xdr:cNvPicPr>
          <a:picLocks noChangeAspect="1" noChangeArrowheads="1"/>
        </xdr:cNvPicPr>
      </xdr:nvPicPr>
      <xdr:blipFill>
        <a:blip xmlns:r="http://schemas.openxmlformats.org/officeDocument/2006/relationships" r:embed="rId522">
          <a:extLst>
            <a:ext uri="{28A0092B-C50C-407E-A947-70E740481C1C}">
              <a14:useLocalDpi xmlns:a14="http://schemas.microsoft.com/office/drawing/2010/main" val="0"/>
            </a:ext>
          </a:extLst>
        </a:blip>
        <a:srcRect/>
        <a:stretch>
          <a:fillRect/>
        </a:stretch>
      </xdr:blipFill>
      <xdr:spPr bwMode="auto">
        <a:xfrm>
          <a:off x="1228725" y="979598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524</xdr:row>
      <xdr:rowOff>19050</xdr:rowOff>
    </xdr:from>
    <xdr:to>
      <xdr:col>2</xdr:col>
      <xdr:colOff>1733550</xdr:colOff>
      <xdr:row>524</xdr:row>
      <xdr:rowOff>1666875</xdr:rowOff>
    </xdr:to>
    <xdr:pic>
      <xdr:nvPicPr>
        <xdr:cNvPr id="524" name="Picture 523"/>
        <xdr:cNvPicPr>
          <a:picLocks noChangeAspect="1" noChangeArrowheads="1"/>
        </xdr:cNvPicPr>
      </xdr:nvPicPr>
      <xdr:blipFill>
        <a:blip xmlns:r="http://schemas.openxmlformats.org/officeDocument/2006/relationships" r:embed="rId523">
          <a:extLst>
            <a:ext uri="{28A0092B-C50C-407E-A947-70E740481C1C}">
              <a14:useLocalDpi xmlns:a14="http://schemas.microsoft.com/office/drawing/2010/main" val="0"/>
            </a:ext>
          </a:extLst>
        </a:blip>
        <a:srcRect/>
        <a:stretch>
          <a:fillRect/>
        </a:stretch>
      </xdr:blipFill>
      <xdr:spPr bwMode="auto">
        <a:xfrm>
          <a:off x="1228725" y="981513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525</xdr:row>
      <xdr:rowOff>19050</xdr:rowOff>
    </xdr:from>
    <xdr:to>
      <xdr:col>2</xdr:col>
      <xdr:colOff>1733550</xdr:colOff>
      <xdr:row>525</xdr:row>
      <xdr:rowOff>1666875</xdr:rowOff>
    </xdr:to>
    <xdr:pic>
      <xdr:nvPicPr>
        <xdr:cNvPr id="525" name="Picture 524"/>
        <xdr:cNvPicPr>
          <a:picLocks noChangeAspect="1" noChangeArrowheads="1"/>
        </xdr:cNvPicPr>
      </xdr:nvPicPr>
      <xdr:blipFill>
        <a:blip xmlns:r="http://schemas.openxmlformats.org/officeDocument/2006/relationships" r:embed="rId524">
          <a:extLst>
            <a:ext uri="{28A0092B-C50C-407E-A947-70E740481C1C}">
              <a14:useLocalDpi xmlns:a14="http://schemas.microsoft.com/office/drawing/2010/main" val="0"/>
            </a:ext>
          </a:extLst>
        </a:blip>
        <a:srcRect/>
        <a:stretch>
          <a:fillRect/>
        </a:stretch>
      </xdr:blipFill>
      <xdr:spPr bwMode="auto">
        <a:xfrm>
          <a:off x="1228725" y="98342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526</xdr:row>
      <xdr:rowOff>19050</xdr:rowOff>
    </xdr:from>
    <xdr:to>
      <xdr:col>2</xdr:col>
      <xdr:colOff>1733550</xdr:colOff>
      <xdr:row>526</xdr:row>
      <xdr:rowOff>1647825</xdr:rowOff>
    </xdr:to>
    <xdr:pic>
      <xdr:nvPicPr>
        <xdr:cNvPr id="526" name="Picture 525"/>
        <xdr:cNvPicPr>
          <a:picLocks noChangeAspect="1" noChangeArrowheads="1"/>
        </xdr:cNvPicPr>
      </xdr:nvPicPr>
      <xdr:blipFill>
        <a:blip xmlns:r="http://schemas.openxmlformats.org/officeDocument/2006/relationships" r:embed="rId525">
          <a:extLst>
            <a:ext uri="{28A0092B-C50C-407E-A947-70E740481C1C}">
              <a14:useLocalDpi xmlns:a14="http://schemas.microsoft.com/office/drawing/2010/main" val="0"/>
            </a:ext>
          </a:extLst>
        </a:blip>
        <a:srcRect/>
        <a:stretch>
          <a:fillRect/>
        </a:stretch>
      </xdr:blipFill>
      <xdr:spPr bwMode="auto">
        <a:xfrm>
          <a:off x="1228725" y="9853422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527</xdr:row>
      <xdr:rowOff>19050</xdr:rowOff>
    </xdr:from>
    <xdr:to>
      <xdr:col>2</xdr:col>
      <xdr:colOff>1733550</xdr:colOff>
      <xdr:row>527</xdr:row>
      <xdr:rowOff>1666875</xdr:rowOff>
    </xdr:to>
    <xdr:pic>
      <xdr:nvPicPr>
        <xdr:cNvPr id="527" name="Picture 526"/>
        <xdr:cNvPicPr>
          <a:picLocks noChangeAspect="1" noChangeArrowheads="1"/>
        </xdr:cNvPicPr>
      </xdr:nvPicPr>
      <xdr:blipFill>
        <a:blip xmlns:r="http://schemas.openxmlformats.org/officeDocument/2006/relationships" r:embed="rId526">
          <a:extLst>
            <a:ext uri="{28A0092B-C50C-407E-A947-70E740481C1C}">
              <a14:useLocalDpi xmlns:a14="http://schemas.microsoft.com/office/drawing/2010/main" val="0"/>
            </a:ext>
          </a:extLst>
        </a:blip>
        <a:srcRect/>
        <a:stretch>
          <a:fillRect/>
        </a:stretch>
      </xdr:blipFill>
      <xdr:spPr bwMode="auto">
        <a:xfrm>
          <a:off x="1228725" y="98723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528</xdr:row>
      <xdr:rowOff>19050</xdr:rowOff>
    </xdr:from>
    <xdr:to>
      <xdr:col>2</xdr:col>
      <xdr:colOff>1733550</xdr:colOff>
      <xdr:row>528</xdr:row>
      <xdr:rowOff>1666875</xdr:rowOff>
    </xdr:to>
    <xdr:pic>
      <xdr:nvPicPr>
        <xdr:cNvPr id="528" name="Picture 527"/>
        <xdr:cNvPicPr>
          <a:picLocks noChangeAspect="1" noChangeArrowheads="1"/>
        </xdr:cNvPicPr>
      </xdr:nvPicPr>
      <xdr:blipFill>
        <a:blip xmlns:r="http://schemas.openxmlformats.org/officeDocument/2006/relationships" r:embed="rId527">
          <a:extLst>
            <a:ext uri="{28A0092B-C50C-407E-A947-70E740481C1C}">
              <a14:useLocalDpi xmlns:a14="http://schemas.microsoft.com/office/drawing/2010/main" val="0"/>
            </a:ext>
          </a:extLst>
        </a:blip>
        <a:srcRect/>
        <a:stretch>
          <a:fillRect/>
        </a:stretch>
      </xdr:blipFill>
      <xdr:spPr bwMode="auto">
        <a:xfrm>
          <a:off x="1228725" y="98915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529</xdr:row>
      <xdr:rowOff>19050</xdr:rowOff>
    </xdr:from>
    <xdr:to>
      <xdr:col>2</xdr:col>
      <xdr:colOff>1733550</xdr:colOff>
      <xdr:row>529</xdr:row>
      <xdr:rowOff>1666875</xdr:rowOff>
    </xdr:to>
    <xdr:pic>
      <xdr:nvPicPr>
        <xdr:cNvPr id="529" name="Picture 528"/>
        <xdr:cNvPicPr>
          <a:picLocks noChangeAspect="1" noChangeArrowheads="1"/>
        </xdr:cNvPicPr>
      </xdr:nvPicPr>
      <xdr:blipFill>
        <a:blip xmlns:r="http://schemas.openxmlformats.org/officeDocument/2006/relationships" r:embed="rId528">
          <a:extLst>
            <a:ext uri="{28A0092B-C50C-407E-A947-70E740481C1C}">
              <a14:useLocalDpi xmlns:a14="http://schemas.microsoft.com/office/drawing/2010/main" val="0"/>
            </a:ext>
          </a:extLst>
        </a:blip>
        <a:srcRect/>
        <a:stretch>
          <a:fillRect/>
        </a:stretch>
      </xdr:blipFill>
      <xdr:spPr bwMode="auto">
        <a:xfrm>
          <a:off x="1228725" y="99106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530</xdr:row>
      <xdr:rowOff>19050</xdr:rowOff>
    </xdr:from>
    <xdr:to>
      <xdr:col>2</xdr:col>
      <xdr:colOff>1733550</xdr:colOff>
      <xdr:row>530</xdr:row>
      <xdr:rowOff>1666875</xdr:rowOff>
    </xdr:to>
    <xdr:pic>
      <xdr:nvPicPr>
        <xdr:cNvPr id="530" name="Picture 529"/>
        <xdr:cNvPicPr>
          <a:picLocks noChangeAspect="1" noChangeArrowheads="1"/>
        </xdr:cNvPicPr>
      </xdr:nvPicPr>
      <xdr:blipFill>
        <a:blip xmlns:r="http://schemas.openxmlformats.org/officeDocument/2006/relationships" r:embed="rId529">
          <a:extLst>
            <a:ext uri="{28A0092B-C50C-407E-A947-70E740481C1C}">
              <a14:useLocalDpi xmlns:a14="http://schemas.microsoft.com/office/drawing/2010/main" val="0"/>
            </a:ext>
          </a:extLst>
        </a:blip>
        <a:srcRect/>
        <a:stretch>
          <a:fillRect/>
        </a:stretch>
      </xdr:blipFill>
      <xdr:spPr bwMode="auto">
        <a:xfrm>
          <a:off x="1228725" y="99298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531</xdr:row>
      <xdr:rowOff>19050</xdr:rowOff>
    </xdr:from>
    <xdr:to>
      <xdr:col>2</xdr:col>
      <xdr:colOff>1733550</xdr:colOff>
      <xdr:row>531</xdr:row>
      <xdr:rowOff>1666875</xdr:rowOff>
    </xdr:to>
    <xdr:pic>
      <xdr:nvPicPr>
        <xdr:cNvPr id="531" name="Picture 530"/>
        <xdr:cNvPicPr>
          <a:picLocks noChangeAspect="1" noChangeArrowheads="1"/>
        </xdr:cNvPicPr>
      </xdr:nvPicPr>
      <xdr:blipFill>
        <a:blip xmlns:r="http://schemas.openxmlformats.org/officeDocument/2006/relationships" r:embed="rId530">
          <a:extLst>
            <a:ext uri="{28A0092B-C50C-407E-A947-70E740481C1C}">
              <a14:useLocalDpi xmlns:a14="http://schemas.microsoft.com/office/drawing/2010/main" val="0"/>
            </a:ext>
          </a:extLst>
        </a:blip>
        <a:srcRect/>
        <a:stretch>
          <a:fillRect/>
        </a:stretch>
      </xdr:blipFill>
      <xdr:spPr bwMode="auto">
        <a:xfrm>
          <a:off x="1228725" y="994895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532</xdr:row>
      <xdr:rowOff>19050</xdr:rowOff>
    </xdr:from>
    <xdr:to>
      <xdr:col>2</xdr:col>
      <xdr:colOff>1733550</xdr:colOff>
      <xdr:row>532</xdr:row>
      <xdr:rowOff>1666875</xdr:rowOff>
    </xdr:to>
    <xdr:pic>
      <xdr:nvPicPr>
        <xdr:cNvPr id="532" name="Picture 531"/>
        <xdr:cNvPicPr>
          <a:picLocks noChangeAspect="1" noChangeArrowheads="1"/>
        </xdr:cNvPicPr>
      </xdr:nvPicPr>
      <xdr:blipFill>
        <a:blip xmlns:r="http://schemas.openxmlformats.org/officeDocument/2006/relationships" r:embed="rId531">
          <a:extLst>
            <a:ext uri="{28A0092B-C50C-407E-A947-70E740481C1C}">
              <a14:useLocalDpi xmlns:a14="http://schemas.microsoft.com/office/drawing/2010/main" val="0"/>
            </a:ext>
          </a:extLst>
        </a:blip>
        <a:srcRect/>
        <a:stretch>
          <a:fillRect/>
        </a:stretch>
      </xdr:blipFill>
      <xdr:spPr bwMode="auto">
        <a:xfrm>
          <a:off x="1228725" y="99681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533</xdr:row>
      <xdr:rowOff>19050</xdr:rowOff>
    </xdr:from>
    <xdr:to>
      <xdr:col>2</xdr:col>
      <xdr:colOff>1733550</xdr:colOff>
      <xdr:row>533</xdr:row>
      <xdr:rowOff>1685925</xdr:rowOff>
    </xdr:to>
    <xdr:pic>
      <xdr:nvPicPr>
        <xdr:cNvPr id="533" name="Picture 532"/>
        <xdr:cNvPicPr>
          <a:picLocks noChangeAspect="1" noChangeArrowheads="1"/>
        </xdr:cNvPicPr>
      </xdr:nvPicPr>
      <xdr:blipFill>
        <a:blip xmlns:r="http://schemas.openxmlformats.org/officeDocument/2006/relationships" r:embed="rId532">
          <a:extLst>
            <a:ext uri="{28A0092B-C50C-407E-A947-70E740481C1C}">
              <a14:useLocalDpi xmlns:a14="http://schemas.microsoft.com/office/drawing/2010/main" val="0"/>
            </a:ext>
          </a:extLst>
        </a:blip>
        <a:srcRect/>
        <a:stretch>
          <a:fillRect/>
        </a:stretch>
      </xdr:blipFill>
      <xdr:spPr bwMode="auto">
        <a:xfrm>
          <a:off x="1228725" y="9987248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534</xdr:row>
      <xdr:rowOff>19050</xdr:rowOff>
    </xdr:from>
    <xdr:to>
      <xdr:col>2</xdr:col>
      <xdr:colOff>1733550</xdr:colOff>
      <xdr:row>534</xdr:row>
      <xdr:rowOff>1647825</xdr:rowOff>
    </xdr:to>
    <xdr:pic>
      <xdr:nvPicPr>
        <xdr:cNvPr id="534" name="Picture 533"/>
        <xdr:cNvPicPr>
          <a:picLocks noChangeAspect="1" noChangeArrowheads="1"/>
        </xdr:cNvPicPr>
      </xdr:nvPicPr>
      <xdr:blipFill>
        <a:blip xmlns:r="http://schemas.openxmlformats.org/officeDocument/2006/relationships" r:embed="rId533">
          <a:extLst>
            <a:ext uri="{28A0092B-C50C-407E-A947-70E740481C1C}">
              <a14:useLocalDpi xmlns:a14="http://schemas.microsoft.com/office/drawing/2010/main" val="0"/>
            </a:ext>
          </a:extLst>
        </a:blip>
        <a:srcRect/>
        <a:stretch>
          <a:fillRect/>
        </a:stretch>
      </xdr:blipFill>
      <xdr:spPr bwMode="auto">
        <a:xfrm>
          <a:off x="1228725" y="10006679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535</xdr:row>
      <xdr:rowOff>19050</xdr:rowOff>
    </xdr:from>
    <xdr:to>
      <xdr:col>2</xdr:col>
      <xdr:colOff>1733550</xdr:colOff>
      <xdr:row>535</xdr:row>
      <xdr:rowOff>1666875</xdr:rowOff>
    </xdr:to>
    <xdr:pic>
      <xdr:nvPicPr>
        <xdr:cNvPr id="535" name="Picture 534"/>
        <xdr:cNvPicPr>
          <a:picLocks noChangeAspect="1" noChangeArrowheads="1"/>
        </xdr:cNvPicPr>
      </xdr:nvPicPr>
      <xdr:blipFill>
        <a:blip xmlns:r="http://schemas.openxmlformats.org/officeDocument/2006/relationships" r:embed="rId534">
          <a:extLst>
            <a:ext uri="{28A0092B-C50C-407E-A947-70E740481C1C}">
              <a14:useLocalDpi xmlns:a14="http://schemas.microsoft.com/office/drawing/2010/main" val="0"/>
            </a:ext>
          </a:extLst>
        </a:blip>
        <a:srcRect/>
        <a:stretch>
          <a:fillRect/>
        </a:stretch>
      </xdr:blipFill>
      <xdr:spPr bwMode="auto">
        <a:xfrm>
          <a:off x="1228725" y="1002563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536</xdr:row>
      <xdr:rowOff>19050</xdr:rowOff>
    </xdr:from>
    <xdr:to>
      <xdr:col>2</xdr:col>
      <xdr:colOff>1733550</xdr:colOff>
      <xdr:row>536</xdr:row>
      <xdr:rowOff>1666875</xdr:rowOff>
    </xdr:to>
    <xdr:pic>
      <xdr:nvPicPr>
        <xdr:cNvPr id="536" name="Picture 535"/>
        <xdr:cNvPicPr>
          <a:picLocks noChangeAspect="1" noChangeArrowheads="1"/>
        </xdr:cNvPicPr>
      </xdr:nvPicPr>
      <xdr:blipFill>
        <a:blip xmlns:r="http://schemas.openxmlformats.org/officeDocument/2006/relationships" r:embed="rId535">
          <a:extLst>
            <a:ext uri="{28A0092B-C50C-407E-A947-70E740481C1C}">
              <a14:useLocalDpi xmlns:a14="http://schemas.microsoft.com/office/drawing/2010/main" val="0"/>
            </a:ext>
          </a:extLst>
        </a:blip>
        <a:srcRect/>
        <a:stretch>
          <a:fillRect/>
        </a:stretch>
      </xdr:blipFill>
      <xdr:spPr bwMode="auto">
        <a:xfrm>
          <a:off x="1228725" y="1004477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537</xdr:row>
      <xdr:rowOff>19050</xdr:rowOff>
    </xdr:from>
    <xdr:to>
      <xdr:col>2</xdr:col>
      <xdr:colOff>1733550</xdr:colOff>
      <xdr:row>537</xdr:row>
      <xdr:rowOff>1666875</xdr:rowOff>
    </xdr:to>
    <xdr:pic>
      <xdr:nvPicPr>
        <xdr:cNvPr id="537" name="Picture 536"/>
        <xdr:cNvPicPr>
          <a:picLocks noChangeAspect="1" noChangeArrowheads="1"/>
        </xdr:cNvPicPr>
      </xdr:nvPicPr>
      <xdr:blipFill>
        <a:blip xmlns:r="http://schemas.openxmlformats.org/officeDocument/2006/relationships" r:embed="rId536">
          <a:extLst>
            <a:ext uri="{28A0092B-C50C-407E-A947-70E740481C1C}">
              <a14:useLocalDpi xmlns:a14="http://schemas.microsoft.com/office/drawing/2010/main" val="0"/>
            </a:ext>
          </a:extLst>
        </a:blip>
        <a:srcRect/>
        <a:stretch>
          <a:fillRect/>
        </a:stretch>
      </xdr:blipFill>
      <xdr:spPr bwMode="auto">
        <a:xfrm>
          <a:off x="1228725" y="1006392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538</xdr:row>
      <xdr:rowOff>19050</xdr:rowOff>
    </xdr:from>
    <xdr:to>
      <xdr:col>2</xdr:col>
      <xdr:colOff>1733550</xdr:colOff>
      <xdr:row>538</xdr:row>
      <xdr:rowOff>1666875</xdr:rowOff>
    </xdr:to>
    <xdr:pic>
      <xdr:nvPicPr>
        <xdr:cNvPr id="538" name="Picture 537"/>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228725" y="1008306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539</xdr:row>
      <xdr:rowOff>19050</xdr:rowOff>
    </xdr:from>
    <xdr:to>
      <xdr:col>2</xdr:col>
      <xdr:colOff>1733550</xdr:colOff>
      <xdr:row>539</xdr:row>
      <xdr:rowOff>1666875</xdr:rowOff>
    </xdr:to>
    <xdr:pic>
      <xdr:nvPicPr>
        <xdr:cNvPr id="539" name="Picture 538"/>
        <xdr:cNvPicPr>
          <a:picLocks noChangeAspect="1" noChangeArrowheads="1"/>
        </xdr:cNvPicPr>
      </xdr:nvPicPr>
      <xdr:blipFill>
        <a:blip xmlns:r="http://schemas.openxmlformats.org/officeDocument/2006/relationships" r:embed="rId538">
          <a:extLst>
            <a:ext uri="{28A0092B-C50C-407E-A947-70E740481C1C}">
              <a14:useLocalDpi xmlns:a14="http://schemas.microsoft.com/office/drawing/2010/main" val="0"/>
            </a:ext>
          </a:extLst>
        </a:blip>
        <a:srcRect/>
        <a:stretch>
          <a:fillRect/>
        </a:stretch>
      </xdr:blipFill>
      <xdr:spPr bwMode="auto">
        <a:xfrm>
          <a:off x="1228725" y="101022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540</xdr:row>
      <xdr:rowOff>19050</xdr:rowOff>
    </xdr:from>
    <xdr:to>
      <xdr:col>2</xdr:col>
      <xdr:colOff>1733550</xdr:colOff>
      <xdr:row>540</xdr:row>
      <xdr:rowOff>1666875</xdr:rowOff>
    </xdr:to>
    <xdr:pic>
      <xdr:nvPicPr>
        <xdr:cNvPr id="540" name="Picture 539"/>
        <xdr:cNvPicPr>
          <a:picLocks noChangeAspect="1" noChangeArrowheads="1"/>
        </xdr:cNvPicPr>
      </xdr:nvPicPr>
      <xdr:blipFill>
        <a:blip xmlns:r="http://schemas.openxmlformats.org/officeDocument/2006/relationships" r:embed="rId539">
          <a:extLst>
            <a:ext uri="{28A0092B-C50C-407E-A947-70E740481C1C}">
              <a14:useLocalDpi xmlns:a14="http://schemas.microsoft.com/office/drawing/2010/main" val="0"/>
            </a:ext>
          </a:extLst>
        </a:blip>
        <a:srcRect/>
        <a:stretch>
          <a:fillRect/>
        </a:stretch>
      </xdr:blipFill>
      <xdr:spPr bwMode="auto">
        <a:xfrm>
          <a:off x="1228725" y="101213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541</xdr:row>
      <xdr:rowOff>19050</xdr:rowOff>
    </xdr:from>
    <xdr:to>
      <xdr:col>2</xdr:col>
      <xdr:colOff>1733550</xdr:colOff>
      <xdr:row>541</xdr:row>
      <xdr:rowOff>1666875</xdr:rowOff>
    </xdr:to>
    <xdr:pic>
      <xdr:nvPicPr>
        <xdr:cNvPr id="541" name="Picture 540"/>
        <xdr:cNvPicPr>
          <a:picLocks noChangeAspect="1" noChangeArrowheads="1"/>
        </xdr:cNvPicPr>
      </xdr:nvPicPr>
      <xdr:blipFill>
        <a:blip xmlns:r="http://schemas.openxmlformats.org/officeDocument/2006/relationships" r:embed="rId540">
          <a:extLst>
            <a:ext uri="{28A0092B-C50C-407E-A947-70E740481C1C}">
              <a14:useLocalDpi xmlns:a14="http://schemas.microsoft.com/office/drawing/2010/main" val="0"/>
            </a:ext>
          </a:extLst>
        </a:blip>
        <a:srcRect/>
        <a:stretch>
          <a:fillRect/>
        </a:stretch>
      </xdr:blipFill>
      <xdr:spPr bwMode="auto">
        <a:xfrm>
          <a:off x="1228725" y="101405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542</xdr:row>
      <xdr:rowOff>19050</xdr:rowOff>
    </xdr:from>
    <xdr:to>
      <xdr:col>2</xdr:col>
      <xdr:colOff>1733550</xdr:colOff>
      <xdr:row>542</xdr:row>
      <xdr:rowOff>1666875</xdr:rowOff>
    </xdr:to>
    <xdr:pic>
      <xdr:nvPicPr>
        <xdr:cNvPr id="542" name="Picture 541"/>
        <xdr:cNvPicPr>
          <a:picLocks noChangeAspect="1" noChangeArrowheads="1"/>
        </xdr:cNvPicPr>
      </xdr:nvPicPr>
      <xdr:blipFill>
        <a:blip xmlns:r="http://schemas.openxmlformats.org/officeDocument/2006/relationships" r:embed="rId541">
          <a:extLst>
            <a:ext uri="{28A0092B-C50C-407E-A947-70E740481C1C}">
              <a14:useLocalDpi xmlns:a14="http://schemas.microsoft.com/office/drawing/2010/main" val="0"/>
            </a:ext>
          </a:extLst>
        </a:blip>
        <a:srcRect/>
        <a:stretch>
          <a:fillRect/>
        </a:stretch>
      </xdr:blipFill>
      <xdr:spPr bwMode="auto">
        <a:xfrm>
          <a:off x="1228725" y="101596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543</xdr:row>
      <xdr:rowOff>19050</xdr:rowOff>
    </xdr:from>
    <xdr:to>
      <xdr:col>2</xdr:col>
      <xdr:colOff>1733550</xdr:colOff>
      <xdr:row>543</xdr:row>
      <xdr:rowOff>1666875</xdr:rowOff>
    </xdr:to>
    <xdr:pic>
      <xdr:nvPicPr>
        <xdr:cNvPr id="543" name="Picture 542"/>
        <xdr:cNvPicPr>
          <a:picLocks noChangeAspect="1" noChangeArrowheads="1"/>
        </xdr:cNvPicPr>
      </xdr:nvPicPr>
      <xdr:blipFill>
        <a:blip xmlns:r="http://schemas.openxmlformats.org/officeDocument/2006/relationships" r:embed="rId542">
          <a:extLst>
            <a:ext uri="{28A0092B-C50C-407E-A947-70E740481C1C}">
              <a14:useLocalDpi xmlns:a14="http://schemas.microsoft.com/office/drawing/2010/main" val="0"/>
            </a:ext>
          </a:extLst>
        </a:blip>
        <a:srcRect/>
        <a:stretch>
          <a:fillRect/>
        </a:stretch>
      </xdr:blipFill>
      <xdr:spPr bwMode="auto">
        <a:xfrm>
          <a:off x="1228725" y="101787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544</xdr:row>
      <xdr:rowOff>19050</xdr:rowOff>
    </xdr:from>
    <xdr:to>
      <xdr:col>2</xdr:col>
      <xdr:colOff>1733550</xdr:colOff>
      <xdr:row>544</xdr:row>
      <xdr:rowOff>1666875</xdr:rowOff>
    </xdr:to>
    <xdr:pic>
      <xdr:nvPicPr>
        <xdr:cNvPr id="544" name="Picture 543"/>
        <xdr:cNvPicPr>
          <a:picLocks noChangeAspect="1" noChangeArrowheads="1"/>
        </xdr:cNvPicPr>
      </xdr:nvPicPr>
      <xdr:blipFill>
        <a:blip xmlns:r="http://schemas.openxmlformats.org/officeDocument/2006/relationships" r:embed="rId543">
          <a:extLst>
            <a:ext uri="{28A0092B-C50C-407E-A947-70E740481C1C}">
              <a14:useLocalDpi xmlns:a14="http://schemas.microsoft.com/office/drawing/2010/main" val="0"/>
            </a:ext>
          </a:extLst>
        </a:blip>
        <a:srcRect/>
        <a:stretch>
          <a:fillRect/>
        </a:stretch>
      </xdr:blipFill>
      <xdr:spPr bwMode="auto">
        <a:xfrm>
          <a:off x="1228725" y="101979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545</xdr:row>
      <xdr:rowOff>19050</xdr:rowOff>
    </xdr:from>
    <xdr:to>
      <xdr:col>2</xdr:col>
      <xdr:colOff>1733550</xdr:colOff>
      <xdr:row>545</xdr:row>
      <xdr:rowOff>1666875</xdr:rowOff>
    </xdr:to>
    <xdr:pic>
      <xdr:nvPicPr>
        <xdr:cNvPr id="545" name="Picture 544"/>
        <xdr:cNvPicPr>
          <a:picLocks noChangeAspect="1" noChangeArrowheads="1"/>
        </xdr:cNvPicPr>
      </xdr:nvPicPr>
      <xdr:blipFill>
        <a:blip xmlns:r="http://schemas.openxmlformats.org/officeDocument/2006/relationships" r:embed="rId544">
          <a:extLst>
            <a:ext uri="{28A0092B-C50C-407E-A947-70E740481C1C}">
              <a14:useLocalDpi xmlns:a14="http://schemas.microsoft.com/office/drawing/2010/main" val="0"/>
            </a:ext>
          </a:extLst>
        </a:blip>
        <a:srcRect/>
        <a:stretch>
          <a:fillRect/>
        </a:stretch>
      </xdr:blipFill>
      <xdr:spPr bwMode="auto">
        <a:xfrm>
          <a:off x="1228725" y="102170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546</xdr:row>
      <xdr:rowOff>19050</xdr:rowOff>
    </xdr:from>
    <xdr:to>
      <xdr:col>2</xdr:col>
      <xdr:colOff>1733550</xdr:colOff>
      <xdr:row>546</xdr:row>
      <xdr:rowOff>1666875</xdr:rowOff>
    </xdr:to>
    <xdr:pic>
      <xdr:nvPicPr>
        <xdr:cNvPr id="546" name="Picture 545"/>
        <xdr:cNvPicPr>
          <a:picLocks noChangeAspect="1" noChangeArrowheads="1"/>
        </xdr:cNvPicPr>
      </xdr:nvPicPr>
      <xdr:blipFill>
        <a:blip xmlns:r="http://schemas.openxmlformats.org/officeDocument/2006/relationships" r:embed="rId545">
          <a:extLst>
            <a:ext uri="{28A0092B-C50C-407E-A947-70E740481C1C}">
              <a14:useLocalDpi xmlns:a14="http://schemas.microsoft.com/office/drawing/2010/main" val="0"/>
            </a:ext>
          </a:extLst>
        </a:blip>
        <a:srcRect/>
        <a:stretch>
          <a:fillRect/>
        </a:stretch>
      </xdr:blipFill>
      <xdr:spPr bwMode="auto">
        <a:xfrm>
          <a:off x="1228725" y="102362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547</xdr:row>
      <xdr:rowOff>19050</xdr:rowOff>
    </xdr:from>
    <xdr:to>
      <xdr:col>2</xdr:col>
      <xdr:colOff>1733550</xdr:colOff>
      <xdr:row>547</xdr:row>
      <xdr:rowOff>1666875</xdr:rowOff>
    </xdr:to>
    <xdr:pic>
      <xdr:nvPicPr>
        <xdr:cNvPr id="547" name="Picture 546"/>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1228725" y="102553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548</xdr:row>
      <xdr:rowOff>19050</xdr:rowOff>
    </xdr:from>
    <xdr:to>
      <xdr:col>2</xdr:col>
      <xdr:colOff>1733550</xdr:colOff>
      <xdr:row>548</xdr:row>
      <xdr:rowOff>1666875</xdr:rowOff>
    </xdr:to>
    <xdr:pic>
      <xdr:nvPicPr>
        <xdr:cNvPr id="548" name="Picture 547"/>
        <xdr:cNvPicPr>
          <a:picLocks noChangeAspect="1" noChangeArrowheads="1"/>
        </xdr:cNvPicPr>
      </xdr:nvPicPr>
      <xdr:blipFill>
        <a:blip xmlns:r="http://schemas.openxmlformats.org/officeDocument/2006/relationships" r:embed="rId547">
          <a:extLst>
            <a:ext uri="{28A0092B-C50C-407E-A947-70E740481C1C}">
              <a14:useLocalDpi xmlns:a14="http://schemas.microsoft.com/office/drawing/2010/main" val="0"/>
            </a:ext>
          </a:extLst>
        </a:blip>
        <a:srcRect/>
        <a:stretch>
          <a:fillRect/>
        </a:stretch>
      </xdr:blipFill>
      <xdr:spPr bwMode="auto">
        <a:xfrm>
          <a:off x="1228725" y="102745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549</xdr:row>
      <xdr:rowOff>9525</xdr:rowOff>
    </xdr:from>
    <xdr:to>
      <xdr:col>2</xdr:col>
      <xdr:colOff>1733550</xdr:colOff>
      <xdr:row>549</xdr:row>
      <xdr:rowOff>1524000</xdr:rowOff>
    </xdr:to>
    <xdr:pic>
      <xdr:nvPicPr>
        <xdr:cNvPr id="549" name="Picture 548"/>
        <xdr:cNvPicPr>
          <a:picLocks noChangeAspect="1" noChangeArrowheads="1"/>
        </xdr:cNvPicPr>
      </xdr:nvPicPr>
      <xdr:blipFill>
        <a:blip xmlns:r="http://schemas.openxmlformats.org/officeDocument/2006/relationships" r:embed="rId548">
          <a:extLst>
            <a:ext uri="{28A0092B-C50C-407E-A947-70E740481C1C}">
              <a14:useLocalDpi xmlns:a14="http://schemas.microsoft.com/office/drawing/2010/main" val="0"/>
            </a:ext>
          </a:extLst>
        </a:blip>
        <a:srcRect/>
        <a:stretch>
          <a:fillRect/>
        </a:stretch>
      </xdr:blipFill>
      <xdr:spPr bwMode="auto">
        <a:xfrm>
          <a:off x="1228725" y="1029357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550</xdr:row>
      <xdr:rowOff>9525</xdr:rowOff>
    </xdr:from>
    <xdr:to>
      <xdr:col>2</xdr:col>
      <xdr:colOff>1733550</xdr:colOff>
      <xdr:row>550</xdr:row>
      <xdr:rowOff>1524000</xdr:rowOff>
    </xdr:to>
    <xdr:pic>
      <xdr:nvPicPr>
        <xdr:cNvPr id="550" name="Picture 549"/>
        <xdr:cNvPicPr>
          <a:picLocks noChangeAspect="1" noChangeArrowheads="1"/>
        </xdr:cNvPicPr>
      </xdr:nvPicPr>
      <xdr:blipFill>
        <a:blip xmlns:r="http://schemas.openxmlformats.org/officeDocument/2006/relationships" r:embed="rId549">
          <a:extLst>
            <a:ext uri="{28A0092B-C50C-407E-A947-70E740481C1C}">
              <a14:useLocalDpi xmlns:a14="http://schemas.microsoft.com/office/drawing/2010/main" val="0"/>
            </a:ext>
          </a:extLst>
        </a:blip>
        <a:srcRect/>
        <a:stretch>
          <a:fillRect/>
        </a:stretch>
      </xdr:blipFill>
      <xdr:spPr bwMode="auto">
        <a:xfrm>
          <a:off x="1228725" y="1031109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551</xdr:row>
      <xdr:rowOff>9525</xdr:rowOff>
    </xdr:from>
    <xdr:to>
      <xdr:col>2</xdr:col>
      <xdr:colOff>1733550</xdr:colOff>
      <xdr:row>551</xdr:row>
      <xdr:rowOff>1524000</xdr:rowOff>
    </xdr:to>
    <xdr:pic>
      <xdr:nvPicPr>
        <xdr:cNvPr id="551" name="Picture 550"/>
        <xdr:cNvPicPr>
          <a:picLocks noChangeAspect="1" noChangeArrowheads="1"/>
        </xdr:cNvPicPr>
      </xdr:nvPicPr>
      <xdr:blipFill>
        <a:blip xmlns:r="http://schemas.openxmlformats.org/officeDocument/2006/relationships" r:embed="rId550">
          <a:extLst>
            <a:ext uri="{28A0092B-C50C-407E-A947-70E740481C1C}">
              <a14:useLocalDpi xmlns:a14="http://schemas.microsoft.com/office/drawing/2010/main" val="0"/>
            </a:ext>
          </a:extLst>
        </a:blip>
        <a:srcRect/>
        <a:stretch>
          <a:fillRect/>
        </a:stretch>
      </xdr:blipFill>
      <xdr:spPr bwMode="auto">
        <a:xfrm>
          <a:off x="1228725" y="1032862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552</xdr:row>
      <xdr:rowOff>9525</xdr:rowOff>
    </xdr:from>
    <xdr:to>
      <xdr:col>2</xdr:col>
      <xdr:colOff>1733550</xdr:colOff>
      <xdr:row>552</xdr:row>
      <xdr:rowOff>1524000</xdr:rowOff>
    </xdr:to>
    <xdr:pic>
      <xdr:nvPicPr>
        <xdr:cNvPr id="552" name="Picture 551"/>
        <xdr:cNvPicPr>
          <a:picLocks noChangeAspect="1" noChangeArrowheads="1"/>
        </xdr:cNvPicPr>
      </xdr:nvPicPr>
      <xdr:blipFill>
        <a:blip xmlns:r="http://schemas.openxmlformats.org/officeDocument/2006/relationships" r:embed="rId551">
          <a:extLst>
            <a:ext uri="{28A0092B-C50C-407E-A947-70E740481C1C}">
              <a14:useLocalDpi xmlns:a14="http://schemas.microsoft.com/office/drawing/2010/main" val="0"/>
            </a:ext>
          </a:extLst>
        </a:blip>
        <a:srcRect/>
        <a:stretch>
          <a:fillRect/>
        </a:stretch>
      </xdr:blipFill>
      <xdr:spPr bwMode="auto">
        <a:xfrm>
          <a:off x="1228725" y="1034615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553</xdr:row>
      <xdr:rowOff>9525</xdr:rowOff>
    </xdr:from>
    <xdr:to>
      <xdr:col>2</xdr:col>
      <xdr:colOff>1733550</xdr:colOff>
      <xdr:row>553</xdr:row>
      <xdr:rowOff>1524000</xdr:rowOff>
    </xdr:to>
    <xdr:pic>
      <xdr:nvPicPr>
        <xdr:cNvPr id="553" name="Picture 552"/>
        <xdr:cNvPicPr>
          <a:picLocks noChangeAspect="1" noChangeArrowheads="1"/>
        </xdr:cNvPicPr>
      </xdr:nvPicPr>
      <xdr:blipFill>
        <a:blip xmlns:r="http://schemas.openxmlformats.org/officeDocument/2006/relationships" r:embed="rId552">
          <a:extLst>
            <a:ext uri="{28A0092B-C50C-407E-A947-70E740481C1C}">
              <a14:useLocalDpi xmlns:a14="http://schemas.microsoft.com/office/drawing/2010/main" val="0"/>
            </a:ext>
          </a:extLst>
        </a:blip>
        <a:srcRect/>
        <a:stretch>
          <a:fillRect/>
        </a:stretch>
      </xdr:blipFill>
      <xdr:spPr bwMode="auto">
        <a:xfrm>
          <a:off x="1228725" y="1036367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554</xdr:row>
      <xdr:rowOff>9525</xdr:rowOff>
    </xdr:from>
    <xdr:to>
      <xdr:col>2</xdr:col>
      <xdr:colOff>1733550</xdr:colOff>
      <xdr:row>554</xdr:row>
      <xdr:rowOff>1524000</xdr:rowOff>
    </xdr:to>
    <xdr:pic>
      <xdr:nvPicPr>
        <xdr:cNvPr id="554" name="Picture 553"/>
        <xdr:cNvPicPr>
          <a:picLocks noChangeAspect="1" noChangeArrowheads="1"/>
        </xdr:cNvPicPr>
      </xdr:nvPicPr>
      <xdr:blipFill>
        <a:blip xmlns:r="http://schemas.openxmlformats.org/officeDocument/2006/relationships" r:embed="rId553">
          <a:extLst>
            <a:ext uri="{28A0092B-C50C-407E-A947-70E740481C1C}">
              <a14:useLocalDpi xmlns:a14="http://schemas.microsoft.com/office/drawing/2010/main" val="0"/>
            </a:ext>
          </a:extLst>
        </a:blip>
        <a:srcRect/>
        <a:stretch>
          <a:fillRect/>
        </a:stretch>
      </xdr:blipFill>
      <xdr:spPr bwMode="auto">
        <a:xfrm>
          <a:off x="1228725" y="1038120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555</xdr:row>
      <xdr:rowOff>9525</xdr:rowOff>
    </xdr:from>
    <xdr:to>
      <xdr:col>2</xdr:col>
      <xdr:colOff>1733550</xdr:colOff>
      <xdr:row>555</xdr:row>
      <xdr:rowOff>1524000</xdr:rowOff>
    </xdr:to>
    <xdr:pic>
      <xdr:nvPicPr>
        <xdr:cNvPr id="555" name="Picture 554"/>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1228725" y="1039872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556</xdr:row>
      <xdr:rowOff>9525</xdr:rowOff>
    </xdr:from>
    <xdr:to>
      <xdr:col>2</xdr:col>
      <xdr:colOff>1733550</xdr:colOff>
      <xdr:row>556</xdr:row>
      <xdr:rowOff>1524000</xdr:rowOff>
    </xdr:to>
    <xdr:pic>
      <xdr:nvPicPr>
        <xdr:cNvPr id="556" name="Picture 555"/>
        <xdr:cNvPicPr>
          <a:picLocks noChangeAspect="1" noChangeArrowheads="1"/>
        </xdr:cNvPicPr>
      </xdr:nvPicPr>
      <xdr:blipFill>
        <a:blip xmlns:r="http://schemas.openxmlformats.org/officeDocument/2006/relationships" r:embed="rId555">
          <a:extLst>
            <a:ext uri="{28A0092B-C50C-407E-A947-70E740481C1C}">
              <a14:useLocalDpi xmlns:a14="http://schemas.microsoft.com/office/drawing/2010/main" val="0"/>
            </a:ext>
          </a:extLst>
        </a:blip>
        <a:srcRect/>
        <a:stretch>
          <a:fillRect/>
        </a:stretch>
      </xdr:blipFill>
      <xdr:spPr bwMode="auto">
        <a:xfrm>
          <a:off x="1228725" y="1041625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557</xdr:row>
      <xdr:rowOff>9525</xdr:rowOff>
    </xdr:from>
    <xdr:to>
      <xdr:col>2</xdr:col>
      <xdr:colOff>1733550</xdr:colOff>
      <xdr:row>557</xdr:row>
      <xdr:rowOff>1524000</xdr:rowOff>
    </xdr:to>
    <xdr:pic>
      <xdr:nvPicPr>
        <xdr:cNvPr id="557" name="Picture 556"/>
        <xdr:cNvPicPr>
          <a:picLocks noChangeAspect="1" noChangeArrowheads="1"/>
        </xdr:cNvPicPr>
      </xdr:nvPicPr>
      <xdr:blipFill>
        <a:blip xmlns:r="http://schemas.openxmlformats.org/officeDocument/2006/relationships" r:embed="rId556">
          <a:extLst>
            <a:ext uri="{28A0092B-C50C-407E-A947-70E740481C1C}">
              <a14:useLocalDpi xmlns:a14="http://schemas.microsoft.com/office/drawing/2010/main" val="0"/>
            </a:ext>
          </a:extLst>
        </a:blip>
        <a:srcRect/>
        <a:stretch>
          <a:fillRect/>
        </a:stretch>
      </xdr:blipFill>
      <xdr:spPr bwMode="auto">
        <a:xfrm>
          <a:off x="1228725" y="1043378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558</xdr:row>
      <xdr:rowOff>9525</xdr:rowOff>
    </xdr:from>
    <xdr:to>
      <xdr:col>2</xdr:col>
      <xdr:colOff>1733550</xdr:colOff>
      <xdr:row>558</xdr:row>
      <xdr:rowOff>1524000</xdr:rowOff>
    </xdr:to>
    <xdr:pic>
      <xdr:nvPicPr>
        <xdr:cNvPr id="558" name="Picture 557"/>
        <xdr:cNvPicPr>
          <a:picLocks noChangeAspect="1" noChangeArrowheads="1"/>
        </xdr:cNvPicPr>
      </xdr:nvPicPr>
      <xdr:blipFill>
        <a:blip xmlns:r="http://schemas.openxmlformats.org/officeDocument/2006/relationships" r:embed="rId557">
          <a:extLst>
            <a:ext uri="{28A0092B-C50C-407E-A947-70E740481C1C}">
              <a14:useLocalDpi xmlns:a14="http://schemas.microsoft.com/office/drawing/2010/main" val="0"/>
            </a:ext>
          </a:extLst>
        </a:blip>
        <a:srcRect/>
        <a:stretch>
          <a:fillRect/>
        </a:stretch>
      </xdr:blipFill>
      <xdr:spPr bwMode="auto">
        <a:xfrm>
          <a:off x="1228725" y="1045130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559</xdr:row>
      <xdr:rowOff>9525</xdr:rowOff>
    </xdr:from>
    <xdr:to>
      <xdr:col>2</xdr:col>
      <xdr:colOff>1733550</xdr:colOff>
      <xdr:row>559</xdr:row>
      <xdr:rowOff>1524000</xdr:rowOff>
    </xdr:to>
    <xdr:pic>
      <xdr:nvPicPr>
        <xdr:cNvPr id="559" name="Picture 558"/>
        <xdr:cNvPicPr>
          <a:picLocks noChangeAspect="1" noChangeArrowheads="1"/>
        </xdr:cNvPicPr>
      </xdr:nvPicPr>
      <xdr:blipFill>
        <a:blip xmlns:r="http://schemas.openxmlformats.org/officeDocument/2006/relationships" r:embed="rId558">
          <a:extLst>
            <a:ext uri="{28A0092B-C50C-407E-A947-70E740481C1C}">
              <a14:useLocalDpi xmlns:a14="http://schemas.microsoft.com/office/drawing/2010/main" val="0"/>
            </a:ext>
          </a:extLst>
        </a:blip>
        <a:srcRect/>
        <a:stretch>
          <a:fillRect/>
        </a:stretch>
      </xdr:blipFill>
      <xdr:spPr bwMode="auto">
        <a:xfrm>
          <a:off x="1228725" y="1046883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560</xdr:row>
      <xdr:rowOff>9525</xdr:rowOff>
    </xdr:from>
    <xdr:to>
      <xdr:col>2</xdr:col>
      <xdr:colOff>1733550</xdr:colOff>
      <xdr:row>560</xdr:row>
      <xdr:rowOff>1524000</xdr:rowOff>
    </xdr:to>
    <xdr:pic>
      <xdr:nvPicPr>
        <xdr:cNvPr id="560" name="Picture 559"/>
        <xdr:cNvPicPr>
          <a:picLocks noChangeAspect="1" noChangeArrowheads="1"/>
        </xdr:cNvPicPr>
      </xdr:nvPicPr>
      <xdr:blipFill>
        <a:blip xmlns:r="http://schemas.openxmlformats.org/officeDocument/2006/relationships" r:embed="rId559">
          <a:extLst>
            <a:ext uri="{28A0092B-C50C-407E-A947-70E740481C1C}">
              <a14:useLocalDpi xmlns:a14="http://schemas.microsoft.com/office/drawing/2010/main" val="0"/>
            </a:ext>
          </a:extLst>
        </a:blip>
        <a:srcRect/>
        <a:stretch>
          <a:fillRect/>
        </a:stretch>
      </xdr:blipFill>
      <xdr:spPr bwMode="auto">
        <a:xfrm>
          <a:off x="1228725" y="1048635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561</xdr:row>
      <xdr:rowOff>9525</xdr:rowOff>
    </xdr:from>
    <xdr:to>
      <xdr:col>2</xdr:col>
      <xdr:colOff>1733550</xdr:colOff>
      <xdr:row>561</xdr:row>
      <xdr:rowOff>1524000</xdr:rowOff>
    </xdr:to>
    <xdr:pic>
      <xdr:nvPicPr>
        <xdr:cNvPr id="561" name="Picture 560"/>
        <xdr:cNvPicPr>
          <a:picLocks noChangeAspect="1" noChangeArrowheads="1"/>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1228725" y="1050388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562</xdr:row>
      <xdr:rowOff>9525</xdr:rowOff>
    </xdr:from>
    <xdr:to>
      <xdr:col>2</xdr:col>
      <xdr:colOff>1733550</xdr:colOff>
      <xdr:row>562</xdr:row>
      <xdr:rowOff>1524000</xdr:rowOff>
    </xdr:to>
    <xdr:pic>
      <xdr:nvPicPr>
        <xdr:cNvPr id="562" name="Picture 561"/>
        <xdr:cNvPicPr>
          <a:picLocks noChangeAspect="1" noChangeArrowheads="1"/>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1228725" y="1052141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563</xdr:row>
      <xdr:rowOff>19050</xdr:rowOff>
    </xdr:from>
    <xdr:to>
      <xdr:col>2</xdr:col>
      <xdr:colOff>1733550</xdr:colOff>
      <xdr:row>563</xdr:row>
      <xdr:rowOff>1666875</xdr:rowOff>
    </xdr:to>
    <xdr:pic>
      <xdr:nvPicPr>
        <xdr:cNvPr id="563" name="Picture 562"/>
        <xdr:cNvPicPr>
          <a:picLocks noChangeAspect="1" noChangeArrowheads="1"/>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1228725" y="1053903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564</xdr:row>
      <xdr:rowOff>9525</xdr:rowOff>
    </xdr:from>
    <xdr:to>
      <xdr:col>2</xdr:col>
      <xdr:colOff>1733550</xdr:colOff>
      <xdr:row>564</xdr:row>
      <xdr:rowOff>1524000</xdr:rowOff>
    </xdr:to>
    <xdr:pic>
      <xdr:nvPicPr>
        <xdr:cNvPr id="564" name="Picture 563"/>
        <xdr:cNvPicPr>
          <a:picLocks noChangeAspect="1" noChangeArrowheads="1"/>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1228725" y="1055808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565</xdr:row>
      <xdr:rowOff>9525</xdr:rowOff>
    </xdr:from>
    <xdr:to>
      <xdr:col>2</xdr:col>
      <xdr:colOff>1733550</xdr:colOff>
      <xdr:row>565</xdr:row>
      <xdr:rowOff>1524000</xdr:rowOff>
    </xdr:to>
    <xdr:pic>
      <xdr:nvPicPr>
        <xdr:cNvPr id="565" name="Picture 564"/>
        <xdr:cNvPicPr>
          <a:picLocks noChangeAspect="1" noChangeArrowheads="1"/>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1228725" y="1057560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566</xdr:row>
      <xdr:rowOff>19050</xdr:rowOff>
    </xdr:from>
    <xdr:to>
      <xdr:col>2</xdr:col>
      <xdr:colOff>1733550</xdr:colOff>
      <xdr:row>566</xdr:row>
      <xdr:rowOff>1647825</xdr:rowOff>
    </xdr:to>
    <xdr:pic>
      <xdr:nvPicPr>
        <xdr:cNvPr id="566" name="Picture 565"/>
        <xdr:cNvPicPr>
          <a:picLocks noChangeAspect="1" noChangeArrowheads="1"/>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1228725" y="10593228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567</xdr:row>
      <xdr:rowOff>9525</xdr:rowOff>
    </xdr:from>
    <xdr:to>
      <xdr:col>2</xdr:col>
      <xdr:colOff>1733550</xdr:colOff>
      <xdr:row>567</xdr:row>
      <xdr:rowOff>1524000</xdr:rowOff>
    </xdr:to>
    <xdr:pic>
      <xdr:nvPicPr>
        <xdr:cNvPr id="567" name="Picture 566"/>
        <xdr:cNvPicPr>
          <a:picLocks noChangeAspect="1" noChangeArrowheads="1"/>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1228725" y="1061208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568</xdr:row>
      <xdr:rowOff>19050</xdr:rowOff>
    </xdr:from>
    <xdr:to>
      <xdr:col>2</xdr:col>
      <xdr:colOff>1733550</xdr:colOff>
      <xdr:row>568</xdr:row>
      <xdr:rowOff>1752600</xdr:rowOff>
    </xdr:to>
    <xdr:pic>
      <xdr:nvPicPr>
        <xdr:cNvPr id="568" name="Picture 567"/>
        <xdr:cNvPicPr>
          <a:picLocks noChangeAspect="1" noChangeArrowheads="1"/>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1228725" y="1062970950"/>
          <a:ext cx="1724025"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569</xdr:row>
      <xdr:rowOff>19050</xdr:rowOff>
    </xdr:from>
    <xdr:to>
      <xdr:col>2</xdr:col>
      <xdr:colOff>1733550</xdr:colOff>
      <xdr:row>569</xdr:row>
      <xdr:rowOff>1666875</xdr:rowOff>
    </xdr:to>
    <xdr:pic>
      <xdr:nvPicPr>
        <xdr:cNvPr id="569" name="Picture 568"/>
        <xdr:cNvPicPr>
          <a:picLocks noChangeAspect="1" noChangeArrowheads="1"/>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1228725" y="106498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570</xdr:row>
      <xdr:rowOff>19050</xdr:rowOff>
    </xdr:from>
    <xdr:to>
      <xdr:col>2</xdr:col>
      <xdr:colOff>1733550</xdr:colOff>
      <xdr:row>570</xdr:row>
      <xdr:rowOff>1666875</xdr:rowOff>
    </xdr:to>
    <xdr:pic>
      <xdr:nvPicPr>
        <xdr:cNvPr id="570" name="Picture 569"/>
        <xdr:cNvPicPr>
          <a:picLocks noChangeAspect="1" noChangeArrowheads="1"/>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1228725" y="106689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571</xdr:row>
      <xdr:rowOff>9525</xdr:rowOff>
    </xdr:from>
    <xdr:to>
      <xdr:col>2</xdr:col>
      <xdr:colOff>1733550</xdr:colOff>
      <xdr:row>571</xdr:row>
      <xdr:rowOff>1524000</xdr:rowOff>
    </xdr:to>
    <xdr:pic>
      <xdr:nvPicPr>
        <xdr:cNvPr id="571" name="Picture 570"/>
        <xdr:cNvPicPr>
          <a:picLocks noChangeAspect="1" noChangeArrowheads="1"/>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1228725" y="1068800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572</xdr:row>
      <xdr:rowOff>9525</xdr:rowOff>
    </xdr:from>
    <xdr:to>
      <xdr:col>2</xdr:col>
      <xdr:colOff>1733550</xdr:colOff>
      <xdr:row>572</xdr:row>
      <xdr:rowOff>1524000</xdr:rowOff>
    </xdr:to>
    <xdr:pic>
      <xdr:nvPicPr>
        <xdr:cNvPr id="572" name="Picture 571"/>
        <xdr:cNvPicPr>
          <a:picLocks noChangeAspect="1" noChangeArrowheads="1"/>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1228725" y="10705528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573</xdr:row>
      <xdr:rowOff>9525</xdr:rowOff>
    </xdr:from>
    <xdr:to>
      <xdr:col>2</xdr:col>
      <xdr:colOff>1733550</xdr:colOff>
      <xdr:row>573</xdr:row>
      <xdr:rowOff>1524000</xdr:rowOff>
    </xdr:to>
    <xdr:pic>
      <xdr:nvPicPr>
        <xdr:cNvPr id="573" name="Picture 572"/>
        <xdr:cNvPicPr>
          <a:picLocks noChangeAspect="1" noChangeArrowheads="1"/>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1228725" y="1072305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574</xdr:row>
      <xdr:rowOff>9525</xdr:rowOff>
    </xdr:from>
    <xdr:to>
      <xdr:col>2</xdr:col>
      <xdr:colOff>1733550</xdr:colOff>
      <xdr:row>574</xdr:row>
      <xdr:rowOff>1524000</xdr:rowOff>
    </xdr:to>
    <xdr:pic>
      <xdr:nvPicPr>
        <xdr:cNvPr id="574" name="Picture 573"/>
        <xdr:cNvPicPr>
          <a:picLocks noChangeAspect="1" noChangeArrowheads="1"/>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1228725" y="1074058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575</xdr:row>
      <xdr:rowOff>19050</xdr:rowOff>
    </xdr:from>
    <xdr:to>
      <xdr:col>2</xdr:col>
      <xdr:colOff>1733550</xdr:colOff>
      <xdr:row>575</xdr:row>
      <xdr:rowOff>1666875</xdr:rowOff>
    </xdr:to>
    <xdr:pic>
      <xdr:nvPicPr>
        <xdr:cNvPr id="575" name="Picture 574"/>
        <xdr:cNvPicPr>
          <a:picLocks noChangeAspect="1" noChangeArrowheads="1"/>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1228725" y="107582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576</xdr:row>
      <xdr:rowOff>19050</xdr:rowOff>
    </xdr:from>
    <xdr:to>
      <xdr:col>2</xdr:col>
      <xdr:colOff>1733550</xdr:colOff>
      <xdr:row>576</xdr:row>
      <xdr:rowOff>1666875</xdr:rowOff>
    </xdr:to>
    <xdr:pic>
      <xdr:nvPicPr>
        <xdr:cNvPr id="576" name="Picture 575"/>
        <xdr:cNvPicPr>
          <a:picLocks noChangeAspect="1" noChangeArrowheads="1"/>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1228725" y="107773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577</xdr:row>
      <xdr:rowOff>19050</xdr:rowOff>
    </xdr:from>
    <xdr:to>
      <xdr:col>2</xdr:col>
      <xdr:colOff>1733550</xdr:colOff>
      <xdr:row>577</xdr:row>
      <xdr:rowOff>1666875</xdr:rowOff>
    </xdr:to>
    <xdr:pic>
      <xdr:nvPicPr>
        <xdr:cNvPr id="577" name="Picture 576"/>
        <xdr:cNvPicPr>
          <a:picLocks noChangeAspect="1" noChangeArrowheads="1"/>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1228725" y="107964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578</xdr:row>
      <xdr:rowOff>19050</xdr:rowOff>
    </xdr:from>
    <xdr:to>
      <xdr:col>2</xdr:col>
      <xdr:colOff>1733550</xdr:colOff>
      <xdr:row>578</xdr:row>
      <xdr:rowOff>1666875</xdr:rowOff>
    </xdr:to>
    <xdr:pic>
      <xdr:nvPicPr>
        <xdr:cNvPr id="578" name="Picture 577"/>
        <xdr:cNvPicPr>
          <a:picLocks noChangeAspect="1" noChangeArrowheads="1"/>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1228725" y="1081563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579</xdr:row>
      <xdr:rowOff>19050</xdr:rowOff>
    </xdr:from>
    <xdr:to>
      <xdr:col>2</xdr:col>
      <xdr:colOff>1733550</xdr:colOff>
      <xdr:row>579</xdr:row>
      <xdr:rowOff>1666875</xdr:rowOff>
    </xdr:to>
    <xdr:pic>
      <xdr:nvPicPr>
        <xdr:cNvPr id="579" name="Picture 578"/>
        <xdr:cNvPicPr>
          <a:picLocks noChangeAspect="1" noChangeArrowheads="1"/>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1228725" y="1083478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580</xdr:row>
      <xdr:rowOff>19050</xdr:rowOff>
    </xdr:from>
    <xdr:to>
      <xdr:col>2</xdr:col>
      <xdr:colOff>1733550</xdr:colOff>
      <xdr:row>580</xdr:row>
      <xdr:rowOff>1666875</xdr:rowOff>
    </xdr:to>
    <xdr:pic>
      <xdr:nvPicPr>
        <xdr:cNvPr id="580" name="Picture 579"/>
        <xdr:cNvPicPr>
          <a:picLocks noChangeAspect="1" noChangeArrowheads="1"/>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1228725" y="1085392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581</xdr:row>
      <xdr:rowOff>19050</xdr:rowOff>
    </xdr:from>
    <xdr:to>
      <xdr:col>2</xdr:col>
      <xdr:colOff>1733550</xdr:colOff>
      <xdr:row>581</xdr:row>
      <xdr:rowOff>1666875</xdr:rowOff>
    </xdr:to>
    <xdr:pic>
      <xdr:nvPicPr>
        <xdr:cNvPr id="581" name="Picture 580"/>
        <xdr:cNvPicPr>
          <a:picLocks noChangeAspect="1" noChangeArrowheads="1"/>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1228725" y="1087307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582</xdr:row>
      <xdr:rowOff>19050</xdr:rowOff>
    </xdr:from>
    <xdr:to>
      <xdr:col>2</xdr:col>
      <xdr:colOff>1733550</xdr:colOff>
      <xdr:row>582</xdr:row>
      <xdr:rowOff>1666875</xdr:rowOff>
    </xdr:to>
    <xdr:pic>
      <xdr:nvPicPr>
        <xdr:cNvPr id="582" name="Picture 581"/>
        <xdr:cNvPicPr>
          <a:picLocks noChangeAspect="1" noChangeArrowheads="1"/>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1228725" y="1089221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583</xdr:row>
      <xdr:rowOff>19050</xdr:rowOff>
    </xdr:from>
    <xdr:to>
      <xdr:col>2</xdr:col>
      <xdr:colOff>1733550</xdr:colOff>
      <xdr:row>583</xdr:row>
      <xdr:rowOff>1666875</xdr:rowOff>
    </xdr:to>
    <xdr:pic>
      <xdr:nvPicPr>
        <xdr:cNvPr id="583" name="Picture 582"/>
        <xdr:cNvPicPr>
          <a:picLocks noChangeAspect="1" noChangeArrowheads="1"/>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1228725" y="1091136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584</xdr:row>
      <xdr:rowOff>19050</xdr:rowOff>
    </xdr:from>
    <xdr:to>
      <xdr:col>2</xdr:col>
      <xdr:colOff>1733550</xdr:colOff>
      <xdr:row>584</xdr:row>
      <xdr:rowOff>1666875</xdr:rowOff>
    </xdr:to>
    <xdr:pic>
      <xdr:nvPicPr>
        <xdr:cNvPr id="584" name="Picture 583"/>
        <xdr:cNvPicPr>
          <a:picLocks noChangeAspect="1" noChangeArrowheads="1"/>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1228725" y="109305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585</xdr:row>
      <xdr:rowOff>19050</xdr:rowOff>
    </xdr:from>
    <xdr:to>
      <xdr:col>2</xdr:col>
      <xdr:colOff>1733550</xdr:colOff>
      <xdr:row>585</xdr:row>
      <xdr:rowOff>1666875</xdr:rowOff>
    </xdr:to>
    <xdr:pic>
      <xdr:nvPicPr>
        <xdr:cNvPr id="585" name="Picture 584"/>
        <xdr:cNvPicPr>
          <a:picLocks noChangeAspect="1" noChangeArrowheads="1"/>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1228725" y="1094965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586</xdr:row>
      <xdr:rowOff>19050</xdr:rowOff>
    </xdr:from>
    <xdr:to>
      <xdr:col>2</xdr:col>
      <xdr:colOff>1733550</xdr:colOff>
      <xdr:row>586</xdr:row>
      <xdr:rowOff>1666875</xdr:rowOff>
    </xdr:to>
    <xdr:pic>
      <xdr:nvPicPr>
        <xdr:cNvPr id="586" name="Picture 585"/>
        <xdr:cNvPicPr>
          <a:picLocks noChangeAspect="1" noChangeArrowheads="1"/>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1228725" y="1096879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587</xdr:row>
      <xdr:rowOff>19050</xdr:rowOff>
    </xdr:from>
    <xdr:to>
      <xdr:col>2</xdr:col>
      <xdr:colOff>1733550</xdr:colOff>
      <xdr:row>587</xdr:row>
      <xdr:rowOff>1666875</xdr:rowOff>
    </xdr:to>
    <xdr:pic>
      <xdr:nvPicPr>
        <xdr:cNvPr id="587" name="Picture 586"/>
        <xdr:cNvPicPr>
          <a:picLocks noChangeAspect="1" noChangeArrowheads="1"/>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1228725" y="109879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588</xdr:row>
      <xdr:rowOff>19050</xdr:rowOff>
    </xdr:from>
    <xdr:to>
      <xdr:col>2</xdr:col>
      <xdr:colOff>1733550</xdr:colOff>
      <xdr:row>588</xdr:row>
      <xdr:rowOff>1666875</xdr:rowOff>
    </xdr:to>
    <xdr:pic>
      <xdr:nvPicPr>
        <xdr:cNvPr id="588" name="Picture 587"/>
        <xdr:cNvPicPr>
          <a:picLocks noChangeAspect="1" noChangeArrowheads="1"/>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1228725" y="110070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589</xdr:row>
      <xdr:rowOff>19050</xdr:rowOff>
    </xdr:from>
    <xdr:to>
      <xdr:col>2</xdr:col>
      <xdr:colOff>1733550</xdr:colOff>
      <xdr:row>589</xdr:row>
      <xdr:rowOff>1666875</xdr:rowOff>
    </xdr:to>
    <xdr:pic>
      <xdr:nvPicPr>
        <xdr:cNvPr id="589" name="Picture 588"/>
        <xdr:cNvPicPr>
          <a:picLocks noChangeAspect="1" noChangeArrowheads="1"/>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1228725" y="1102623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590</xdr:row>
      <xdr:rowOff>19050</xdr:rowOff>
    </xdr:from>
    <xdr:to>
      <xdr:col>2</xdr:col>
      <xdr:colOff>1733550</xdr:colOff>
      <xdr:row>590</xdr:row>
      <xdr:rowOff>1666875</xdr:rowOff>
    </xdr:to>
    <xdr:pic>
      <xdr:nvPicPr>
        <xdr:cNvPr id="590" name="Picture 589"/>
        <xdr:cNvPicPr>
          <a:picLocks noChangeAspect="1" noChangeArrowheads="1"/>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1228725" y="1104538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591</xdr:row>
      <xdr:rowOff>19050</xdr:rowOff>
    </xdr:from>
    <xdr:to>
      <xdr:col>2</xdr:col>
      <xdr:colOff>1733550</xdr:colOff>
      <xdr:row>591</xdr:row>
      <xdr:rowOff>1666875</xdr:rowOff>
    </xdr:to>
    <xdr:pic>
      <xdr:nvPicPr>
        <xdr:cNvPr id="591" name="Picture 590"/>
        <xdr:cNvPicPr>
          <a:picLocks noChangeAspect="1" noChangeArrowheads="1"/>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1228725" y="1106452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592</xdr:row>
      <xdr:rowOff>19050</xdr:rowOff>
    </xdr:from>
    <xdr:to>
      <xdr:col>2</xdr:col>
      <xdr:colOff>1733550</xdr:colOff>
      <xdr:row>592</xdr:row>
      <xdr:rowOff>1666875</xdr:rowOff>
    </xdr:to>
    <xdr:pic>
      <xdr:nvPicPr>
        <xdr:cNvPr id="592" name="Picture 591"/>
        <xdr:cNvPicPr>
          <a:picLocks noChangeAspect="1" noChangeArrowheads="1"/>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1228725" y="1108367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593</xdr:row>
      <xdr:rowOff>19050</xdr:rowOff>
    </xdr:from>
    <xdr:to>
      <xdr:col>2</xdr:col>
      <xdr:colOff>1733550</xdr:colOff>
      <xdr:row>593</xdr:row>
      <xdr:rowOff>1666875</xdr:rowOff>
    </xdr:to>
    <xdr:pic>
      <xdr:nvPicPr>
        <xdr:cNvPr id="593" name="Picture 592"/>
        <xdr:cNvPicPr>
          <a:picLocks noChangeAspect="1" noChangeArrowheads="1"/>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1228725" y="1110281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594</xdr:row>
      <xdr:rowOff>19050</xdr:rowOff>
    </xdr:from>
    <xdr:to>
      <xdr:col>2</xdr:col>
      <xdr:colOff>1733550</xdr:colOff>
      <xdr:row>594</xdr:row>
      <xdr:rowOff>1666875</xdr:rowOff>
    </xdr:to>
    <xdr:pic>
      <xdr:nvPicPr>
        <xdr:cNvPr id="594" name="Picture 593"/>
        <xdr:cNvPicPr>
          <a:picLocks noChangeAspect="1" noChangeArrowheads="1"/>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1228725" y="1112196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595</xdr:row>
      <xdr:rowOff>19050</xdr:rowOff>
    </xdr:from>
    <xdr:to>
      <xdr:col>2</xdr:col>
      <xdr:colOff>1733550</xdr:colOff>
      <xdr:row>595</xdr:row>
      <xdr:rowOff>1666875</xdr:rowOff>
    </xdr:to>
    <xdr:pic>
      <xdr:nvPicPr>
        <xdr:cNvPr id="595" name="Picture 594"/>
        <xdr:cNvPicPr>
          <a:picLocks noChangeAspect="1" noChangeArrowheads="1"/>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1228725" y="1114110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596</xdr:row>
      <xdr:rowOff>19050</xdr:rowOff>
    </xdr:from>
    <xdr:to>
      <xdr:col>2</xdr:col>
      <xdr:colOff>1733550</xdr:colOff>
      <xdr:row>596</xdr:row>
      <xdr:rowOff>1666875</xdr:rowOff>
    </xdr:to>
    <xdr:pic>
      <xdr:nvPicPr>
        <xdr:cNvPr id="596" name="Picture 595"/>
        <xdr:cNvPicPr>
          <a:picLocks noChangeAspect="1" noChangeArrowheads="1"/>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1228725" y="1116025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597</xdr:row>
      <xdr:rowOff>19050</xdr:rowOff>
    </xdr:from>
    <xdr:to>
      <xdr:col>2</xdr:col>
      <xdr:colOff>1733550</xdr:colOff>
      <xdr:row>597</xdr:row>
      <xdr:rowOff>1666875</xdr:rowOff>
    </xdr:to>
    <xdr:pic>
      <xdr:nvPicPr>
        <xdr:cNvPr id="597" name="Picture 596"/>
        <xdr:cNvPicPr>
          <a:picLocks noChangeAspect="1" noChangeArrowheads="1"/>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1228725" y="1117939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598</xdr:row>
      <xdr:rowOff>19050</xdr:rowOff>
    </xdr:from>
    <xdr:to>
      <xdr:col>2</xdr:col>
      <xdr:colOff>1733550</xdr:colOff>
      <xdr:row>598</xdr:row>
      <xdr:rowOff>1666875</xdr:rowOff>
    </xdr:to>
    <xdr:pic>
      <xdr:nvPicPr>
        <xdr:cNvPr id="598" name="Picture 597"/>
        <xdr:cNvPicPr>
          <a:picLocks noChangeAspect="1" noChangeArrowheads="1"/>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1228725" y="111985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599</xdr:row>
      <xdr:rowOff>19050</xdr:rowOff>
    </xdr:from>
    <xdr:to>
      <xdr:col>2</xdr:col>
      <xdr:colOff>1733550</xdr:colOff>
      <xdr:row>599</xdr:row>
      <xdr:rowOff>1666875</xdr:rowOff>
    </xdr:to>
    <xdr:pic>
      <xdr:nvPicPr>
        <xdr:cNvPr id="599" name="Picture 598"/>
        <xdr:cNvPicPr>
          <a:picLocks noChangeAspect="1" noChangeArrowheads="1"/>
        </xdr:cNvPicPr>
      </xdr:nvPicPr>
      <xdr:blipFill>
        <a:blip xmlns:r="http://schemas.openxmlformats.org/officeDocument/2006/relationships" r:embed="rId598">
          <a:extLst>
            <a:ext uri="{28A0092B-C50C-407E-A947-70E740481C1C}">
              <a14:useLocalDpi xmlns:a14="http://schemas.microsoft.com/office/drawing/2010/main" val="0"/>
            </a:ext>
          </a:extLst>
        </a:blip>
        <a:srcRect/>
        <a:stretch>
          <a:fillRect/>
        </a:stretch>
      </xdr:blipFill>
      <xdr:spPr bwMode="auto">
        <a:xfrm>
          <a:off x="1228725" y="1121768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600</xdr:row>
      <xdr:rowOff>19050</xdr:rowOff>
    </xdr:from>
    <xdr:to>
      <xdr:col>2</xdr:col>
      <xdr:colOff>1733550</xdr:colOff>
      <xdr:row>600</xdr:row>
      <xdr:rowOff>1666875</xdr:rowOff>
    </xdr:to>
    <xdr:pic>
      <xdr:nvPicPr>
        <xdr:cNvPr id="600" name="Picture 599"/>
        <xdr:cNvPicPr>
          <a:picLocks noChangeAspect="1" noChangeArrowheads="1"/>
        </xdr:cNvPicPr>
      </xdr:nvPicPr>
      <xdr:blipFill>
        <a:blip xmlns:r="http://schemas.openxmlformats.org/officeDocument/2006/relationships" r:embed="rId599">
          <a:extLst>
            <a:ext uri="{28A0092B-C50C-407E-A947-70E740481C1C}">
              <a14:useLocalDpi xmlns:a14="http://schemas.microsoft.com/office/drawing/2010/main" val="0"/>
            </a:ext>
          </a:extLst>
        </a:blip>
        <a:srcRect/>
        <a:stretch>
          <a:fillRect/>
        </a:stretch>
      </xdr:blipFill>
      <xdr:spPr bwMode="auto">
        <a:xfrm>
          <a:off x="1228725" y="1123683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601</xdr:row>
      <xdr:rowOff>19050</xdr:rowOff>
    </xdr:from>
    <xdr:to>
      <xdr:col>2</xdr:col>
      <xdr:colOff>1733550</xdr:colOff>
      <xdr:row>601</xdr:row>
      <xdr:rowOff>1666875</xdr:rowOff>
    </xdr:to>
    <xdr:pic>
      <xdr:nvPicPr>
        <xdr:cNvPr id="601" name="Picture 600"/>
        <xdr:cNvPicPr>
          <a:picLocks noChangeAspect="1" noChangeArrowheads="1"/>
        </xdr:cNvPicPr>
      </xdr:nvPicPr>
      <xdr:blipFill>
        <a:blip xmlns:r="http://schemas.openxmlformats.org/officeDocument/2006/relationships" r:embed="rId600">
          <a:extLst>
            <a:ext uri="{28A0092B-C50C-407E-A947-70E740481C1C}">
              <a14:useLocalDpi xmlns:a14="http://schemas.microsoft.com/office/drawing/2010/main" val="0"/>
            </a:ext>
          </a:extLst>
        </a:blip>
        <a:srcRect/>
        <a:stretch>
          <a:fillRect/>
        </a:stretch>
      </xdr:blipFill>
      <xdr:spPr bwMode="auto">
        <a:xfrm>
          <a:off x="1228725" y="1125597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602</xdr:row>
      <xdr:rowOff>19050</xdr:rowOff>
    </xdr:from>
    <xdr:to>
      <xdr:col>2</xdr:col>
      <xdr:colOff>1733550</xdr:colOff>
      <xdr:row>602</xdr:row>
      <xdr:rowOff>1666875</xdr:rowOff>
    </xdr:to>
    <xdr:pic>
      <xdr:nvPicPr>
        <xdr:cNvPr id="602" name="Picture 601"/>
        <xdr:cNvPicPr>
          <a:picLocks noChangeAspect="1" noChangeArrowheads="1"/>
        </xdr:cNvPicPr>
      </xdr:nvPicPr>
      <xdr:blipFill>
        <a:blip xmlns:r="http://schemas.openxmlformats.org/officeDocument/2006/relationships" r:embed="rId601">
          <a:extLst>
            <a:ext uri="{28A0092B-C50C-407E-A947-70E740481C1C}">
              <a14:useLocalDpi xmlns:a14="http://schemas.microsoft.com/office/drawing/2010/main" val="0"/>
            </a:ext>
          </a:extLst>
        </a:blip>
        <a:srcRect/>
        <a:stretch>
          <a:fillRect/>
        </a:stretch>
      </xdr:blipFill>
      <xdr:spPr bwMode="auto">
        <a:xfrm>
          <a:off x="1228725" y="1127512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603</xdr:row>
      <xdr:rowOff>19050</xdr:rowOff>
    </xdr:from>
    <xdr:to>
      <xdr:col>2</xdr:col>
      <xdr:colOff>1733550</xdr:colOff>
      <xdr:row>603</xdr:row>
      <xdr:rowOff>1666875</xdr:rowOff>
    </xdr:to>
    <xdr:pic>
      <xdr:nvPicPr>
        <xdr:cNvPr id="603" name="Picture 602"/>
        <xdr:cNvPicPr>
          <a:picLocks noChangeAspect="1" noChangeArrowheads="1"/>
        </xdr:cNvPicPr>
      </xdr:nvPicPr>
      <xdr:blipFill>
        <a:blip xmlns:r="http://schemas.openxmlformats.org/officeDocument/2006/relationships" r:embed="rId602">
          <a:extLst>
            <a:ext uri="{28A0092B-C50C-407E-A947-70E740481C1C}">
              <a14:useLocalDpi xmlns:a14="http://schemas.microsoft.com/office/drawing/2010/main" val="0"/>
            </a:ext>
          </a:extLst>
        </a:blip>
        <a:srcRect/>
        <a:stretch>
          <a:fillRect/>
        </a:stretch>
      </xdr:blipFill>
      <xdr:spPr bwMode="auto">
        <a:xfrm>
          <a:off x="1228725" y="1129426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604</xdr:row>
      <xdr:rowOff>19050</xdr:rowOff>
    </xdr:from>
    <xdr:to>
      <xdr:col>2</xdr:col>
      <xdr:colOff>1733550</xdr:colOff>
      <xdr:row>604</xdr:row>
      <xdr:rowOff>1666875</xdr:rowOff>
    </xdr:to>
    <xdr:pic>
      <xdr:nvPicPr>
        <xdr:cNvPr id="604" name="Picture 603"/>
        <xdr:cNvPicPr>
          <a:picLocks noChangeAspect="1" noChangeArrowheads="1"/>
        </xdr:cNvPicPr>
      </xdr:nvPicPr>
      <xdr:blipFill>
        <a:blip xmlns:r="http://schemas.openxmlformats.org/officeDocument/2006/relationships" r:embed="rId603">
          <a:extLst>
            <a:ext uri="{28A0092B-C50C-407E-A947-70E740481C1C}">
              <a14:useLocalDpi xmlns:a14="http://schemas.microsoft.com/office/drawing/2010/main" val="0"/>
            </a:ext>
          </a:extLst>
        </a:blip>
        <a:srcRect/>
        <a:stretch>
          <a:fillRect/>
        </a:stretch>
      </xdr:blipFill>
      <xdr:spPr bwMode="auto">
        <a:xfrm>
          <a:off x="1228725" y="1131341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605</xdr:row>
      <xdr:rowOff>19050</xdr:rowOff>
    </xdr:from>
    <xdr:to>
      <xdr:col>2</xdr:col>
      <xdr:colOff>1733550</xdr:colOff>
      <xdr:row>605</xdr:row>
      <xdr:rowOff>1666875</xdr:rowOff>
    </xdr:to>
    <xdr:pic>
      <xdr:nvPicPr>
        <xdr:cNvPr id="605" name="Picture 604"/>
        <xdr:cNvPicPr>
          <a:picLocks noChangeAspect="1" noChangeArrowheads="1"/>
        </xdr:cNvPicPr>
      </xdr:nvPicPr>
      <xdr:blipFill>
        <a:blip xmlns:r="http://schemas.openxmlformats.org/officeDocument/2006/relationships" r:embed="rId604">
          <a:extLst>
            <a:ext uri="{28A0092B-C50C-407E-A947-70E740481C1C}">
              <a14:useLocalDpi xmlns:a14="http://schemas.microsoft.com/office/drawing/2010/main" val="0"/>
            </a:ext>
          </a:extLst>
        </a:blip>
        <a:srcRect/>
        <a:stretch>
          <a:fillRect/>
        </a:stretch>
      </xdr:blipFill>
      <xdr:spPr bwMode="auto">
        <a:xfrm>
          <a:off x="1228725" y="1133255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606</xdr:row>
      <xdr:rowOff>19050</xdr:rowOff>
    </xdr:from>
    <xdr:to>
      <xdr:col>2</xdr:col>
      <xdr:colOff>1733550</xdr:colOff>
      <xdr:row>606</xdr:row>
      <xdr:rowOff>1666875</xdr:rowOff>
    </xdr:to>
    <xdr:pic>
      <xdr:nvPicPr>
        <xdr:cNvPr id="606" name="Picture 605"/>
        <xdr:cNvPicPr>
          <a:picLocks noChangeAspect="1" noChangeArrowheads="1"/>
        </xdr:cNvPicPr>
      </xdr:nvPicPr>
      <xdr:blipFill>
        <a:blip xmlns:r="http://schemas.openxmlformats.org/officeDocument/2006/relationships" r:embed="rId605">
          <a:extLst>
            <a:ext uri="{28A0092B-C50C-407E-A947-70E740481C1C}">
              <a14:useLocalDpi xmlns:a14="http://schemas.microsoft.com/office/drawing/2010/main" val="0"/>
            </a:ext>
          </a:extLst>
        </a:blip>
        <a:srcRect/>
        <a:stretch>
          <a:fillRect/>
        </a:stretch>
      </xdr:blipFill>
      <xdr:spPr bwMode="auto">
        <a:xfrm>
          <a:off x="1228725" y="1135170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607</xdr:row>
      <xdr:rowOff>19050</xdr:rowOff>
    </xdr:from>
    <xdr:to>
      <xdr:col>2</xdr:col>
      <xdr:colOff>1733550</xdr:colOff>
      <xdr:row>607</xdr:row>
      <xdr:rowOff>1666875</xdr:rowOff>
    </xdr:to>
    <xdr:pic>
      <xdr:nvPicPr>
        <xdr:cNvPr id="607" name="Picture 606"/>
        <xdr:cNvPicPr>
          <a:picLocks noChangeAspect="1" noChangeArrowheads="1"/>
        </xdr:cNvPicPr>
      </xdr:nvPicPr>
      <xdr:blipFill>
        <a:blip xmlns:r="http://schemas.openxmlformats.org/officeDocument/2006/relationships" r:embed="rId606">
          <a:extLst>
            <a:ext uri="{28A0092B-C50C-407E-A947-70E740481C1C}">
              <a14:useLocalDpi xmlns:a14="http://schemas.microsoft.com/office/drawing/2010/main" val="0"/>
            </a:ext>
          </a:extLst>
        </a:blip>
        <a:srcRect/>
        <a:stretch>
          <a:fillRect/>
        </a:stretch>
      </xdr:blipFill>
      <xdr:spPr bwMode="auto">
        <a:xfrm>
          <a:off x="1228725" y="1137084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608</xdr:row>
      <xdr:rowOff>19050</xdr:rowOff>
    </xdr:from>
    <xdr:to>
      <xdr:col>2</xdr:col>
      <xdr:colOff>1733550</xdr:colOff>
      <xdr:row>608</xdr:row>
      <xdr:rowOff>1666875</xdr:rowOff>
    </xdr:to>
    <xdr:pic>
      <xdr:nvPicPr>
        <xdr:cNvPr id="608" name="Picture 607"/>
        <xdr:cNvPicPr>
          <a:picLocks noChangeAspect="1" noChangeArrowheads="1"/>
        </xdr:cNvPicPr>
      </xdr:nvPicPr>
      <xdr:blipFill>
        <a:blip xmlns:r="http://schemas.openxmlformats.org/officeDocument/2006/relationships" r:embed="rId607">
          <a:extLst>
            <a:ext uri="{28A0092B-C50C-407E-A947-70E740481C1C}">
              <a14:useLocalDpi xmlns:a14="http://schemas.microsoft.com/office/drawing/2010/main" val="0"/>
            </a:ext>
          </a:extLst>
        </a:blip>
        <a:srcRect/>
        <a:stretch>
          <a:fillRect/>
        </a:stretch>
      </xdr:blipFill>
      <xdr:spPr bwMode="auto">
        <a:xfrm>
          <a:off x="1228725" y="1138999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609</xdr:row>
      <xdr:rowOff>19050</xdr:rowOff>
    </xdr:from>
    <xdr:to>
      <xdr:col>2</xdr:col>
      <xdr:colOff>1733550</xdr:colOff>
      <xdr:row>609</xdr:row>
      <xdr:rowOff>1666875</xdr:rowOff>
    </xdr:to>
    <xdr:pic>
      <xdr:nvPicPr>
        <xdr:cNvPr id="609" name="Picture 608"/>
        <xdr:cNvPicPr>
          <a:picLocks noChangeAspect="1" noChangeArrowheads="1"/>
        </xdr:cNvPicPr>
      </xdr:nvPicPr>
      <xdr:blipFill>
        <a:blip xmlns:r="http://schemas.openxmlformats.org/officeDocument/2006/relationships" r:embed="rId608">
          <a:extLst>
            <a:ext uri="{28A0092B-C50C-407E-A947-70E740481C1C}">
              <a14:useLocalDpi xmlns:a14="http://schemas.microsoft.com/office/drawing/2010/main" val="0"/>
            </a:ext>
          </a:extLst>
        </a:blip>
        <a:srcRect/>
        <a:stretch>
          <a:fillRect/>
        </a:stretch>
      </xdr:blipFill>
      <xdr:spPr bwMode="auto">
        <a:xfrm>
          <a:off x="1228725" y="114091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610</xdr:row>
      <xdr:rowOff>19050</xdr:rowOff>
    </xdr:from>
    <xdr:to>
      <xdr:col>2</xdr:col>
      <xdr:colOff>1733550</xdr:colOff>
      <xdr:row>610</xdr:row>
      <xdr:rowOff>1666875</xdr:rowOff>
    </xdr:to>
    <xdr:pic>
      <xdr:nvPicPr>
        <xdr:cNvPr id="610" name="Picture 609"/>
        <xdr:cNvPicPr>
          <a:picLocks noChangeAspect="1" noChangeArrowheads="1"/>
        </xdr:cNvPicPr>
      </xdr:nvPicPr>
      <xdr:blipFill>
        <a:blip xmlns:r="http://schemas.openxmlformats.org/officeDocument/2006/relationships" r:embed="rId609">
          <a:extLst>
            <a:ext uri="{28A0092B-C50C-407E-A947-70E740481C1C}">
              <a14:useLocalDpi xmlns:a14="http://schemas.microsoft.com/office/drawing/2010/main" val="0"/>
            </a:ext>
          </a:extLst>
        </a:blip>
        <a:srcRect/>
        <a:stretch>
          <a:fillRect/>
        </a:stretch>
      </xdr:blipFill>
      <xdr:spPr bwMode="auto">
        <a:xfrm>
          <a:off x="1228725" y="114282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611</xdr:row>
      <xdr:rowOff>19050</xdr:rowOff>
    </xdr:from>
    <xdr:to>
      <xdr:col>2</xdr:col>
      <xdr:colOff>1733550</xdr:colOff>
      <xdr:row>611</xdr:row>
      <xdr:rowOff>1666875</xdr:rowOff>
    </xdr:to>
    <xdr:pic>
      <xdr:nvPicPr>
        <xdr:cNvPr id="611" name="Picture 610"/>
        <xdr:cNvPicPr>
          <a:picLocks noChangeAspect="1" noChangeArrowheads="1"/>
        </xdr:cNvPicPr>
      </xdr:nvPicPr>
      <xdr:blipFill>
        <a:blip xmlns:r="http://schemas.openxmlformats.org/officeDocument/2006/relationships" r:embed="rId610">
          <a:extLst>
            <a:ext uri="{28A0092B-C50C-407E-A947-70E740481C1C}">
              <a14:useLocalDpi xmlns:a14="http://schemas.microsoft.com/office/drawing/2010/main" val="0"/>
            </a:ext>
          </a:extLst>
        </a:blip>
        <a:srcRect/>
        <a:stretch>
          <a:fillRect/>
        </a:stretch>
      </xdr:blipFill>
      <xdr:spPr bwMode="auto">
        <a:xfrm>
          <a:off x="1228725" y="1144743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612</xdr:row>
      <xdr:rowOff>19050</xdr:rowOff>
    </xdr:from>
    <xdr:to>
      <xdr:col>2</xdr:col>
      <xdr:colOff>1733550</xdr:colOff>
      <xdr:row>612</xdr:row>
      <xdr:rowOff>1666875</xdr:rowOff>
    </xdr:to>
    <xdr:pic>
      <xdr:nvPicPr>
        <xdr:cNvPr id="612" name="Picture 611"/>
        <xdr:cNvPicPr>
          <a:picLocks noChangeAspect="1" noChangeArrowheads="1"/>
        </xdr:cNvPicPr>
      </xdr:nvPicPr>
      <xdr:blipFill>
        <a:blip xmlns:r="http://schemas.openxmlformats.org/officeDocument/2006/relationships" r:embed="rId611">
          <a:extLst>
            <a:ext uri="{28A0092B-C50C-407E-A947-70E740481C1C}">
              <a14:useLocalDpi xmlns:a14="http://schemas.microsoft.com/office/drawing/2010/main" val="0"/>
            </a:ext>
          </a:extLst>
        </a:blip>
        <a:srcRect/>
        <a:stretch>
          <a:fillRect/>
        </a:stretch>
      </xdr:blipFill>
      <xdr:spPr bwMode="auto">
        <a:xfrm>
          <a:off x="1228725" y="1146657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613</xdr:row>
      <xdr:rowOff>19050</xdr:rowOff>
    </xdr:from>
    <xdr:to>
      <xdr:col>2</xdr:col>
      <xdr:colOff>1733550</xdr:colOff>
      <xdr:row>613</xdr:row>
      <xdr:rowOff>1666875</xdr:rowOff>
    </xdr:to>
    <xdr:pic>
      <xdr:nvPicPr>
        <xdr:cNvPr id="613" name="Picture 612"/>
        <xdr:cNvPicPr>
          <a:picLocks noChangeAspect="1" noChangeArrowheads="1"/>
        </xdr:cNvPicPr>
      </xdr:nvPicPr>
      <xdr:blipFill>
        <a:blip xmlns:r="http://schemas.openxmlformats.org/officeDocument/2006/relationships" r:embed="rId612">
          <a:extLst>
            <a:ext uri="{28A0092B-C50C-407E-A947-70E740481C1C}">
              <a14:useLocalDpi xmlns:a14="http://schemas.microsoft.com/office/drawing/2010/main" val="0"/>
            </a:ext>
          </a:extLst>
        </a:blip>
        <a:srcRect/>
        <a:stretch>
          <a:fillRect/>
        </a:stretch>
      </xdr:blipFill>
      <xdr:spPr bwMode="auto">
        <a:xfrm>
          <a:off x="1228725" y="1148572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614</xdr:row>
      <xdr:rowOff>19050</xdr:rowOff>
    </xdr:from>
    <xdr:to>
      <xdr:col>2</xdr:col>
      <xdr:colOff>1733550</xdr:colOff>
      <xdr:row>614</xdr:row>
      <xdr:rowOff>1666875</xdr:rowOff>
    </xdr:to>
    <xdr:pic>
      <xdr:nvPicPr>
        <xdr:cNvPr id="614" name="Picture 613"/>
        <xdr:cNvPicPr>
          <a:picLocks noChangeAspect="1" noChangeArrowheads="1"/>
        </xdr:cNvPicPr>
      </xdr:nvPicPr>
      <xdr:blipFill>
        <a:blip xmlns:r="http://schemas.openxmlformats.org/officeDocument/2006/relationships" r:embed="rId613">
          <a:extLst>
            <a:ext uri="{28A0092B-C50C-407E-A947-70E740481C1C}">
              <a14:useLocalDpi xmlns:a14="http://schemas.microsoft.com/office/drawing/2010/main" val="0"/>
            </a:ext>
          </a:extLst>
        </a:blip>
        <a:srcRect/>
        <a:stretch>
          <a:fillRect/>
        </a:stretch>
      </xdr:blipFill>
      <xdr:spPr bwMode="auto">
        <a:xfrm>
          <a:off x="1228725" y="1150486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615</xdr:row>
      <xdr:rowOff>19050</xdr:rowOff>
    </xdr:from>
    <xdr:to>
      <xdr:col>2</xdr:col>
      <xdr:colOff>1733550</xdr:colOff>
      <xdr:row>615</xdr:row>
      <xdr:rowOff>1666875</xdr:rowOff>
    </xdr:to>
    <xdr:pic>
      <xdr:nvPicPr>
        <xdr:cNvPr id="615" name="Picture 614"/>
        <xdr:cNvPicPr>
          <a:picLocks noChangeAspect="1" noChangeArrowheads="1"/>
        </xdr:cNvPicPr>
      </xdr:nvPicPr>
      <xdr:blipFill>
        <a:blip xmlns:r="http://schemas.openxmlformats.org/officeDocument/2006/relationships" r:embed="rId614">
          <a:extLst>
            <a:ext uri="{28A0092B-C50C-407E-A947-70E740481C1C}">
              <a14:useLocalDpi xmlns:a14="http://schemas.microsoft.com/office/drawing/2010/main" val="0"/>
            </a:ext>
          </a:extLst>
        </a:blip>
        <a:srcRect/>
        <a:stretch>
          <a:fillRect/>
        </a:stretch>
      </xdr:blipFill>
      <xdr:spPr bwMode="auto">
        <a:xfrm>
          <a:off x="1228725" y="1152401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616</xdr:row>
      <xdr:rowOff>19050</xdr:rowOff>
    </xdr:from>
    <xdr:to>
      <xdr:col>2</xdr:col>
      <xdr:colOff>1733550</xdr:colOff>
      <xdr:row>616</xdr:row>
      <xdr:rowOff>1666875</xdr:rowOff>
    </xdr:to>
    <xdr:pic>
      <xdr:nvPicPr>
        <xdr:cNvPr id="616" name="Picture 615"/>
        <xdr:cNvPicPr>
          <a:picLocks noChangeAspect="1" noChangeArrowheads="1"/>
        </xdr:cNvPicPr>
      </xdr:nvPicPr>
      <xdr:blipFill>
        <a:blip xmlns:r="http://schemas.openxmlformats.org/officeDocument/2006/relationships" r:embed="rId615">
          <a:extLst>
            <a:ext uri="{28A0092B-C50C-407E-A947-70E740481C1C}">
              <a14:useLocalDpi xmlns:a14="http://schemas.microsoft.com/office/drawing/2010/main" val="0"/>
            </a:ext>
          </a:extLst>
        </a:blip>
        <a:srcRect/>
        <a:stretch>
          <a:fillRect/>
        </a:stretch>
      </xdr:blipFill>
      <xdr:spPr bwMode="auto">
        <a:xfrm>
          <a:off x="1228725" y="1154315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617</xdr:row>
      <xdr:rowOff>19050</xdr:rowOff>
    </xdr:from>
    <xdr:to>
      <xdr:col>2</xdr:col>
      <xdr:colOff>1733550</xdr:colOff>
      <xdr:row>617</xdr:row>
      <xdr:rowOff>1666875</xdr:rowOff>
    </xdr:to>
    <xdr:pic>
      <xdr:nvPicPr>
        <xdr:cNvPr id="617" name="Picture 616"/>
        <xdr:cNvPicPr>
          <a:picLocks noChangeAspect="1" noChangeArrowheads="1"/>
        </xdr:cNvPicPr>
      </xdr:nvPicPr>
      <xdr:blipFill>
        <a:blip xmlns:r="http://schemas.openxmlformats.org/officeDocument/2006/relationships" r:embed="rId616">
          <a:extLst>
            <a:ext uri="{28A0092B-C50C-407E-A947-70E740481C1C}">
              <a14:useLocalDpi xmlns:a14="http://schemas.microsoft.com/office/drawing/2010/main" val="0"/>
            </a:ext>
          </a:extLst>
        </a:blip>
        <a:srcRect/>
        <a:stretch>
          <a:fillRect/>
        </a:stretch>
      </xdr:blipFill>
      <xdr:spPr bwMode="auto">
        <a:xfrm>
          <a:off x="1228725" y="1156230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618</xdr:row>
      <xdr:rowOff>19050</xdr:rowOff>
    </xdr:from>
    <xdr:to>
      <xdr:col>2</xdr:col>
      <xdr:colOff>1733550</xdr:colOff>
      <xdr:row>618</xdr:row>
      <xdr:rowOff>1666875</xdr:rowOff>
    </xdr:to>
    <xdr:pic>
      <xdr:nvPicPr>
        <xdr:cNvPr id="618" name="Picture 617"/>
        <xdr:cNvPicPr>
          <a:picLocks noChangeAspect="1" noChangeArrowheads="1"/>
        </xdr:cNvPicPr>
      </xdr:nvPicPr>
      <xdr:blipFill>
        <a:blip xmlns:r="http://schemas.openxmlformats.org/officeDocument/2006/relationships" r:embed="rId617">
          <a:extLst>
            <a:ext uri="{28A0092B-C50C-407E-A947-70E740481C1C}">
              <a14:useLocalDpi xmlns:a14="http://schemas.microsoft.com/office/drawing/2010/main" val="0"/>
            </a:ext>
          </a:extLst>
        </a:blip>
        <a:srcRect/>
        <a:stretch>
          <a:fillRect/>
        </a:stretch>
      </xdr:blipFill>
      <xdr:spPr bwMode="auto">
        <a:xfrm>
          <a:off x="1228725" y="1158144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619</xdr:row>
      <xdr:rowOff>19050</xdr:rowOff>
    </xdr:from>
    <xdr:to>
      <xdr:col>2</xdr:col>
      <xdr:colOff>1733550</xdr:colOff>
      <xdr:row>619</xdr:row>
      <xdr:rowOff>1666875</xdr:rowOff>
    </xdr:to>
    <xdr:pic>
      <xdr:nvPicPr>
        <xdr:cNvPr id="619" name="Picture 618"/>
        <xdr:cNvPicPr>
          <a:picLocks noChangeAspect="1" noChangeArrowheads="1"/>
        </xdr:cNvPicPr>
      </xdr:nvPicPr>
      <xdr:blipFill>
        <a:blip xmlns:r="http://schemas.openxmlformats.org/officeDocument/2006/relationships" r:embed="rId618">
          <a:extLst>
            <a:ext uri="{28A0092B-C50C-407E-A947-70E740481C1C}">
              <a14:useLocalDpi xmlns:a14="http://schemas.microsoft.com/office/drawing/2010/main" val="0"/>
            </a:ext>
          </a:extLst>
        </a:blip>
        <a:srcRect/>
        <a:stretch>
          <a:fillRect/>
        </a:stretch>
      </xdr:blipFill>
      <xdr:spPr bwMode="auto">
        <a:xfrm>
          <a:off x="1228725" y="1160059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620</xdr:row>
      <xdr:rowOff>19050</xdr:rowOff>
    </xdr:from>
    <xdr:to>
      <xdr:col>2</xdr:col>
      <xdr:colOff>1733550</xdr:colOff>
      <xdr:row>620</xdr:row>
      <xdr:rowOff>1666875</xdr:rowOff>
    </xdr:to>
    <xdr:pic>
      <xdr:nvPicPr>
        <xdr:cNvPr id="620" name="Picture 619"/>
        <xdr:cNvPicPr>
          <a:picLocks noChangeAspect="1" noChangeArrowheads="1"/>
        </xdr:cNvPicPr>
      </xdr:nvPicPr>
      <xdr:blipFill>
        <a:blip xmlns:r="http://schemas.openxmlformats.org/officeDocument/2006/relationships" r:embed="rId619">
          <a:extLst>
            <a:ext uri="{28A0092B-C50C-407E-A947-70E740481C1C}">
              <a14:useLocalDpi xmlns:a14="http://schemas.microsoft.com/office/drawing/2010/main" val="0"/>
            </a:ext>
          </a:extLst>
        </a:blip>
        <a:srcRect/>
        <a:stretch>
          <a:fillRect/>
        </a:stretch>
      </xdr:blipFill>
      <xdr:spPr bwMode="auto">
        <a:xfrm>
          <a:off x="1228725" y="1161973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621</xdr:row>
      <xdr:rowOff>19050</xdr:rowOff>
    </xdr:from>
    <xdr:to>
      <xdr:col>2</xdr:col>
      <xdr:colOff>1733550</xdr:colOff>
      <xdr:row>621</xdr:row>
      <xdr:rowOff>1666875</xdr:rowOff>
    </xdr:to>
    <xdr:pic>
      <xdr:nvPicPr>
        <xdr:cNvPr id="621" name="Picture 620"/>
        <xdr:cNvPicPr>
          <a:picLocks noChangeAspect="1" noChangeArrowheads="1"/>
        </xdr:cNvPicPr>
      </xdr:nvPicPr>
      <xdr:blipFill>
        <a:blip xmlns:r="http://schemas.openxmlformats.org/officeDocument/2006/relationships" r:embed="rId620">
          <a:extLst>
            <a:ext uri="{28A0092B-C50C-407E-A947-70E740481C1C}">
              <a14:useLocalDpi xmlns:a14="http://schemas.microsoft.com/office/drawing/2010/main" val="0"/>
            </a:ext>
          </a:extLst>
        </a:blip>
        <a:srcRect/>
        <a:stretch>
          <a:fillRect/>
        </a:stretch>
      </xdr:blipFill>
      <xdr:spPr bwMode="auto">
        <a:xfrm>
          <a:off x="1228725" y="1163888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622</xdr:row>
      <xdr:rowOff>19050</xdr:rowOff>
    </xdr:from>
    <xdr:to>
      <xdr:col>2</xdr:col>
      <xdr:colOff>1733550</xdr:colOff>
      <xdr:row>622</xdr:row>
      <xdr:rowOff>1666875</xdr:rowOff>
    </xdr:to>
    <xdr:pic>
      <xdr:nvPicPr>
        <xdr:cNvPr id="622" name="Picture 621"/>
        <xdr:cNvPicPr>
          <a:picLocks noChangeAspect="1" noChangeArrowheads="1"/>
        </xdr:cNvPicPr>
      </xdr:nvPicPr>
      <xdr:blipFill>
        <a:blip xmlns:r="http://schemas.openxmlformats.org/officeDocument/2006/relationships" r:embed="rId621">
          <a:extLst>
            <a:ext uri="{28A0092B-C50C-407E-A947-70E740481C1C}">
              <a14:useLocalDpi xmlns:a14="http://schemas.microsoft.com/office/drawing/2010/main" val="0"/>
            </a:ext>
          </a:extLst>
        </a:blip>
        <a:srcRect/>
        <a:stretch>
          <a:fillRect/>
        </a:stretch>
      </xdr:blipFill>
      <xdr:spPr bwMode="auto">
        <a:xfrm>
          <a:off x="1228725" y="1165802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623</xdr:row>
      <xdr:rowOff>19050</xdr:rowOff>
    </xdr:from>
    <xdr:to>
      <xdr:col>2</xdr:col>
      <xdr:colOff>1733550</xdr:colOff>
      <xdr:row>623</xdr:row>
      <xdr:rowOff>1666875</xdr:rowOff>
    </xdr:to>
    <xdr:pic>
      <xdr:nvPicPr>
        <xdr:cNvPr id="623" name="Picture 622"/>
        <xdr:cNvPicPr>
          <a:picLocks noChangeAspect="1" noChangeArrowheads="1"/>
        </xdr:cNvPicPr>
      </xdr:nvPicPr>
      <xdr:blipFill>
        <a:blip xmlns:r="http://schemas.openxmlformats.org/officeDocument/2006/relationships" r:embed="rId622">
          <a:extLst>
            <a:ext uri="{28A0092B-C50C-407E-A947-70E740481C1C}">
              <a14:useLocalDpi xmlns:a14="http://schemas.microsoft.com/office/drawing/2010/main" val="0"/>
            </a:ext>
          </a:extLst>
        </a:blip>
        <a:srcRect/>
        <a:stretch>
          <a:fillRect/>
        </a:stretch>
      </xdr:blipFill>
      <xdr:spPr bwMode="auto">
        <a:xfrm>
          <a:off x="1228725" y="1167717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624</xdr:row>
      <xdr:rowOff>19050</xdr:rowOff>
    </xdr:from>
    <xdr:to>
      <xdr:col>2</xdr:col>
      <xdr:colOff>1733550</xdr:colOff>
      <xdr:row>624</xdr:row>
      <xdr:rowOff>1666875</xdr:rowOff>
    </xdr:to>
    <xdr:pic>
      <xdr:nvPicPr>
        <xdr:cNvPr id="624" name="Picture 623"/>
        <xdr:cNvPicPr>
          <a:picLocks noChangeAspect="1" noChangeArrowheads="1"/>
        </xdr:cNvPicPr>
      </xdr:nvPicPr>
      <xdr:blipFill>
        <a:blip xmlns:r="http://schemas.openxmlformats.org/officeDocument/2006/relationships" r:embed="rId623">
          <a:extLst>
            <a:ext uri="{28A0092B-C50C-407E-A947-70E740481C1C}">
              <a14:useLocalDpi xmlns:a14="http://schemas.microsoft.com/office/drawing/2010/main" val="0"/>
            </a:ext>
          </a:extLst>
        </a:blip>
        <a:srcRect/>
        <a:stretch>
          <a:fillRect/>
        </a:stretch>
      </xdr:blipFill>
      <xdr:spPr bwMode="auto">
        <a:xfrm>
          <a:off x="1228725" y="1169631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625</xdr:row>
      <xdr:rowOff>19050</xdr:rowOff>
    </xdr:from>
    <xdr:to>
      <xdr:col>2</xdr:col>
      <xdr:colOff>1733550</xdr:colOff>
      <xdr:row>625</xdr:row>
      <xdr:rowOff>1666875</xdr:rowOff>
    </xdr:to>
    <xdr:pic>
      <xdr:nvPicPr>
        <xdr:cNvPr id="625" name="Picture 624"/>
        <xdr:cNvPicPr>
          <a:picLocks noChangeAspect="1" noChangeArrowheads="1"/>
        </xdr:cNvPicPr>
      </xdr:nvPicPr>
      <xdr:blipFill>
        <a:blip xmlns:r="http://schemas.openxmlformats.org/officeDocument/2006/relationships" r:embed="rId624">
          <a:extLst>
            <a:ext uri="{28A0092B-C50C-407E-A947-70E740481C1C}">
              <a14:useLocalDpi xmlns:a14="http://schemas.microsoft.com/office/drawing/2010/main" val="0"/>
            </a:ext>
          </a:extLst>
        </a:blip>
        <a:srcRect/>
        <a:stretch>
          <a:fillRect/>
        </a:stretch>
      </xdr:blipFill>
      <xdr:spPr bwMode="auto">
        <a:xfrm>
          <a:off x="1228725" y="1171546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626</xdr:row>
      <xdr:rowOff>19050</xdr:rowOff>
    </xdr:from>
    <xdr:to>
      <xdr:col>2</xdr:col>
      <xdr:colOff>1733550</xdr:colOff>
      <xdr:row>626</xdr:row>
      <xdr:rowOff>1666875</xdr:rowOff>
    </xdr:to>
    <xdr:pic>
      <xdr:nvPicPr>
        <xdr:cNvPr id="626" name="Picture 625"/>
        <xdr:cNvPicPr>
          <a:picLocks noChangeAspect="1" noChangeArrowheads="1"/>
        </xdr:cNvPicPr>
      </xdr:nvPicPr>
      <xdr:blipFill>
        <a:blip xmlns:r="http://schemas.openxmlformats.org/officeDocument/2006/relationships" r:embed="rId625">
          <a:extLst>
            <a:ext uri="{28A0092B-C50C-407E-A947-70E740481C1C}">
              <a14:useLocalDpi xmlns:a14="http://schemas.microsoft.com/office/drawing/2010/main" val="0"/>
            </a:ext>
          </a:extLst>
        </a:blip>
        <a:srcRect/>
        <a:stretch>
          <a:fillRect/>
        </a:stretch>
      </xdr:blipFill>
      <xdr:spPr bwMode="auto">
        <a:xfrm>
          <a:off x="1228725" y="1173460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627</xdr:row>
      <xdr:rowOff>19050</xdr:rowOff>
    </xdr:from>
    <xdr:to>
      <xdr:col>2</xdr:col>
      <xdr:colOff>1733550</xdr:colOff>
      <xdr:row>627</xdr:row>
      <xdr:rowOff>1666875</xdr:rowOff>
    </xdr:to>
    <xdr:pic>
      <xdr:nvPicPr>
        <xdr:cNvPr id="627" name="Picture 626"/>
        <xdr:cNvPicPr>
          <a:picLocks noChangeAspect="1" noChangeArrowheads="1"/>
        </xdr:cNvPicPr>
      </xdr:nvPicPr>
      <xdr:blipFill>
        <a:blip xmlns:r="http://schemas.openxmlformats.org/officeDocument/2006/relationships" r:embed="rId626">
          <a:extLst>
            <a:ext uri="{28A0092B-C50C-407E-A947-70E740481C1C}">
              <a14:useLocalDpi xmlns:a14="http://schemas.microsoft.com/office/drawing/2010/main" val="0"/>
            </a:ext>
          </a:extLst>
        </a:blip>
        <a:srcRect/>
        <a:stretch>
          <a:fillRect/>
        </a:stretch>
      </xdr:blipFill>
      <xdr:spPr bwMode="auto">
        <a:xfrm>
          <a:off x="1228725" y="117537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628</xdr:row>
      <xdr:rowOff>19050</xdr:rowOff>
    </xdr:from>
    <xdr:to>
      <xdr:col>2</xdr:col>
      <xdr:colOff>1733550</xdr:colOff>
      <xdr:row>628</xdr:row>
      <xdr:rowOff>1666875</xdr:rowOff>
    </xdr:to>
    <xdr:pic>
      <xdr:nvPicPr>
        <xdr:cNvPr id="628" name="Picture 627"/>
        <xdr:cNvPicPr>
          <a:picLocks noChangeAspect="1" noChangeArrowheads="1"/>
        </xdr:cNvPicPr>
      </xdr:nvPicPr>
      <xdr:blipFill>
        <a:blip xmlns:r="http://schemas.openxmlformats.org/officeDocument/2006/relationships" r:embed="rId627">
          <a:extLst>
            <a:ext uri="{28A0092B-C50C-407E-A947-70E740481C1C}">
              <a14:useLocalDpi xmlns:a14="http://schemas.microsoft.com/office/drawing/2010/main" val="0"/>
            </a:ext>
          </a:extLst>
        </a:blip>
        <a:srcRect/>
        <a:stretch>
          <a:fillRect/>
        </a:stretch>
      </xdr:blipFill>
      <xdr:spPr bwMode="auto">
        <a:xfrm>
          <a:off x="1228725" y="1177290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629</xdr:row>
      <xdr:rowOff>19050</xdr:rowOff>
    </xdr:from>
    <xdr:to>
      <xdr:col>2</xdr:col>
      <xdr:colOff>1733550</xdr:colOff>
      <xdr:row>629</xdr:row>
      <xdr:rowOff>1666875</xdr:rowOff>
    </xdr:to>
    <xdr:pic>
      <xdr:nvPicPr>
        <xdr:cNvPr id="629" name="Picture 628"/>
        <xdr:cNvPicPr>
          <a:picLocks noChangeAspect="1" noChangeArrowheads="1"/>
        </xdr:cNvPicPr>
      </xdr:nvPicPr>
      <xdr:blipFill>
        <a:blip xmlns:r="http://schemas.openxmlformats.org/officeDocument/2006/relationships" r:embed="rId628">
          <a:extLst>
            <a:ext uri="{28A0092B-C50C-407E-A947-70E740481C1C}">
              <a14:useLocalDpi xmlns:a14="http://schemas.microsoft.com/office/drawing/2010/main" val="0"/>
            </a:ext>
          </a:extLst>
        </a:blip>
        <a:srcRect/>
        <a:stretch>
          <a:fillRect/>
        </a:stretch>
      </xdr:blipFill>
      <xdr:spPr bwMode="auto">
        <a:xfrm>
          <a:off x="1228725" y="1179204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630</xdr:row>
      <xdr:rowOff>19050</xdr:rowOff>
    </xdr:from>
    <xdr:to>
      <xdr:col>2</xdr:col>
      <xdr:colOff>1733550</xdr:colOff>
      <xdr:row>630</xdr:row>
      <xdr:rowOff>1666875</xdr:rowOff>
    </xdr:to>
    <xdr:pic>
      <xdr:nvPicPr>
        <xdr:cNvPr id="630" name="Picture 629"/>
        <xdr:cNvPicPr>
          <a:picLocks noChangeAspect="1" noChangeArrowheads="1"/>
        </xdr:cNvPicPr>
      </xdr:nvPicPr>
      <xdr:blipFill>
        <a:blip xmlns:r="http://schemas.openxmlformats.org/officeDocument/2006/relationships" r:embed="rId629">
          <a:extLst>
            <a:ext uri="{28A0092B-C50C-407E-A947-70E740481C1C}">
              <a14:useLocalDpi xmlns:a14="http://schemas.microsoft.com/office/drawing/2010/main" val="0"/>
            </a:ext>
          </a:extLst>
        </a:blip>
        <a:srcRect/>
        <a:stretch>
          <a:fillRect/>
        </a:stretch>
      </xdr:blipFill>
      <xdr:spPr bwMode="auto">
        <a:xfrm>
          <a:off x="1228725" y="1181119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631</xdr:row>
      <xdr:rowOff>19050</xdr:rowOff>
    </xdr:from>
    <xdr:to>
      <xdr:col>2</xdr:col>
      <xdr:colOff>1733550</xdr:colOff>
      <xdr:row>631</xdr:row>
      <xdr:rowOff>1666875</xdr:rowOff>
    </xdr:to>
    <xdr:pic>
      <xdr:nvPicPr>
        <xdr:cNvPr id="631" name="Picture 630"/>
        <xdr:cNvPicPr>
          <a:picLocks noChangeAspect="1" noChangeArrowheads="1"/>
        </xdr:cNvPicPr>
      </xdr:nvPicPr>
      <xdr:blipFill>
        <a:blip xmlns:r="http://schemas.openxmlformats.org/officeDocument/2006/relationships" r:embed="rId630">
          <a:extLst>
            <a:ext uri="{28A0092B-C50C-407E-A947-70E740481C1C}">
              <a14:useLocalDpi xmlns:a14="http://schemas.microsoft.com/office/drawing/2010/main" val="0"/>
            </a:ext>
          </a:extLst>
        </a:blip>
        <a:srcRect/>
        <a:stretch>
          <a:fillRect/>
        </a:stretch>
      </xdr:blipFill>
      <xdr:spPr bwMode="auto">
        <a:xfrm>
          <a:off x="1228725" y="1183033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632</xdr:row>
      <xdr:rowOff>19050</xdr:rowOff>
    </xdr:from>
    <xdr:to>
      <xdr:col>2</xdr:col>
      <xdr:colOff>1733550</xdr:colOff>
      <xdr:row>632</xdr:row>
      <xdr:rowOff>1666875</xdr:rowOff>
    </xdr:to>
    <xdr:pic>
      <xdr:nvPicPr>
        <xdr:cNvPr id="632" name="Picture 631"/>
        <xdr:cNvPicPr>
          <a:picLocks noChangeAspect="1" noChangeArrowheads="1"/>
        </xdr:cNvPicPr>
      </xdr:nvPicPr>
      <xdr:blipFill>
        <a:blip xmlns:r="http://schemas.openxmlformats.org/officeDocument/2006/relationships" r:embed="rId631">
          <a:extLst>
            <a:ext uri="{28A0092B-C50C-407E-A947-70E740481C1C}">
              <a14:useLocalDpi xmlns:a14="http://schemas.microsoft.com/office/drawing/2010/main" val="0"/>
            </a:ext>
          </a:extLst>
        </a:blip>
        <a:srcRect/>
        <a:stretch>
          <a:fillRect/>
        </a:stretch>
      </xdr:blipFill>
      <xdr:spPr bwMode="auto">
        <a:xfrm>
          <a:off x="1228725" y="1184948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633</xdr:row>
      <xdr:rowOff>19050</xdr:rowOff>
    </xdr:from>
    <xdr:to>
      <xdr:col>2</xdr:col>
      <xdr:colOff>1733550</xdr:colOff>
      <xdr:row>633</xdr:row>
      <xdr:rowOff>1666875</xdr:rowOff>
    </xdr:to>
    <xdr:pic>
      <xdr:nvPicPr>
        <xdr:cNvPr id="633" name="Picture 632"/>
        <xdr:cNvPicPr>
          <a:picLocks noChangeAspect="1" noChangeArrowheads="1"/>
        </xdr:cNvPicPr>
      </xdr:nvPicPr>
      <xdr:blipFill>
        <a:blip xmlns:r="http://schemas.openxmlformats.org/officeDocument/2006/relationships" r:embed="rId632">
          <a:extLst>
            <a:ext uri="{28A0092B-C50C-407E-A947-70E740481C1C}">
              <a14:useLocalDpi xmlns:a14="http://schemas.microsoft.com/office/drawing/2010/main" val="0"/>
            </a:ext>
          </a:extLst>
        </a:blip>
        <a:srcRect/>
        <a:stretch>
          <a:fillRect/>
        </a:stretch>
      </xdr:blipFill>
      <xdr:spPr bwMode="auto">
        <a:xfrm>
          <a:off x="1228725" y="1186862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634</xdr:row>
      <xdr:rowOff>19050</xdr:rowOff>
    </xdr:from>
    <xdr:to>
      <xdr:col>2</xdr:col>
      <xdr:colOff>1733550</xdr:colOff>
      <xdr:row>634</xdr:row>
      <xdr:rowOff>1666875</xdr:rowOff>
    </xdr:to>
    <xdr:pic>
      <xdr:nvPicPr>
        <xdr:cNvPr id="634" name="Picture 633"/>
        <xdr:cNvPicPr>
          <a:picLocks noChangeAspect="1" noChangeArrowheads="1"/>
        </xdr:cNvPicPr>
      </xdr:nvPicPr>
      <xdr:blipFill>
        <a:blip xmlns:r="http://schemas.openxmlformats.org/officeDocument/2006/relationships" r:embed="rId633">
          <a:extLst>
            <a:ext uri="{28A0092B-C50C-407E-A947-70E740481C1C}">
              <a14:useLocalDpi xmlns:a14="http://schemas.microsoft.com/office/drawing/2010/main" val="0"/>
            </a:ext>
          </a:extLst>
        </a:blip>
        <a:srcRect/>
        <a:stretch>
          <a:fillRect/>
        </a:stretch>
      </xdr:blipFill>
      <xdr:spPr bwMode="auto">
        <a:xfrm>
          <a:off x="1228725" y="1188777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635</xdr:row>
      <xdr:rowOff>19050</xdr:rowOff>
    </xdr:from>
    <xdr:to>
      <xdr:col>2</xdr:col>
      <xdr:colOff>1733550</xdr:colOff>
      <xdr:row>635</xdr:row>
      <xdr:rowOff>1666875</xdr:rowOff>
    </xdr:to>
    <xdr:pic>
      <xdr:nvPicPr>
        <xdr:cNvPr id="635" name="Picture 634"/>
        <xdr:cNvPicPr>
          <a:picLocks noChangeAspect="1" noChangeArrowheads="1"/>
        </xdr:cNvPicPr>
      </xdr:nvPicPr>
      <xdr:blipFill>
        <a:blip xmlns:r="http://schemas.openxmlformats.org/officeDocument/2006/relationships" r:embed="rId634">
          <a:extLst>
            <a:ext uri="{28A0092B-C50C-407E-A947-70E740481C1C}">
              <a14:useLocalDpi xmlns:a14="http://schemas.microsoft.com/office/drawing/2010/main" val="0"/>
            </a:ext>
          </a:extLst>
        </a:blip>
        <a:srcRect/>
        <a:stretch>
          <a:fillRect/>
        </a:stretch>
      </xdr:blipFill>
      <xdr:spPr bwMode="auto">
        <a:xfrm>
          <a:off x="1228725" y="1190691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636</xdr:row>
      <xdr:rowOff>19050</xdr:rowOff>
    </xdr:from>
    <xdr:to>
      <xdr:col>2</xdr:col>
      <xdr:colOff>1733550</xdr:colOff>
      <xdr:row>636</xdr:row>
      <xdr:rowOff>1666875</xdr:rowOff>
    </xdr:to>
    <xdr:pic>
      <xdr:nvPicPr>
        <xdr:cNvPr id="636" name="Picture 635"/>
        <xdr:cNvPicPr>
          <a:picLocks noChangeAspect="1" noChangeArrowheads="1"/>
        </xdr:cNvPicPr>
      </xdr:nvPicPr>
      <xdr:blipFill>
        <a:blip xmlns:r="http://schemas.openxmlformats.org/officeDocument/2006/relationships" r:embed="rId635">
          <a:extLst>
            <a:ext uri="{28A0092B-C50C-407E-A947-70E740481C1C}">
              <a14:useLocalDpi xmlns:a14="http://schemas.microsoft.com/office/drawing/2010/main" val="0"/>
            </a:ext>
          </a:extLst>
        </a:blip>
        <a:srcRect/>
        <a:stretch>
          <a:fillRect/>
        </a:stretch>
      </xdr:blipFill>
      <xdr:spPr bwMode="auto">
        <a:xfrm>
          <a:off x="1228725" y="1192606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637</xdr:row>
      <xdr:rowOff>19050</xdr:rowOff>
    </xdr:from>
    <xdr:to>
      <xdr:col>2</xdr:col>
      <xdr:colOff>1733550</xdr:colOff>
      <xdr:row>637</xdr:row>
      <xdr:rowOff>1666875</xdr:rowOff>
    </xdr:to>
    <xdr:pic>
      <xdr:nvPicPr>
        <xdr:cNvPr id="637" name="Picture 636"/>
        <xdr:cNvPicPr>
          <a:picLocks noChangeAspect="1" noChangeArrowheads="1"/>
        </xdr:cNvPicPr>
      </xdr:nvPicPr>
      <xdr:blipFill>
        <a:blip xmlns:r="http://schemas.openxmlformats.org/officeDocument/2006/relationships" r:embed="rId636">
          <a:extLst>
            <a:ext uri="{28A0092B-C50C-407E-A947-70E740481C1C}">
              <a14:useLocalDpi xmlns:a14="http://schemas.microsoft.com/office/drawing/2010/main" val="0"/>
            </a:ext>
          </a:extLst>
        </a:blip>
        <a:srcRect/>
        <a:stretch>
          <a:fillRect/>
        </a:stretch>
      </xdr:blipFill>
      <xdr:spPr bwMode="auto">
        <a:xfrm>
          <a:off x="1228725" y="119452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638</xdr:row>
      <xdr:rowOff>19050</xdr:rowOff>
    </xdr:from>
    <xdr:to>
      <xdr:col>2</xdr:col>
      <xdr:colOff>1733550</xdr:colOff>
      <xdr:row>638</xdr:row>
      <xdr:rowOff>1666875</xdr:rowOff>
    </xdr:to>
    <xdr:pic>
      <xdr:nvPicPr>
        <xdr:cNvPr id="638" name="Picture 637"/>
        <xdr:cNvPicPr>
          <a:picLocks noChangeAspect="1" noChangeArrowheads="1"/>
        </xdr:cNvPicPr>
      </xdr:nvPicPr>
      <xdr:blipFill>
        <a:blip xmlns:r="http://schemas.openxmlformats.org/officeDocument/2006/relationships" r:embed="rId637">
          <a:extLst>
            <a:ext uri="{28A0092B-C50C-407E-A947-70E740481C1C}">
              <a14:useLocalDpi xmlns:a14="http://schemas.microsoft.com/office/drawing/2010/main" val="0"/>
            </a:ext>
          </a:extLst>
        </a:blip>
        <a:srcRect/>
        <a:stretch>
          <a:fillRect/>
        </a:stretch>
      </xdr:blipFill>
      <xdr:spPr bwMode="auto">
        <a:xfrm>
          <a:off x="1228725" y="119643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639</xdr:row>
      <xdr:rowOff>19050</xdr:rowOff>
    </xdr:from>
    <xdr:to>
      <xdr:col>2</xdr:col>
      <xdr:colOff>1733550</xdr:colOff>
      <xdr:row>639</xdr:row>
      <xdr:rowOff>1666875</xdr:rowOff>
    </xdr:to>
    <xdr:pic>
      <xdr:nvPicPr>
        <xdr:cNvPr id="639" name="Picture 638"/>
        <xdr:cNvPicPr>
          <a:picLocks noChangeAspect="1" noChangeArrowheads="1"/>
        </xdr:cNvPicPr>
      </xdr:nvPicPr>
      <xdr:blipFill>
        <a:blip xmlns:r="http://schemas.openxmlformats.org/officeDocument/2006/relationships" r:embed="rId638">
          <a:extLst>
            <a:ext uri="{28A0092B-C50C-407E-A947-70E740481C1C}">
              <a14:useLocalDpi xmlns:a14="http://schemas.microsoft.com/office/drawing/2010/main" val="0"/>
            </a:ext>
          </a:extLst>
        </a:blip>
        <a:srcRect/>
        <a:stretch>
          <a:fillRect/>
        </a:stretch>
      </xdr:blipFill>
      <xdr:spPr bwMode="auto">
        <a:xfrm>
          <a:off x="1228725" y="1198349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640</xdr:row>
      <xdr:rowOff>19050</xdr:rowOff>
    </xdr:from>
    <xdr:to>
      <xdr:col>2</xdr:col>
      <xdr:colOff>1733550</xdr:colOff>
      <xdr:row>640</xdr:row>
      <xdr:rowOff>1666875</xdr:rowOff>
    </xdr:to>
    <xdr:pic>
      <xdr:nvPicPr>
        <xdr:cNvPr id="640" name="Picture 639"/>
        <xdr:cNvPicPr>
          <a:picLocks noChangeAspect="1" noChangeArrowheads="1"/>
        </xdr:cNvPicPr>
      </xdr:nvPicPr>
      <xdr:blipFill>
        <a:blip xmlns:r="http://schemas.openxmlformats.org/officeDocument/2006/relationships" r:embed="rId639">
          <a:extLst>
            <a:ext uri="{28A0092B-C50C-407E-A947-70E740481C1C}">
              <a14:useLocalDpi xmlns:a14="http://schemas.microsoft.com/office/drawing/2010/main" val="0"/>
            </a:ext>
          </a:extLst>
        </a:blip>
        <a:srcRect/>
        <a:stretch>
          <a:fillRect/>
        </a:stretch>
      </xdr:blipFill>
      <xdr:spPr bwMode="auto">
        <a:xfrm>
          <a:off x="1228725" y="1200264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641</xdr:row>
      <xdr:rowOff>19050</xdr:rowOff>
    </xdr:from>
    <xdr:to>
      <xdr:col>2</xdr:col>
      <xdr:colOff>1733550</xdr:colOff>
      <xdr:row>641</xdr:row>
      <xdr:rowOff>1666875</xdr:rowOff>
    </xdr:to>
    <xdr:pic>
      <xdr:nvPicPr>
        <xdr:cNvPr id="641" name="Picture 640"/>
        <xdr:cNvPicPr>
          <a:picLocks noChangeAspect="1" noChangeArrowheads="1"/>
        </xdr:cNvPicPr>
      </xdr:nvPicPr>
      <xdr:blipFill>
        <a:blip xmlns:r="http://schemas.openxmlformats.org/officeDocument/2006/relationships" r:embed="rId640">
          <a:extLst>
            <a:ext uri="{28A0092B-C50C-407E-A947-70E740481C1C}">
              <a14:useLocalDpi xmlns:a14="http://schemas.microsoft.com/office/drawing/2010/main" val="0"/>
            </a:ext>
          </a:extLst>
        </a:blip>
        <a:srcRect/>
        <a:stretch>
          <a:fillRect/>
        </a:stretch>
      </xdr:blipFill>
      <xdr:spPr bwMode="auto">
        <a:xfrm>
          <a:off x="1228725" y="1202178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642</xdr:row>
      <xdr:rowOff>19050</xdr:rowOff>
    </xdr:from>
    <xdr:to>
      <xdr:col>2</xdr:col>
      <xdr:colOff>1733550</xdr:colOff>
      <xdr:row>642</xdr:row>
      <xdr:rowOff>1666875</xdr:rowOff>
    </xdr:to>
    <xdr:pic>
      <xdr:nvPicPr>
        <xdr:cNvPr id="642" name="Picture 641"/>
        <xdr:cNvPicPr>
          <a:picLocks noChangeAspect="1" noChangeArrowheads="1"/>
        </xdr:cNvPicPr>
      </xdr:nvPicPr>
      <xdr:blipFill>
        <a:blip xmlns:r="http://schemas.openxmlformats.org/officeDocument/2006/relationships" r:embed="rId641">
          <a:extLst>
            <a:ext uri="{28A0092B-C50C-407E-A947-70E740481C1C}">
              <a14:useLocalDpi xmlns:a14="http://schemas.microsoft.com/office/drawing/2010/main" val="0"/>
            </a:ext>
          </a:extLst>
        </a:blip>
        <a:srcRect/>
        <a:stretch>
          <a:fillRect/>
        </a:stretch>
      </xdr:blipFill>
      <xdr:spPr bwMode="auto">
        <a:xfrm>
          <a:off x="1228725" y="1204093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643</xdr:row>
      <xdr:rowOff>19050</xdr:rowOff>
    </xdr:from>
    <xdr:to>
      <xdr:col>2</xdr:col>
      <xdr:colOff>1733550</xdr:colOff>
      <xdr:row>643</xdr:row>
      <xdr:rowOff>1666875</xdr:rowOff>
    </xdr:to>
    <xdr:pic>
      <xdr:nvPicPr>
        <xdr:cNvPr id="643" name="Picture 642"/>
        <xdr:cNvPicPr>
          <a:picLocks noChangeAspect="1" noChangeArrowheads="1"/>
        </xdr:cNvPicPr>
      </xdr:nvPicPr>
      <xdr:blipFill>
        <a:blip xmlns:r="http://schemas.openxmlformats.org/officeDocument/2006/relationships" r:embed="rId642">
          <a:extLst>
            <a:ext uri="{28A0092B-C50C-407E-A947-70E740481C1C}">
              <a14:useLocalDpi xmlns:a14="http://schemas.microsoft.com/office/drawing/2010/main" val="0"/>
            </a:ext>
          </a:extLst>
        </a:blip>
        <a:srcRect/>
        <a:stretch>
          <a:fillRect/>
        </a:stretch>
      </xdr:blipFill>
      <xdr:spPr bwMode="auto">
        <a:xfrm>
          <a:off x="1228725" y="1206007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644</xdr:row>
      <xdr:rowOff>19050</xdr:rowOff>
    </xdr:from>
    <xdr:to>
      <xdr:col>2</xdr:col>
      <xdr:colOff>1733550</xdr:colOff>
      <xdr:row>644</xdr:row>
      <xdr:rowOff>1666875</xdr:rowOff>
    </xdr:to>
    <xdr:pic>
      <xdr:nvPicPr>
        <xdr:cNvPr id="644" name="Picture 643"/>
        <xdr:cNvPicPr>
          <a:picLocks noChangeAspect="1" noChangeArrowheads="1"/>
        </xdr:cNvPicPr>
      </xdr:nvPicPr>
      <xdr:blipFill>
        <a:blip xmlns:r="http://schemas.openxmlformats.org/officeDocument/2006/relationships" r:embed="rId643">
          <a:extLst>
            <a:ext uri="{28A0092B-C50C-407E-A947-70E740481C1C}">
              <a14:useLocalDpi xmlns:a14="http://schemas.microsoft.com/office/drawing/2010/main" val="0"/>
            </a:ext>
          </a:extLst>
        </a:blip>
        <a:srcRect/>
        <a:stretch>
          <a:fillRect/>
        </a:stretch>
      </xdr:blipFill>
      <xdr:spPr bwMode="auto">
        <a:xfrm>
          <a:off x="1228725" y="120792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645</xdr:row>
      <xdr:rowOff>19050</xdr:rowOff>
    </xdr:from>
    <xdr:to>
      <xdr:col>2</xdr:col>
      <xdr:colOff>1733550</xdr:colOff>
      <xdr:row>645</xdr:row>
      <xdr:rowOff>1666875</xdr:rowOff>
    </xdr:to>
    <xdr:pic>
      <xdr:nvPicPr>
        <xdr:cNvPr id="645" name="Picture 644"/>
        <xdr:cNvPicPr>
          <a:picLocks noChangeAspect="1" noChangeArrowheads="1"/>
        </xdr:cNvPicPr>
      </xdr:nvPicPr>
      <xdr:blipFill>
        <a:blip xmlns:r="http://schemas.openxmlformats.org/officeDocument/2006/relationships" r:embed="rId644">
          <a:extLst>
            <a:ext uri="{28A0092B-C50C-407E-A947-70E740481C1C}">
              <a14:useLocalDpi xmlns:a14="http://schemas.microsoft.com/office/drawing/2010/main" val="0"/>
            </a:ext>
          </a:extLst>
        </a:blip>
        <a:srcRect/>
        <a:stretch>
          <a:fillRect/>
        </a:stretch>
      </xdr:blipFill>
      <xdr:spPr bwMode="auto">
        <a:xfrm>
          <a:off x="1228725" y="1209836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646</xdr:row>
      <xdr:rowOff>19050</xdr:rowOff>
    </xdr:from>
    <xdr:to>
      <xdr:col>2</xdr:col>
      <xdr:colOff>1733550</xdr:colOff>
      <xdr:row>646</xdr:row>
      <xdr:rowOff>1666875</xdr:rowOff>
    </xdr:to>
    <xdr:pic>
      <xdr:nvPicPr>
        <xdr:cNvPr id="646" name="Picture 645"/>
        <xdr:cNvPicPr>
          <a:picLocks noChangeAspect="1" noChangeArrowheads="1"/>
        </xdr:cNvPicPr>
      </xdr:nvPicPr>
      <xdr:blipFill>
        <a:blip xmlns:r="http://schemas.openxmlformats.org/officeDocument/2006/relationships" r:embed="rId645">
          <a:extLst>
            <a:ext uri="{28A0092B-C50C-407E-A947-70E740481C1C}">
              <a14:useLocalDpi xmlns:a14="http://schemas.microsoft.com/office/drawing/2010/main" val="0"/>
            </a:ext>
          </a:extLst>
        </a:blip>
        <a:srcRect/>
        <a:stretch>
          <a:fillRect/>
        </a:stretch>
      </xdr:blipFill>
      <xdr:spPr bwMode="auto">
        <a:xfrm>
          <a:off x="1228725" y="1211751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647</xdr:row>
      <xdr:rowOff>19050</xdr:rowOff>
    </xdr:from>
    <xdr:to>
      <xdr:col>2</xdr:col>
      <xdr:colOff>1733550</xdr:colOff>
      <xdr:row>647</xdr:row>
      <xdr:rowOff>1666875</xdr:rowOff>
    </xdr:to>
    <xdr:pic>
      <xdr:nvPicPr>
        <xdr:cNvPr id="647" name="Picture 646"/>
        <xdr:cNvPicPr>
          <a:picLocks noChangeAspect="1" noChangeArrowheads="1"/>
        </xdr:cNvPicPr>
      </xdr:nvPicPr>
      <xdr:blipFill>
        <a:blip xmlns:r="http://schemas.openxmlformats.org/officeDocument/2006/relationships" r:embed="rId646">
          <a:extLst>
            <a:ext uri="{28A0092B-C50C-407E-A947-70E740481C1C}">
              <a14:useLocalDpi xmlns:a14="http://schemas.microsoft.com/office/drawing/2010/main" val="0"/>
            </a:ext>
          </a:extLst>
        </a:blip>
        <a:srcRect/>
        <a:stretch>
          <a:fillRect/>
        </a:stretch>
      </xdr:blipFill>
      <xdr:spPr bwMode="auto">
        <a:xfrm>
          <a:off x="1228725" y="1213665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648</xdr:row>
      <xdr:rowOff>19050</xdr:rowOff>
    </xdr:from>
    <xdr:to>
      <xdr:col>2</xdr:col>
      <xdr:colOff>1733550</xdr:colOff>
      <xdr:row>648</xdr:row>
      <xdr:rowOff>1666875</xdr:rowOff>
    </xdr:to>
    <xdr:pic>
      <xdr:nvPicPr>
        <xdr:cNvPr id="648" name="Picture 647"/>
        <xdr:cNvPicPr>
          <a:picLocks noChangeAspect="1" noChangeArrowheads="1"/>
        </xdr:cNvPicPr>
      </xdr:nvPicPr>
      <xdr:blipFill>
        <a:blip xmlns:r="http://schemas.openxmlformats.org/officeDocument/2006/relationships" r:embed="rId647">
          <a:extLst>
            <a:ext uri="{28A0092B-C50C-407E-A947-70E740481C1C}">
              <a14:useLocalDpi xmlns:a14="http://schemas.microsoft.com/office/drawing/2010/main" val="0"/>
            </a:ext>
          </a:extLst>
        </a:blip>
        <a:srcRect/>
        <a:stretch>
          <a:fillRect/>
        </a:stretch>
      </xdr:blipFill>
      <xdr:spPr bwMode="auto">
        <a:xfrm>
          <a:off x="1228725" y="1215580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649</xdr:row>
      <xdr:rowOff>19050</xdr:rowOff>
    </xdr:from>
    <xdr:to>
      <xdr:col>2</xdr:col>
      <xdr:colOff>1733550</xdr:colOff>
      <xdr:row>649</xdr:row>
      <xdr:rowOff>1666875</xdr:rowOff>
    </xdr:to>
    <xdr:pic>
      <xdr:nvPicPr>
        <xdr:cNvPr id="649" name="Picture 648"/>
        <xdr:cNvPicPr>
          <a:picLocks noChangeAspect="1" noChangeArrowheads="1"/>
        </xdr:cNvPicPr>
      </xdr:nvPicPr>
      <xdr:blipFill>
        <a:blip xmlns:r="http://schemas.openxmlformats.org/officeDocument/2006/relationships" r:embed="rId648">
          <a:extLst>
            <a:ext uri="{28A0092B-C50C-407E-A947-70E740481C1C}">
              <a14:useLocalDpi xmlns:a14="http://schemas.microsoft.com/office/drawing/2010/main" val="0"/>
            </a:ext>
          </a:extLst>
        </a:blip>
        <a:srcRect/>
        <a:stretch>
          <a:fillRect/>
        </a:stretch>
      </xdr:blipFill>
      <xdr:spPr bwMode="auto">
        <a:xfrm>
          <a:off x="1228725" y="1217495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650</xdr:row>
      <xdr:rowOff>19050</xdr:rowOff>
    </xdr:from>
    <xdr:to>
      <xdr:col>2</xdr:col>
      <xdr:colOff>1733550</xdr:colOff>
      <xdr:row>650</xdr:row>
      <xdr:rowOff>1666875</xdr:rowOff>
    </xdr:to>
    <xdr:pic>
      <xdr:nvPicPr>
        <xdr:cNvPr id="650" name="Picture 649"/>
        <xdr:cNvPicPr>
          <a:picLocks noChangeAspect="1" noChangeArrowheads="1"/>
        </xdr:cNvPicPr>
      </xdr:nvPicPr>
      <xdr:blipFill>
        <a:blip xmlns:r="http://schemas.openxmlformats.org/officeDocument/2006/relationships" r:embed="rId649">
          <a:extLst>
            <a:ext uri="{28A0092B-C50C-407E-A947-70E740481C1C}">
              <a14:useLocalDpi xmlns:a14="http://schemas.microsoft.com/office/drawing/2010/main" val="0"/>
            </a:ext>
          </a:extLst>
        </a:blip>
        <a:srcRect/>
        <a:stretch>
          <a:fillRect/>
        </a:stretch>
      </xdr:blipFill>
      <xdr:spPr bwMode="auto">
        <a:xfrm>
          <a:off x="1228725" y="1219409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651</xdr:row>
      <xdr:rowOff>19050</xdr:rowOff>
    </xdr:from>
    <xdr:to>
      <xdr:col>2</xdr:col>
      <xdr:colOff>1733550</xdr:colOff>
      <xdr:row>651</xdr:row>
      <xdr:rowOff>1666875</xdr:rowOff>
    </xdr:to>
    <xdr:pic>
      <xdr:nvPicPr>
        <xdr:cNvPr id="651" name="Picture 650"/>
        <xdr:cNvPicPr>
          <a:picLocks noChangeAspect="1" noChangeArrowheads="1"/>
        </xdr:cNvPicPr>
      </xdr:nvPicPr>
      <xdr:blipFill>
        <a:blip xmlns:r="http://schemas.openxmlformats.org/officeDocument/2006/relationships" r:embed="rId650">
          <a:extLst>
            <a:ext uri="{28A0092B-C50C-407E-A947-70E740481C1C}">
              <a14:useLocalDpi xmlns:a14="http://schemas.microsoft.com/office/drawing/2010/main" val="0"/>
            </a:ext>
          </a:extLst>
        </a:blip>
        <a:srcRect/>
        <a:stretch>
          <a:fillRect/>
        </a:stretch>
      </xdr:blipFill>
      <xdr:spPr bwMode="auto">
        <a:xfrm>
          <a:off x="1228725" y="1221324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652</xdr:row>
      <xdr:rowOff>19050</xdr:rowOff>
    </xdr:from>
    <xdr:to>
      <xdr:col>2</xdr:col>
      <xdr:colOff>1733550</xdr:colOff>
      <xdr:row>652</xdr:row>
      <xdr:rowOff>1666875</xdr:rowOff>
    </xdr:to>
    <xdr:pic>
      <xdr:nvPicPr>
        <xdr:cNvPr id="652" name="Picture 651"/>
        <xdr:cNvPicPr>
          <a:picLocks noChangeAspect="1" noChangeArrowheads="1"/>
        </xdr:cNvPicPr>
      </xdr:nvPicPr>
      <xdr:blipFill>
        <a:blip xmlns:r="http://schemas.openxmlformats.org/officeDocument/2006/relationships" r:embed="rId651">
          <a:extLst>
            <a:ext uri="{28A0092B-C50C-407E-A947-70E740481C1C}">
              <a14:useLocalDpi xmlns:a14="http://schemas.microsoft.com/office/drawing/2010/main" val="0"/>
            </a:ext>
          </a:extLst>
        </a:blip>
        <a:srcRect/>
        <a:stretch>
          <a:fillRect/>
        </a:stretch>
      </xdr:blipFill>
      <xdr:spPr bwMode="auto">
        <a:xfrm>
          <a:off x="1228725" y="122323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653</xdr:row>
      <xdr:rowOff>19050</xdr:rowOff>
    </xdr:from>
    <xdr:to>
      <xdr:col>2</xdr:col>
      <xdr:colOff>1733550</xdr:colOff>
      <xdr:row>653</xdr:row>
      <xdr:rowOff>1666875</xdr:rowOff>
    </xdr:to>
    <xdr:pic>
      <xdr:nvPicPr>
        <xdr:cNvPr id="653" name="Picture 652"/>
        <xdr:cNvPicPr>
          <a:picLocks noChangeAspect="1" noChangeArrowheads="1"/>
        </xdr:cNvPicPr>
      </xdr:nvPicPr>
      <xdr:blipFill>
        <a:blip xmlns:r="http://schemas.openxmlformats.org/officeDocument/2006/relationships" r:embed="rId652">
          <a:extLst>
            <a:ext uri="{28A0092B-C50C-407E-A947-70E740481C1C}">
              <a14:useLocalDpi xmlns:a14="http://schemas.microsoft.com/office/drawing/2010/main" val="0"/>
            </a:ext>
          </a:extLst>
        </a:blip>
        <a:srcRect/>
        <a:stretch>
          <a:fillRect/>
        </a:stretch>
      </xdr:blipFill>
      <xdr:spPr bwMode="auto">
        <a:xfrm>
          <a:off x="1228725" y="1225153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654</xdr:row>
      <xdr:rowOff>19050</xdr:rowOff>
    </xdr:from>
    <xdr:to>
      <xdr:col>2</xdr:col>
      <xdr:colOff>1733550</xdr:colOff>
      <xdr:row>654</xdr:row>
      <xdr:rowOff>1666875</xdr:rowOff>
    </xdr:to>
    <xdr:pic>
      <xdr:nvPicPr>
        <xdr:cNvPr id="654" name="Picture 653"/>
        <xdr:cNvPicPr>
          <a:picLocks noChangeAspect="1" noChangeArrowheads="1"/>
        </xdr:cNvPicPr>
      </xdr:nvPicPr>
      <xdr:blipFill>
        <a:blip xmlns:r="http://schemas.openxmlformats.org/officeDocument/2006/relationships" r:embed="rId653">
          <a:extLst>
            <a:ext uri="{28A0092B-C50C-407E-A947-70E740481C1C}">
              <a14:useLocalDpi xmlns:a14="http://schemas.microsoft.com/office/drawing/2010/main" val="0"/>
            </a:ext>
          </a:extLst>
        </a:blip>
        <a:srcRect/>
        <a:stretch>
          <a:fillRect/>
        </a:stretch>
      </xdr:blipFill>
      <xdr:spPr bwMode="auto">
        <a:xfrm>
          <a:off x="1228725" y="1227067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655</xdr:row>
      <xdr:rowOff>19050</xdr:rowOff>
    </xdr:from>
    <xdr:to>
      <xdr:col>2</xdr:col>
      <xdr:colOff>1733550</xdr:colOff>
      <xdr:row>655</xdr:row>
      <xdr:rowOff>1666875</xdr:rowOff>
    </xdr:to>
    <xdr:pic>
      <xdr:nvPicPr>
        <xdr:cNvPr id="655" name="Picture 654"/>
        <xdr:cNvPicPr>
          <a:picLocks noChangeAspect="1" noChangeArrowheads="1"/>
        </xdr:cNvPicPr>
      </xdr:nvPicPr>
      <xdr:blipFill>
        <a:blip xmlns:r="http://schemas.openxmlformats.org/officeDocument/2006/relationships" r:embed="rId654">
          <a:extLst>
            <a:ext uri="{28A0092B-C50C-407E-A947-70E740481C1C}">
              <a14:useLocalDpi xmlns:a14="http://schemas.microsoft.com/office/drawing/2010/main" val="0"/>
            </a:ext>
          </a:extLst>
        </a:blip>
        <a:srcRect/>
        <a:stretch>
          <a:fillRect/>
        </a:stretch>
      </xdr:blipFill>
      <xdr:spPr bwMode="auto">
        <a:xfrm>
          <a:off x="1228725" y="1228982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656</xdr:row>
      <xdr:rowOff>19050</xdr:rowOff>
    </xdr:from>
    <xdr:to>
      <xdr:col>2</xdr:col>
      <xdr:colOff>1733550</xdr:colOff>
      <xdr:row>656</xdr:row>
      <xdr:rowOff>1666875</xdr:rowOff>
    </xdr:to>
    <xdr:pic>
      <xdr:nvPicPr>
        <xdr:cNvPr id="656" name="Picture 655"/>
        <xdr:cNvPicPr>
          <a:picLocks noChangeAspect="1" noChangeArrowheads="1"/>
        </xdr:cNvPicPr>
      </xdr:nvPicPr>
      <xdr:blipFill>
        <a:blip xmlns:r="http://schemas.openxmlformats.org/officeDocument/2006/relationships" r:embed="rId655">
          <a:extLst>
            <a:ext uri="{28A0092B-C50C-407E-A947-70E740481C1C}">
              <a14:useLocalDpi xmlns:a14="http://schemas.microsoft.com/office/drawing/2010/main" val="0"/>
            </a:ext>
          </a:extLst>
        </a:blip>
        <a:srcRect/>
        <a:stretch>
          <a:fillRect/>
        </a:stretch>
      </xdr:blipFill>
      <xdr:spPr bwMode="auto">
        <a:xfrm>
          <a:off x="1228725" y="1230896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657</xdr:row>
      <xdr:rowOff>19050</xdr:rowOff>
    </xdr:from>
    <xdr:to>
      <xdr:col>2</xdr:col>
      <xdr:colOff>1733550</xdr:colOff>
      <xdr:row>657</xdr:row>
      <xdr:rowOff>1666875</xdr:rowOff>
    </xdr:to>
    <xdr:pic>
      <xdr:nvPicPr>
        <xdr:cNvPr id="657" name="Picture 656"/>
        <xdr:cNvPicPr>
          <a:picLocks noChangeAspect="1" noChangeArrowheads="1"/>
        </xdr:cNvPicPr>
      </xdr:nvPicPr>
      <xdr:blipFill>
        <a:blip xmlns:r="http://schemas.openxmlformats.org/officeDocument/2006/relationships" r:embed="rId656">
          <a:extLst>
            <a:ext uri="{28A0092B-C50C-407E-A947-70E740481C1C}">
              <a14:useLocalDpi xmlns:a14="http://schemas.microsoft.com/office/drawing/2010/main" val="0"/>
            </a:ext>
          </a:extLst>
        </a:blip>
        <a:srcRect/>
        <a:stretch>
          <a:fillRect/>
        </a:stretch>
      </xdr:blipFill>
      <xdr:spPr bwMode="auto">
        <a:xfrm>
          <a:off x="1228725" y="1232811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658</xdr:row>
      <xdr:rowOff>19050</xdr:rowOff>
    </xdr:from>
    <xdr:to>
      <xdr:col>2</xdr:col>
      <xdr:colOff>1733550</xdr:colOff>
      <xdr:row>658</xdr:row>
      <xdr:rowOff>1666875</xdr:rowOff>
    </xdr:to>
    <xdr:pic>
      <xdr:nvPicPr>
        <xdr:cNvPr id="658" name="Picture 657"/>
        <xdr:cNvPicPr>
          <a:picLocks noChangeAspect="1" noChangeArrowheads="1"/>
        </xdr:cNvPicPr>
      </xdr:nvPicPr>
      <xdr:blipFill>
        <a:blip xmlns:r="http://schemas.openxmlformats.org/officeDocument/2006/relationships" r:embed="rId657">
          <a:extLst>
            <a:ext uri="{28A0092B-C50C-407E-A947-70E740481C1C}">
              <a14:useLocalDpi xmlns:a14="http://schemas.microsoft.com/office/drawing/2010/main" val="0"/>
            </a:ext>
          </a:extLst>
        </a:blip>
        <a:srcRect/>
        <a:stretch>
          <a:fillRect/>
        </a:stretch>
      </xdr:blipFill>
      <xdr:spPr bwMode="auto">
        <a:xfrm>
          <a:off x="1228725" y="1234725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659</xdr:row>
      <xdr:rowOff>19050</xdr:rowOff>
    </xdr:from>
    <xdr:to>
      <xdr:col>2</xdr:col>
      <xdr:colOff>1733550</xdr:colOff>
      <xdr:row>659</xdr:row>
      <xdr:rowOff>1666875</xdr:rowOff>
    </xdr:to>
    <xdr:pic>
      <xdr:nvPicPr>
        <xdr:cNvPr id="659" name="Picture 658"/>
        <xdr:cNvPicPr>
          <a:picLocks noChangeAspect="1" noChangeArrowheads="1"/>
        </xdr:cNvPicPr>
      </xdr:nvPicPr>
      <xdr:blipFill>
        <a:blip xmlns:r="http://schemas.openxmlformats.org/officeDocument/2006/relationships" r:embed="rId658">
          <a:extLst>
            <a:ext uri="{28A0092B-C50C-407E-A947-70E740481C1C}">
              <a14:useLocalDpi xmlns:a14="http://schemas.microsoft.com/office/drawing/2010/main" val="0"/>
            </a:ext>
          </a:extLst>
        </a:blip>
        <a:srcRect/>
        <a:stretch>
          <a:fillRect/>
        </a:stretch>
      </xdr:blipFill>
      <xdr:spPr bwMode="auto">
        <a:xfrm>
          <a:off x="1228725" y="1236640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660</xdr:row>
      <xdr:rowOff>19050</xdr:rowOff>
    </xdr:from>
    <xdr:to>
      <xdr:col>2</xdr:col>
      <xdr:colOff>1733550</xdr:colOff>
      <xdr:row>660</xdr:row>
      <xdr:rowOff>1666875</xdr:rowOff>
    </xdr:to>
    <xdr:pic>
      <xdr:nvPicPr>
        <xdr:cNvPr id="660" name="Picture 659"/>
        <xdr:cNvPicPr>
          <a:picLocks noChangeAspect="1" noChangeArrowheads="1"/>
        </xdr:cNvPicPr>
      </xdr:nvPicPr>
      <xdr:blipFill>
        <a:blip xmlns:r="http://schemas.openxmlformats.org/officeDocument/2006/relationships" r:embed="rId659">
          <a:extLst>
            <a:ext uri="{28A0092B-C50C-407E-A947-70E740481C1C}">
              <a14:useLocalDpi xmlns:a14="http://schemas.microsoft.com/office/drawing/2010/main" val="0"/>
            </a:ext>
          </a:extLst>
        </a:blip>
        <a:srcRect/>
        <a:stretch>
          <a:fillRect/>
        </a:stretch>
      </xdr:blipFill>
      <xdr:spPr bwMode="auto">
        <a:xfrm>
          <a:off x="1228725" y="1238554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661</xdr:row>
      <xdr:rowOff>19050</xdr:rowOff>
    </xdr:from>
    <xdr:to>
      <xdr:col>2</xdr:col>
      <xdr:colOff>1733550</xdr:colOff>
      <xdr:row>661</xdr:row>
      <xdr:rowOff>1666875</xdr:rowOff>
    </xdr:to>
    <xdr:pic>
      <xdr:nvPicPr>
        <xdr:cNvPr id="661" name="Picture 660"/>
        <xdr:cNvPicPr>
          <a:picLocks noChangeAspect="1" noChangeArrowheads="1"/>
        </xdr:cNvPicPr>
      </xdr:nvPicPr>
      <xdr:blipFill>
        <a:blip xmlns:r="http://schemas.openxmlformats.org/officeDocument/2006/relationships" r:embed="rId660">
          <a:extLst>
            <a:ext uri="{28A0092B-C50C-407E-A947-70E740481C1C}">
              <a14:useLocalDpi xmlns:a14="http://schemas.microsoft.com/office/drawing/2010/main" val="0"/>
            </a:ext>
          </a:extLst>
        </a:blip>
        <a:srcRect/>
        <a:stretch>
          <a:fillRect/>
        </a:stretch>
      </xdr:blipFill>
      <xdr:spPr bwMode="auto">
        <a:xfrm>
          <a:off x="1228725" y="1240469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662</xdr:row>
      <xdr:rowOff>19050</xdr:rowOff>
    </xdr:from>
    <xdr:to>
      <xdr:col>2</xdr:col>
      <xdr:colOff>1733550</xdr:colOff>
      <xdr:row>662</xdr:row>
      <xdr:rowOff>1666875</xdr:rowOff>
    </xdr:to>
    <xdr:pic>
      <xdr:nvPicPr>
        <xdr:cNvPr id="662" name="Picture 661"/>
        <xdr:cNvPicPr>
          <a:picLocks noChangeAspect="1" noChangeArrowheads="1"/>
        </xdr:cNvPicPr>
      </xdr:nvPicPr>
      <xdr:blipFill>
        <a:blip xmlns:r="http://schemas.openxmlformats.org/officeDocument/2006/relationships" r:embed="rId661">
          <a:extLst>
            <a:ext uri="{28A0092B-C50C-407E-A947-70E740481C1C}">
              <a14:useLocalDpi xmlns:a14="http://schemas.microsoft.com/office/drawing/2010/main" val="0"/>
            </a:ext>
          </a:extLst>
        </a:blip>
        <a:srcRect/>
        <a:stretch>
          <a:fillRect/>
        </a:stretch>
      </xdr:blipFill>
      <xdr:spPr bwMode="auto">
        <a:xfrm>
          <a:off x="1228725" y="124238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663</xdr:row>
      <xdr:rowOff>19050</xdr:rowOff>
    </xdr:from>
    <xdr:to>
      <xdr:col>2</xdr:col>
      <xdr:colOff>1733550</xdr:colOff>
      <xdr:row>663</xdr:row>
      <xdr:rowOff>1666875</xdr:rowOff>
    </xdr:to>
    <xdr:pic>
      <xdr:nvPicPr>
        <xdr:cNvPr id="663" name="Picture 662"/>
        <xdr:cNvPicPr>
          <a:picLocks noChangeAspect="1" noChangeArrowheads="1"/>
        </xdr:cNvPicPr>
      </xdr:nvPicPr>
      <xdr:blipFill>
        <a:blip xmlns:r="http://schemas.openxmlformats.org/officeDocument/2006/relationships" r:embed="rId662">
          <a:extLst>
            <a:ext uri="{28A0092B-C50C-407E-A947-70E740481C1C}">
              <a14:useLocalDpi xmlns:a14="http://schemas.microsoft.com/office/drawing/2010/main" val="0"/>
            </a:ext>
          </a:extLst>
        </a:blip>
        <a:srcRect/>
        <a:stretch>
          <a:fillRect/>
        </a:stretch>
      </xdr:blipFill>
      <xdr:spPr bwMode="auto">
        <a:xfrm>
          <a:off x="1228725" y="1244298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664</xdr:row>
      <xdr:rowOff>19050</xdr:rowOff>
    </xdr:from>
    <xdr:to>
      <xdr:col>2</xdr:col>
      <xdr:colOff>1733550</xdr:colOff>
      <xdr:row>664</xdr:row>
      <xdr:rowOff>1666875</xdr:rowOff>
    </xdr:to>
    <xdr:pic>
      <xdr:nvPicPr>
        <xdr:cNvPr id="664" name="Picture 663"/>
        <xdr:cNvPicPr>
          <a:picLocks noChangeAspect="1" noChangeArrowheads="1"/>
        </xdr:cNvPicPr>
      </xdr:nvPicPr>
      <xdr:blipFill>
        <a:blip xmlns:r="http://schemas.openxmlformats.org/officeDocument/2006/relationships" r:embed="rId663">
          <a:extLst>
            <a:ext uri="{28A0092B-C50C-407E-A947-70E740481C1C}">
              <a14:useLocalDpi xmlns:a14="http://schemas.microsoft.com/office/drawing/2010/main" val="0"/>
            </a:ext>
          </a:extLst>
        </a:blip>
        <a:srcRect/>
        <a:stretch>
          <a:fillRect/>
        </a:stretch>
      </xdr:blipFill>
      <xdr:spPr bwMode="auto">
        <a:xfrm>
          <a:off x="1228725" y="124621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665</xdr:row>
      <xdr:rowOff>19050</xdr:rowOff>
    </xdr:from>
    <xdr:to>
      <xdr:col>2</xdr:col>
      <xdr:colOff>1733550</xdr:colOff>
      <xdr:row>665</xdr:row>
      <xdr:rowOff>1666875</xdr:rowOff>
    </xdr:to>
    <xdr:pic>
      <xdr:nvPicPr>
        <xdr:cNvPr id="665" name="Picture 664"/>
        <xdr:cNvPicPr>
          <a:picLocks noChangeAspect="1" noChangeArrowheads="1"/>
        </xdr:cNvPicPr>
      </xdr:nvPicPr>
      <xdr:blipFill>
        <a:blip xmlns:r="http://schemas.openxmlformats.org/officeDocument/2006/relationships" r:embed="rId664">
          <a:extLst>
            <a:ext uri="{28A0092B-C50C-407E-A947-70E740481C1C}">
              <a14:useLocalDpi xmlns:a14="http://schemas.microsoft.com/office/drawing/2010/main" val="0"/>
            </a:ext>
          </a:extLst>
        </a:blip>
        <a:srcRect/>
        <a:stretch>
          <a:fillRect/>
        </a:stretch>
      </xdr:blipFill>
      <xdr:spPr bwMode="auto">
        <a:xfrm>
          <a:off x="1228725" y="124812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666</xdr:row>
      <xdr:rowOff>19050</xdr:rowOff>
    </xdr:from>
    <xdr:to>
      <xdr:col>2</xdr:col>
      <xdr:colOff>1733550</xdr:colOff>
      <xdr:row>666</xdr:row>
      <xdr:rowOff>1666875</xdr:rowOff>
    </xdr:to>
    <xdr:pic>
      <xdr:nvPicPr>
        <xdr:cNvPr id="666" name="Picture 665"/>
        <xdr:cNvPicPr>
          <a:picLocks noChangeAspect="1" noChangeArrowheads="1"/>
        </xdr:cNvPicPr>
      </xdr:nvPicPr>
      <xdr:blipFill>
        <a:blip xmlns:r="http://schemas.openxmlformats.org/officeDocument/2006/relationships" r:embed="rId665">
          <a:extLst>
            <a:ext uri="{28A0092B-C50C-407E-A947-70E740481C1C}">
              <a14:useLocalDpi xmlns:a14="http://schemas.microsoft.com/office/drawing/2010/main" val="0"/>
            </a:ext>
          </a:extLst>
        </a:blip>
        <a:srcRect/>
        <a:stretch>
          <a:fillRect/>
        </a:stretch>
      </xdr:blipFill>
      <xdr:spPr bwMode="auto">
        <a:xfrm>
          <a:off x="1228725" y="1250041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667</xdr:row>
      <xdr:rowOff>19050</xdr:rowOff>
    </xdr:from>
    <xdr:to>
      <xdr:col>2</xdr:col>
      <xdr:colOff>1733550</xdr:colOff>
      <xdr:row>667</xdr:row>
      <xdr:rowOff>1666875</xdr:rowOff>
    </xdr:to>
    <xdr:pic>
      <xdr:nvPicPr>
        <xdr:cNvPr id="667" name="Picture 666"/>
        <xdr:cNvPicPr>
          <a:picLocks noChangeAspect="1" noChangeArrowheads="1"/>
        </xdr:cNvPicPr>
      </xdr:nvPicPr>
      <xdr:blipFill>
        <a:blip xmlns:r="http://schemas.openxmlformats.org/officeDocument/2006/relationships" r:embed="rId666">
          <a:extLst>
            <a:ext uri="{28A0092B-C50C-407E-A947-70E740481C1C}">
              <a14:useLocalDpi xmlns:a14="http://schemas.microsoft.com/office/drawing/2010/main" val="0"/>
            </a:ext>
          </a:extLst>
        </a:blip>
        <a:srcRect/>
        <a:stretch>
          <a:fillRect/>
        </a:stretch>
      </xdr:blipFill>
      <xdr:spPr bwMode="auto">
        <a:xfrm>
          <a:off x="1228725" y="1251956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668</xdr:row>
      <xdr:rowOff>19050</xdr:rowOff>
    </xdr:from>
    <xdr:to>
      <xdr:col>2</xdr:col>
      <xdr:colOff>1733550</xdr:colOff>
      <xdr:row>668</xdr:row>
      <xdr:rowOff>1666875</xdr:rowOff>
    </xdr:to>
    <xdr:pic>
      <xdr:nvPicPr>
        <xdr:cNvPr id="668" name="Picture 667"/>
        <xdr:cNvPicPr>
          <a:picLocks noChangeAspect="1" noChangeArrowheads="1"/>
        </xdr:cNvPicPr>
      </xdr:nvPicPr>
      <xdr:blipFill>
        <a:blip xmlns:r="http://schemas.openxmlformats.org/officeDocument/2006/relationships" r:embed="rId667">
          <a:extLst>
            <a:ext uri="{28A0092B-C50C-407E-A947-70E740481C1C}">
              <a14:useLocalDpi xmlns:a14="http://schemas.microsoft.com/office/drawing/2010/main" val="0"/>
            </a:ext>
          </a:extLst>
        </a:blip>
        <a:srcRect/>
        <a:stretch>
          <a:fillRect/>
        </a:stretch>
      </xdr:blipFill>
      <xdr:spPr bwMode="auto">
        <a:xfrm>
          <a:off x="1228725" y="1253871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669</xdr:row>
      <xdr:rowOff>19050</xdr:rowOff>
    </xdr:from>
    <xdr:to>
      <xdr:col>2</xdr:col>
      <xdr:colOff>1733550</xdr:colOff>
      <xdr:row>669</xdr:row>
      <xdr:rowOff>1666875</xdr:rowOff>
    </xdr:to>
    <xdr:pic>
      <xdr:nvPicPr>
        <xdr:cNvPr id="669" name="Picture 668"/>
        <xdr:cNvPicPr>
          <a:picLocks noChangeAspect="1" noChangeArrowheads="1"/>
        </xdr:cNvPicPr>
      </xdr:nvPicPr>
      <xdr:blipFill>
        <a:blip xmlns:r="http://schemas.openxmlformats.org/officeDocument/2006/relationships" r:embed="rId668">
          <a:extLst>
            <a:ext uri="{28A0092B-C50C-407E-A947-70E740481C1C}">
              <a14:useLocalDpi xmlns:a14="http://schemas.microsoft.com/office/drawing/2010/main" val="0"/>
            </a:ext>
          </a:extLst>
        </a:blip>
        <a:srcRect/>
        <a:stretch>
          <a:fillRect/>
        </a:stretch>
      </xdr:blipFill>
      <xdr:spPr bwMode="auto">
        <a:xfrm>
          <a:off x="1228725" y="1255785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670</xdr:row>
      <xdr:rowOff>19050</xdr:rowOff>
    </xdr:from>
    <xdr:to>
      <xdr:col>2</xdr:col>
      <xdr:colOff>1733550</xdr:colOff>
      <xdr:row>670</xdr:row>
      <xdr:rowOff>1666875</xdr:rowOff>
    </xdr:to>
    <xdr:pic>
      <xdr:nvPicPr>
        <xdr:cNvPr id="670" name="Picture 669"/>
        <xdr:cNvPicPr>
          <a:picLocks noChangeAspect="1" noChangeArrowheads="1"/>
        </xdr:cNvPicPr>
      </xdr:nvPicPr>
      <xdr:blipFill>
        <a:blip xmlns:r="http://schemas.openxmlformats.org/officeDocument/2006/relationships" r:embed="rId669">
          <a:extLst>
            <a:ext uri="{28A0092B-C50C-407E-A947-70E740481C1C}">
              <a14:useLocalDpi xmlns:a14="http://schemas.microsoft.com/office/drawing/2010/main" val="0"/>
            </a:ext>
          </a:extLst>
        </a:blip>
        <a:srcRect/>
        <a:stretch>
          <a:fillRect/>
        </a:stretch>
      </xdr:blipFill>
      <xdr:spPr bwMode="auto">
        <a:xfrm>
          <a:off x="1228725" y="1257700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671</xdr:row>
      <xdr:rowOff>19050</xdr:rowOff>
    </xdr:from>
    <xdr:to>
      <xdr:col>2</xdr:col>
      <xdr:colOff>1733550</xdr:colOff>
      <xdr:row>671</xdr:row>
      <xdr:rowOff>1666875</xdr:rowOff>
    </xdr:to>
    <xdr:pic>
      <xdr:nvPicPr>
        <xdr:cNvPr id="671" name="Picture 670"/>
        <xdr:cNvPicPr>
          <a:picLocks noChangeAspect="1" noChangeArrowheads="1"/>
        </xdr:cNvPicPr>
      </xdr:nvPicPr>
      <xdr:blipFill>
        <a:blip xmlns:r="http://schemas.openxmlformats.org/officeDocument/2006/relationships" r:embed="rId670">
          <a:extLst>
            <a:ext uri="{28A0092B-C50C-407E-A947-70E740481C1C}">
              <a14:useLocalDpi xmlns:a14="http://schemas.microsoft.com/office/drawing/2010/main" val="0"/>
            </a:ext>
          </a:extLst>
        </a:blip>
        <a:srcRect/>
        <a:stretch>
          <a:fillRect/>
        </a:stretch>
      </xdr:blipFill>
      <xdr:spPr bwMode="auto">
        <a:xfrm>
          <a:off x="1228725" y="1259614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672</xdr:row>
      <xdr:rowOff>19050</xdr:rowOff>
    </xdr:from>
    <xdr:to>
      <xdr:col>2</xdr:col>
      <xdr:colOff>1733550</xdr:colOff>
      <xdr:row>672</xdr:row>
      <xdr:rowOff>1666875</xdr:rowOff>
    </xdr:to>
    <xdr:pic>
      <xdr:nvPicPr>
        <xdr:cNvPr id="672" name="Picture 671"/>
        <xdr:cNvPicPr>
          <a:picLocks noChangeAspect="1" noChangeArrowheads="1"/>
        </xdr:cNvPicPr>
      </xdr:nvPicPr>
      <xdr:blipFill>
        <a:blip xmlns:r="http://schemas.openxmlformats.org/officeDocument/2006/relationships" r:embed="rId671">
          <a:extLst>
            <a:ext uri="{28A0092B-C50C-407E-A947-70E740481C1C}">
              <a14:useLocalDpi xmlns:a14="http://schemas.microsoft.com/office/drawing/2010/main" val="0"/>
            </a:ext>
          </a:extLst>
        </a:blip>
        <a:srcRect/>
        <a:stretch>
          <a:fillRect/>
        </a:stretch>
      </xdr:blipFill>
      <xdr:spPr bwMode="auto">
        <a:xfrm>
          <a:off x="1228725" y="1261529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673</xdr:row>
      <xdr:rowOff>19050</xdr:rowOff>
    </xdr:from>
    <xdr:to>
      <xdr:col>2</xdr:col>
      <xdr:colOff>1733550</xdr:colOff>
      <xdr:row>673</xdr:row>
      <xdr:rowOff>1666875</xdr:rowOff>
    </xdr:to>
    <xdr:pic>
      <xdr:nvPicPr>
        <xdr:cNvPr id="673" name="Picture 672"/>
        <xdr:cNvPicPr>
          <a:picLocks noChangeAspect="1" noChangeArrowheads="1"/>
        </xdr:cNvPicPr>
      </xdr:nvPicPr>
      <xdr:blipFill>
        <a:blip xmlns:r="http://schemas.openxmlformats.org/officeDocument/2006/relationships" r:embed="rId672">
          <a:extLst>
            <a:ext uri="{28A0092B-C50C-407E-A947-70E740481C1C}">
              <a14:useLocalDpi xmlns:a14="http://schemas.microsoft.com/office/drawing/2010/main" val="0"/>
            </a:ext>
          </a:extLst>
        </a:blip>
        <a:srcRect/>
        <a:stretch>
          <a:fillRect/>
        </a:stretch>
      </xdr:blipFill>
      <xdr:spPr bwMode="auto">
        <a:xfrm>
          <a:off x="1228725" y="1263443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674</xdr:row>
      <xdr:rowOff>19050</xdr:rowOff>
    </xdr:from>
    <xdr:to>
      <xdr:col>2</xdr:col>
      <xdr:colOff>1733550</xdr:colOff>
      <xdr:row>674</xdr:row>
      <xdr:rowOff>1666875</xdr:rowOff>
    </xdr:to>
    <xdr:pic>
      <xdr:nvPicPr>
        <xdr:cNvPr id="674" name="Picture 673"/>
        <xdr:cNvPicPr>
          <a:picLocks noChangeAspect="1" noChangeArrowheads="1"/>
        </xdr:cNvPicPr>
      </xdr:nvPicPr>
      <xdr:blipFill>
        <a:blip xmlns:r="http://schemas.openxmlformats.org/officeDocument/2006/relationships" r:embed="rId673">
          <a:extLst>
            <a:ext uri="{28A0092B-C50C-407E-A947-70E740481C1C}">
              <a14:useLocalDpi xmlns:a14="http://schemas.microsoft.com/office/drawing/2010/main" val="0"/>
            </a:ext>
          </a:extLst>
        </a:blip>
        <a:srcRect/>
        <a:stretch>
          <a:fillRect/>
        </a:stretch>
      </xdr:blipFill>
      <xdr:spPr bwMode="auto">
        <a:xfrm>
          <a:off x="1228725" y="126535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675</xdr:row>
      <xdr:rowOff>19050</xdr:rowOff>
    </xdr:from>
    <xdr:to>
      <xdr:col>2</xdr:col>
      <xdr:colOff>1733550</xdr:colOff>
      <xdr:row>675</xdr:row>
      <xdr:rowOff>1666875</xdr:rowOff>
    </xdr:to>
    <xdr:pic>
      <xdr:nvPicPr>
        <xdr:cNvPr id="675" name="Picture 674"/>
        <xdr:cNvPicPr>
          <a:picLocks noChangeAspect="1" noChangeArrowheads="1"/>
        </xdr:cNvPicPr>
      </xdr:nvPicPr>
      <xdr:blipFill>
        <a:blip xmlns:r="http://schemas.openxmlformats.org/officeDocument/2006/relationships" r:embed="rId674">
          <a:extLst>
            <a:ext uri="{28A0092B-C50C-407E-A947-70E740481C1C}">
              <a14:useLocalDpi xmlns:a14="http://schemas.microsoft.com/office/drawing/2010/main" val="0"/>
            </a:ext>
          </a:extLst>
        </a:blip>
        <a:srcRect/>
        <a:stretch>
          <a:fillRect/>
        </a:stretch>
      </xdr:blipFill>
      <xdr:spPr bwMode="auto">
        <a:xfrm>
          <a:off x="1228725" y="1267272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676</xdr:row>
      <xdr:rowOff>19050</xdr:rowOff>
    </xdr:from>
    <xdr:to>
      <xdr:col>2</xdr:col>
      <xdr:colOff>1733550</xdr:colOff>
      <xdr:row>676</xdr:row>
      <xdr:rowOff>1666875</xdr:rowOff>
    </xdr:to>
    <xdr:pic>
      <xdr:nvPicPr>
        <xdr:cNvPr id="676" name="Picture 675"/>
        <xdr:cNvPicPr>
          <a:picLocks noChangeAspect="1" noChangeArrowheads="1"/>
        </xdr:cNvPicPr>
      </xdr:nvPicPr>
      <xdr:blipFill>
        <a:blip xmlns:r="http://schemas.openxmlformats.org/officeDocument/2006/relationships" r:embed="rId675">
          <a:extLst>
            <a:ext uri="{28A0092B-C50C-407E-A947-70E740481C1C}">
              <a14:useLocalDpi xmlns:a14="http://schemas.microsoft.com/office/drawing/2010/main" val="0"/>
            </a:ext>
          </a:extLst>
        </a:blip>
        <a:srcRect/>
        <a:stretch>
          <a:fillRect/>
        </a:stretch>
      </xdr:blipFill>
      <xdr:spPr bwMode="auto">
        <a:xfrm>
          <a:off x="1228725" y="1269187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677</xdr:row>
      <xdr:rowOff>19050</xdr:rowOff>
    </xdr:from>
    <xdr:to>
      <xdr:col>2</xdr:col>
      <xdr:colOff>1733550</xdr:colOff>
      <xdr:row>677</xdr:row>
      <xdr:rowOff>1666875</xdr:rowOff>
    </xdr:to>
    <xdr:pic>
      <xdr:nvPicPr>
        <xdr:cNvPr id="677" name="Picture 676"/>
        <xdr:cNvPicPr>
          <a:picLocks noChangeAspect="1" noChangeArrowheads="1"/>
        </xdr:cNvPicPr>
      </xdr:nvPicPr>
      <xdr:blipFill>
        <a:blip xmlns:r="http://schemas.openxmlformats.org/officeDocument/2006/relationships" r:embed="rId676">
          <a:extLst>
            <a:ext uri="{28A0092B-C50C-407E-A947-70E740481C1C}">
              <a14:useLocalDpi xmlns:a14="http://schemas.microsoft.com/office/drawing/2010/main" val="0"/>
            </a:ext>
          </a:extLst>
        </a:blip>
        <a:srcRect/>
        <a:stretch>
          <a:fillRect/>
        </a:stretch>
      </xdr:blipFill>
      <xdr:spPr bwMode="auto">
        <a:xfrm>
          <a:off x="1228725" y="1271101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678</xdr:row>
      <xdr:rowOff>19050</xdr:rowOff>
    </xdr:from>
    <xdr:to>
      <xdr:col>2</xdr:col>
      <xdr:colOff>1733550</xdr:colOff>
      <xdr:row>678</xdr:row>
      <xdr:rowOff>1666875</xdr:rowOff>
    </xdr:to>
    <xdr:pic>
      <xdr:nvPicPr>
        <xdr:cNvPr id="678" name="Picture 677"/>
        <xdr:cNvPicPr>
          <a:picLocks noChangeAspect="1" noChangeArrowheads="1"/>
        </xdr:cNvPicPr>
      </xdr:nvPicPr>
      <xdr:blipFill>
        <a:blip xmlns:r="http://schemas.openxmlformats.org/officeDocument/2006/relationships" r:embed="rId677">
          <a:extLst>
            <a:ext uri="{28A0092B-C50C-407E-A947-70E740481C1C}">
              <a14:useLocalDpi xmlns:a14="http://schemas.microsoft.com/office/drawing/2010/main" val="0"/>
            </a:ext>
          </a:extLst>
        </a:blip>
        <a:srcRect/>
        <a:stretch>
          <a:fillRect/>
        </a:stretch>
      </xdr:blipFill>
      <xdr:spPr bwMode="auto">
        <a:xfrm>
          <a:off x="1228725" y="1273016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679</xdr:row>
      <xdr:rowOff>19050</xdr:rowOff>
    </xdr:from>
    <xdr:to>
      <xdr:col>2</xdr:col>
      <xdr:colOff>1733550</xdr:colOff>
      <xdr:row>679</xdr:row>
      <xdr:rowOff>1666875</xdr:rowOff>
    </xdr:to>
    <xdr:pic>
      <xdr:nvPicPr>
        <xdr:cNvPr id="679" name="Picture 678"/>
        <xdr:cNvPicPr>
          <a:picLocks noChangeAspect="1" noChangeArrowheads="1"/>
        </xdr:cNvPicPr>
      </xdr:nvPicPr>
      <xdr:blipFill>
        <a:blip xmlns:r="http://schemas.openxmlformats.org/officeDocument/2006/relationships" r:embed="rId678">
          <a:extLst>
            <a:ext uri="{28A0092B-C50C-407E-A947-70E740481C1C}">
              <a14:useLocalDpi xmlns:a14="http://schemas.microsoft.com/office/drawing/2010/main" val="0"/>
            </a:ext>
          </a:extLst>
        </a:blip>
        <a:srcRect/>
        <a:stretch>
          <a:fillRect/>
        </a:stretch>
      </xdr:blipFill>
      <xdr:spPr bwMode="auto">
        <a:xfrm>
          <a:off x="1228725" y="1274930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680</xdr:row>
      <xdr:rowOff>19050</xdr:rowOff>
    </xdr:from>
    <xdr:to>
      <xdr:col>2</xdr:col>
      <xdr:colOff>1733550</xdr:colOff>
      <xdr:row>680</xdr:row>
      <xdr:rowOff>1666875</xdr:rowOff>
    </xdr:to>
    <xdr:pic>
      <xdr:nvPicPr>
        <xdr:cNvPr id="680" name="Picture 679"/>
        <xdr:cNvPicPr>
          <a:picLocks noChangeAspect="1" noChangeArrowheads="1"/>
        </xdr:cNvPicPr>
      </xdr:nvPicPr>
      <xdr:blipFill>
        <a:blip xmlns:r="http://schemas.openxmlformats.org/officeDocument/2006/relationships" r:embed="rId679">
          <a:extLst>
            <a:ext uri="{28A0092B-C50C-407E-A947-70E740481C1C}">
              <a14:useLocalDpi xmlns:a14="http://schemas.microsoft.com/office/drawing/2010/main" val="0"/>
            </a:ext>
          </a:extLst>
        </a:blip>
        <a:srcRect/>
        <a:stretch>
          <a:fillRect/>
        </a:stretch>
      </xdr:blipFill>
      <xdr:spPr bwMode="auto">
        <a:xfrm>
          <a:off x="1228725" y="1276845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681</xdr:row>
      <xdr:rowOff>19050</xdr:rowOff>
    </xdr:from>
    <xdr:to>
      <xdr:col>2</xdr:col>
      <xdr:colOff>1733550</xdr:colOff>
      <xdr:row>681</xdr:row>
      <xdr:rowOff>1666875</xdr:rowOff>
    </xdr:to>
    <xdr:pic>
      <xdr:nvPicPr>
        <xdr:cNvPr id="681" name="Picture 680"/>
        <xdr:cNvPicPr>
          <a:picLocks noChangeAspect="1" noChangeArrowheads="1"/>
        </xdr:cNvPicPr>
      </xdr:nvPicPr>
      <xdr:blipFill>
        <a:blip xmlns:r="http://schemas.openxmlformats.org/officeDocument/2006/relationships" r:embed="rId680">
          <a:extLst>
            <a:ext uri="{28A0092B-C50C-407E-A947-70E740481C1C}">
              <a14:useLocalDpi xmlns:a14="http://schemas.microsoft.com/office/drawing/2010/main" val="0"/>
            </a:ext>
          </a:extLst>
        </a:blip>
        <a:srcRect/>
        <a:stretch>
          <a:fillRect/>
        </a:stretch>
      </xdr:blipFill>
      <xdr:spPr bwMode="auto">
        <a:xfrm>
          <a:off x="1228725" y="1278759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682</xdr:row>
      <xdr:rowOff>19050</xdr:rowOff>
    </xdr:from>
    <xdr:to>
      <xdr:col>2</xdr:col>
      <xdr:colOff>1733550</xdr:colOff>
      <xdr:row>682</xdr:row>
      <xdr:rowOff>1666875</xdr:rowOff>
    </xdr:to>
    <xdr:pic>
      <xdr:nvPicPr>
        <xdr:cNvPr id="682" name="Picture 681"/>
        <xdr:cNvPicPr>
          <a:picLocks noChangeAspect="1" noChangeArrowheads="1"/>
        </xdr:cNvPicPr>
      </xdr:nvPicPr>
      <xdr:blipFill>
        <a:blip xmlns:r="http://schemas.openxmlformats.org/officeDocument/2006/relationships" r:embed="rId681">
          <a:extLst>
            <a:ext uri="{28A0092B-C50C-407E-A947-70E740481C1C}">
              <a14:useLocalDpi xmlns:a14="http://schemas.microsoft.com/office/drawing/2010/main" val="0"/>
            </a:ext>
          </a:extLst>
        </a:blip>
        <a:srcRect/>
        <a:stretch>
          <a:fillRect/>
        </a:stretch>
      </xdr:blipFill>
      <xdr:spPr bwMode="auto">
        <a:xfrm>
          <a:off x="1228725" y="1280674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683</xdr:row>
      <xdr:rowOff>19050</xdr:rowOff>
    </xdr:from>
    <xdr:to>
      <xdr:col>2</xdr:col>
      <xdr:colOff>1733550</xdr:colOff>
      <xdr:row>683</xdr:row>
      <xdr:rowOff>1666875</xdr:rowOff>
    </xdr:to>
    <xdr:pic>
      <xdr:nvPicPr>
        <xdr:cNvPr id="683" name="Picture 682"/>
        <xdr:cNvPicPr>
          <a:picLocks noChangeAspect="1" noChangeArrowheads="1"/>
        </xdr:cNvPicPr>
      </xdr:nvPicPr>
      <xdr:blipFill>
        <a:blip xmlns:r="http://schemas.openxmlformats.org/officeDocument/2006/relationships" r:embed="rId682">
          <a:extLst>
            <a:ext uri="{28A0092B-C50C-407E-A947-70E740481C1C}">
              <a14:useLocalDpi xmlns:a14="http://schemas.microsoft.com/office/drawing/2010/main" val="0"/>
            </a:ext>
          </a:extLst>
        </a:blip>
        <a:srcRect/>
        <a:stretch>
          <a:fillRect/>
        </a:stretch>
      </xdr:blipFill>
      <xdr:spPr bwMode="auto">
        <a:xfrm>
          <a:off x="1228725" y="1282588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684</xdr:row>
      <xdr:rowOff>19050</xdr:rowOff>
    </xdr:from>
    <xdr:to>
      <xdr:col>2</xdr:col>
      <xdr:colOff>1733550</xdr:colOff>
      <xdr:row>684</xdr:row>
      <xdr:rowOff>1666875</xdr:rowOff>
    </xdr:to>
    <xdr:pic>
      <xdr:nvPicPr>
        <xdr:cNvPr id="684" name="Picture 683"/>
        <xdr:cNvPicPr>
          <a:picLocks noChangeAspect="1" noChangeArrowheads="1"/>
        </xdr:cNvPicPr>
      </xdr:nvPicPr>
      <xdr:blipFill>
        <a:blip xmlns:r="http://schemas.openxmlformats.org/officeDocument/2006/relationships" r:embed="rId683">
          <a:extLst>
            <a:ext uri="{28A0092B-C50C-407E-A947-70E740481C1C}">
              <a14:useLocalDpi xmlns:a14="http://schemas.microsoft.com/office/drawing/2010/main" val="0"/>
            </a:ext>
          </a:extLst>
        </a:blip>
        <a:srcRect/>
        <a:stretch>
          <a:fillRect/>
        </a:stretch>
      </xdr:blipFill>
      <xdr:spPr bwMode="auto">
        <a:xfrm>
          <a:off x="1228725" y="1284503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685</xdr:row>
      <xdr:rowOff>19050</xdr:rowOff>
    </xdr:from>
    <xdr:to>
      <xdr:col>2</xdr:col>
      <xdr:colOff>1733550</xdr:colOff>
      <xdr:row>685</xdr:row>
      <xdr:rowOff>1666875</xdr:rowOff>
    </xdr:to>
    <xdr:pic>
      <xdr:nvPicPr>
        <xdr:cNvPr id="685" name="Picture 684"/>
        <xdr:cNvPicPr>
          <a:picLocks noChangeAspect="1" noChangeArrowheads="1"/>
        </xdr:cNvPicPr>
      </xdr:nvPicPr>
      <xdr:blipFill>
        <a:blip xmlns:r="http://schemas.openxmlformats.org/officeDocument/2006/relationships" r:embed="rId684">
          <a:extLst>
            <a:ext uri="{28A0092B-C50C-407E-A947-70E740481C1C}">
              <a14:useLocalDpi xmlns:a14="http://schemas.microsoft.com/office/drawing/2010/main" val="0"/>
            </a:ext>
          </a:extLst>
        </a:blip>
        <a:srcRect/>
        <a:stretch>
          <a:fillRect/>
        </a:stretch>
      </xdr:blipFill>
      <xdr:spPr bwMode="auto">
        <a:xfrm>
          <a:off x="1228725" y="1286417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686</xdr:row>
      <xdr:rowOff>19050</xdr:rowOff>
    </xdr:from>
    <xdr:to>
      <xdr:col>2</xdr:col>
      <xdr:colOff>1733550</xdr:colOff>
      <xdr:row>686</xdr:row>
      <xdr:rowOff>1666875</xdr:rowOff>
    </xdr:to>
    <xdr:pic>
      <xdr:nvPicPr>
        <xdr:cNvPr id="686" name="Picture 685"/>
        <xdr:cNvPicPr>
          <a:picLocks noChangeAspect="1" noChangeArrowheads="1"/>
        </xdr:cNvPicPr>
      </xdr:nvPicPr>
      <xdr:blipFill>
        <a:blip xmlns:r="http://schemas.openxmlformats.org/officeDocument/2006/relationships" r:embed="rId685">
          <a:extLst>
            <a:ext uri="{28A0092B-C50C-407E-A947-70E740481C1C}">
              <a14:useLocalDpi xmlns:a14="http://schemas.microsoft.com/office/drawing/2010/main" val="0"/>
            </a:ext>
          </a:extLst>
        </a:blip>
        <a:srcRect/>
        <a:stretch>
          <a:fillRect/>
        </a:stretch>
      </xdr:blipFill>
      <xdr:spPr bwMode="auto">
        <a:xfrm>
          <a:off x="1228725" y="1288332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687</xdr:row>
      <xdr:rowOff>19050</xdr:rowOff>
    </xdr:from>
    <xdr:to>
      <xdr:col>2</xdr:col>
      <xdr:colOff>1733550</xdr:colOff>
      <xdr:row>687</xdr:row>
      <xdr:rowOff>1666875</xdr:rowOff>
    </xdr:to>
    <xdr:pic>
      <xdr:nvPicPr>
        <xdr:cNvPr id="687" name="Picture 686"/>
        <xdr:cNvPicPr>
          <a:picLocks noChangeAspect="1" noChangeArrowheads="1"/>
        </xdr:cNvPicPr>
      </xdr:nvPicPr>
      <xdr:blipFill>
        <a:blip xmlns:r="http://schemas.openxmlformats.org/officeDocument/2006/relationships" r:embed="rId686">
          <a:extLst>
            <a:ext uri="{28A0092B-C50C-407E-A947-70E740481C1C}">
              <a14:useLocalDpi xmlns:a14="http://schemas.microsoft.com/office/drawing/2010/main" val="0"/>
            </a:ext>
          </a:extLst>
        </a:blip>
        <a:srcRect/>
        <a:stretch>
          <a:fillRect/>
        </a:stretch>
      </xdr:blipFill>
      <xdr:spPr bwMode="auto">
        <a:xfrm>
          <a:off x="1228725" y="1290246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688</xdr:row>
      <xdr:rowOff>19050</xdr:rowOff>
    </xdr:from>
    <xdr:to>
      <xdr:col>2</xdr:col>
      <xdr:colOff>1733550</xdr:colOff>
      <xdr:row>688</xdr:row>
      <xdr:rowOff>1666875</xdr:rowOff>
    </xdr:to>
    <xdr:pic>
      <xdr:nvPicPr>
        <xdr:cNvPr id="688" name="Picture 687"/>
        <xdr:cNvPicPr>
          <a:picLocks noChangeAspect="1" noChangeArrowheads="1"/>
        </xdr:cNvPicPr>
      </xdr:nvPicPr>
      <xdr:blipFill>
        <a:blip xmlns:r="http://schemas.openxmlformats.org/officeDocument/2006/relationships" r:embed="rId687">
          <a:extLst>
            <a:ext uri="{28A0092B-C50C-407E-A947-70E740481C1C}">
              <a14:useLocalDpi xmlns:a14="http://schemas.microsoft.com/office/drawing/2010/main" val="0"/>
            </a:ext>
          </a:extLst>
        </a:blip>
        <a:srcRect/>
        <a:stretch>
          <a:fillRect/>
        </a:stretch>
      </xdr:blipFill>
      <xdr:spPr bwMode="auto">
        <a:xfrm>
          <a:off x="1228725" y="129216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689</xdr:row>
      <xdr:rowOff>19050</xdr:rowOff>
    </xdr:from>
    <xdr:to>
      <xdr:col>2</xdr:col>
      <xdr:colOff>1733550</xdr:colOff>
      <xdr:row>689</xdr:row>
      <xdr:rowOff>1666875</xdr:rowOff>
    </xdr:to>
    <xdr:pic>
      <xdr:nvPicPr>
        <xdr:cNvPr id="689" name="Picture 688"/>
        <xdr:cNvPicPr>
          <a:picLocks noChangeAspect="1" noChangeArrowheads="1"/>
        </xdr:cNvPicPr>
      </xdr:nvPicPr>
      <xdr:blipFill>
        <a:blip xmlns:r="http://schemas.openxmlformats.org/officeDocument/2006/relationships" r:embed="rId688">
          <a:extLst>
            <a:ext uri="{28A0092B-C50C-407E-A947-70E740481C1C}">
              <a14:useLocalDpi xmlns:a14="http://schemas.microsoft.com/office/drawing/2010/main" val="0"/>
            </a:ext>
          </a:extLst>
        </a:blip>
        <a:srcRect/>
        <a:stretch>
          <a:fillRect/>
        </a:stretch>
      </xdr:blipFill>
      <xdr:spPr bwMode="auto">
        <a:xfrm>
          <a:off x="1228725" y="129407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690</xdr:row>
      <xdr:rowOff>19050</xdr:rowOff>
    </xdr:from>
    <xdr:to>
      <xdr:col>2</xdr:col>
      <xdr:colOff>1733550</xdr:colOff>
      <xdr:row>690</xdr:row>
      <xdr:rowOff>1666875</xdr:rowOff>
    </xdr:to>
    <xdr:pic>
      <xdr:nvPicPr>
        <xdr:cNvPr id="690" name="Picture 689"/>
        <xdr:cNvPicPr>
          <a:picLocks noChangeAspect="1" noChangeArrowheads="1"/>
        </xdr:cNvPicPr>
      </xdr:nvPicPr>
      <xdr:blipFill>
        <a:blip xmlns:r="http://schemas.openxmlformats.org/officeDocument/2006/relationships" r:embed="rId689">
          <a:extLst>
            <a:ext uri="{28A0092B-C50C-407E-A947-70E740481C1C}">
              <a14:useLocalDpi xmlns:a14="http://schemas.microsoft.com/office/drawing/2010/main" val="0"/>
            </a:ext>
          </a:extLst>
        </a:blip>
        <a:srcRect/>
        <a:stretch>
          <a:fillRect/>
        </a:stretch>
      </xdr:blipFill>
      <xdr:spPr bwMode="auto">
        <a:xfrm>
          <a:off x="1228725" y="129599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691</xdr:row>
      <xdr:rowOff>19050</xdr:rowOff>
    </xdr:from>
    <xdr:to>
      <xdr:col>2</xdr:col>
      <xdr:colOff>1733550</xdr:colOff>
      <xdr:row>691</xdr:row>
      <xdr:rowOff>1666875</xdr:rowOff>
    </xdr:to>
    <xdr:pic>
      <xdr:nvPicPr>
        <xdr:cNvPr id="691" name="Picture 690"/>
        <xdr:cNvPicPr>
          <a:picLocks noChangeAspect="1" noChangeArrowheads="1"/>
        </xdr:cNvPicPr>
      </xdr:nvPicPr>
      <xdr:blipFill>
        <a:blip xmlns:r="http://schemas.openxmlformats.org/officeDocument/2006/relationships" r:embed="rId690">
          <a:extLst>
            <a:ext uri="{28A0092B-C50C-407E-A947-70E740481C1C}">
              <a14:useLocalDpi xmlns:a14="http://schemas.microsoft.com/office/drawing/2010/main" val="0"/>
            </a:ext>
          </a:extLst>
        </a:blip>
        <a:srcRect/>
        <a:stretch>
          <a:fillRect/>
        </a:stretch>
      </xdr:blipFill>
      <xdr:spPr bwMode="auto">
        <a:xfrm>
          <a:off x="1228725" y="129790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692</xdr:row>
      <xdr:rowOff>19050</xdr:rowOff>
    </xdr:from>
    <xdr:to>
      <xdr:col>2</xdr:col>
      <xdr:colOff>1733550</xdr:colOff>
      <xdr:row>692</xdr:row>
      <xdr:rowOff>1666875</xdr:rowOff>
    </xdr:to>
    <xdr:pic>
      <xdr:nvPicPr>
        <xdr:cNvPr id="692" name="Picture 691"/>
        <xdr:cNvPicPr>
          <a:picLocks noChangeAspect="1" noChangeArrowheads="1"/>
        </xdr:cNvPicPr>
      </xdr:nvPicPr>
      <xdr:blipFill>
        <a:blip xmlns:r="http://schemas.openxmlformats.org/officeDocument/2006/relationships" r:embed="rId691">
          <a:extLst>
            <a:ext uri="{28A0092B-C50C-407E-A947-70E740481C1C}">
              <a14:useLocalDpi xmlns:a14="http://schemas.microsoft.com/office/drawing/2010/main" val="0"/>
            </a:ext>
          </a:extLst>
        </a:blip>
        <a:srcRect/>
        <a:stretch>
          <a:fillRect/>
        </a:stretch>
      </xdr:blipFill>
      <xdr:spPr bwMode="auto">
        <a:xfrm>
          <a:off x="1228725" y="129981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693</xdr:row>
      <xdr:rowOff>19050</xdr:rowOff>
    </xdr:from>
    <xdr:to>
      <xdr:col>2</xdr:col>
      <xdr:colOff>1733550</xdr:colOff>
      <xdr:row>693</xdr:row>
      <xdr:rowOff>1666875</xdr:rowOff>
    </xdr:to>
    <xdr:pic>
      <xdr:nvPicPr>
        <xdr:cNvPr id="693" name="Picture 692"/>
        <xdr:cNvPicPr>
          <a:picLocks noChangeAspect="1" noChangeArrowheads="1"/>
        </xdr:cNvPicPr>
      </xdr:nvPicPr>
      <xdr:blipFill>
        <a:blip xmlns:r="http://schemas.openxmlformats.org/officeDocument/2006/relationships" r:embed="rId692">
          <a:extLst>
            <a:ext uri="{28A0092B-C50C-407E-A947-70E740481C1C}">
              <a14:useLocalDpi xmlns:a14="http://schemas.microsoft.com/office/drawing/2010/main" val="0"/>
            </a:ext>
          </a:extLst>
        </a:blip>
        <a:srcRect/>
        <a:stretch>
          <a:fillRect/>
        </a:stretch>
      </xdr:blipFill>
      <xdr:spPr bwMode="auto">
        <a:xfrm>
          <a:off x="1228725" y="130173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694</xdr:row>
      <xdr:rowOff>19050</xdr:rowOff>
    </xdr:from>
    <xdr:to>
      <xdr:col>2</xdr:col>
      <xdr:colOff>1733550</xdr:colOff>
      <xdr:row>694</xdr:row>
      <xdr:rowOff>1666875</xdr:rowOff>
    </xdr:to>
    <xdr:pic>
      <xdr:nvPicPr>
        <xdr:cNvPr id="694" name="Picture 693"/>
        <xdr:cNvPicPr>
          <a:picLocks noChangeAspect="1" noChangeArrowheads="1"/>
        </xdr:cNvPicPr>
      </xdr:nvPicPr>
      <xdr:blipFill>
        <a:blip xmlns:r="http://schemas.openxmlformats.org/officeDocument/2006/relationships" r:embed="rId693">
          <a:extLst>
            <a:ext uri="{28A0092B-C50C-407E-A947-70E740481C1C}">
              <a14:useLocalDpi xmlns:a14="http://schemas.microsoft.com/office/drawing/2010/main" val="0"/>
            </a:ext>
          </a:extLst>
        </a:blip>
        <a:srcRect/>
        <a:stretch>
          <a:fillRect/>
        </a:stretch>
      </xdr:blipFill>
      <xdr:spPr bwMode="auto">
        <a:xfrm>
          <a:off x="1228725" y="130364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695</xdr:row>
      <xdr:rowOff>19050</xdr:rowOff>
    </xdr:from>
    <xdr:to>
      <xdr:col>2</xdr:col>
      <xdr:colOff>1733550</xdr:colOff>
      <xdr:row>695</xdr:row>
      <xdr:rowOff>1666875</xdr:rowOff>
    </xdr:to>
    <xdr:pic>
      <xdr:nvPicPr>
        <xdr:cNvPr id="695" name="Picture 694"/>
        <xdr:cNvPicPr>
          <a:picLocks noChangeAspect="1" noChangeArrowheads="1"/>
        </xdr:cNvPicPr>
      </xdr:nvPicPr>
      <xdr:blipFill>
        <a:blip xmlns:r="http://schemas.openxmlformats.org/officeDocument/2006/relationships" r:embed="rId694">
          <a:extLst>
            <a:ext uri="{28A0092B-C50C-407E-A947-70E740481C1C}">
              <a14:useLocalDpi xmlns:a14="http://schemas.microsoft.com/office/drawing/2010/main" val="0"/>
            </a:ext>
          </a:extLst>
        </a:blip>
        <a:srcRect/>
        <a:stretch>
          <a:fillRect/>
        </a:stretch>
      </xdr:blipFill>
      <xdr:spPr bwMode="auto">
        <a:xfrm>
          <a:off x="1228725" y="130556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696</xdr:row>
      <xdr:rowOff>19050</xdr:rowOff>
    </xdr:from>
    <xdr:to>
      <xdr:col>2</xdr:col>
      <xdr:colOff>1733550</xdr:colOff>
      <xdr:row>696</xdr:row>
      <xdr:rowOff>1666875</xdr:rowOff>
    </xdr:to>
    <xdr:pic>
      <xdr:nvPicPr>
        <xdr:cNvPr id="696" name="Picture 695"/>
        <xdr:cNvPicPr>
          <a:picLocks noChangeAspect="1" noChangeArrowheads="1"/>
        </xdr:cNvPicPr>
      </xdr:nvPicPr>
      <xdr:blipFill>
        <a:blip xmlns:r="http://schemas.openxmlformats.org/officeDocument/2006/relationships" r:embed="rId695">
          <a:extLst>
            <a:ext uri="{28A0092B-C50C-407E-A947-70E740481C1C}">
              <a14:useLocalDpi xmlns:a14="http://schemas.microsoft.com/office/drawing/2010/main" val="0"/>
            </a:ext>
          </a:extLst>
        </a:blip>
        <a:srcRect/>
        <a:stretch>
          <a:fillRect/>
        </a:stretch>
      </xdr:blipFill>
      <xdr:spPr bwMode="auto">
        <a:xfrm>
          <a:off x="1228725" y="130747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697</xdr:row>
      <xdr:rowOff>19050</xdr:rowOff>
    </xdr:from>
    <xdr:to>
      <xdr:col>2</xdr:col>
      <xdr:colOff>1733550</xdr:colOff>
      <xdr:row>697</xdr:row>
      <xdr:rowOff>1666875</xdr:rowOff>
    </xdr:to>
    <xdr:pic>
      <xdr:nvPicPr>
        <xdr:cNvPr id="697" name="Picture 696"/>
        <xdr:cNvPicPr>
          <a:picLocks noChangeAspect="1" noChangeArrowheads="1"/>
        </xdr:cNvPicPr>
      </xdr:nvPicPr>
      <xdr:blipFill>
        <a:blip xmlns:r="http://schemas.openxmlformats.org/officeDocument/2006/relationships" r:embed="rId696">
          <a:extLst>
            <a:ext uri="{28A0092B-C50C-407E-A947-70E740481C1C}">
              <a14:useLocalDpi xmlns:a14="http://schemas.microsoft.com/office/drawing/2010/main" val="0"/>
            </a:ext>
          </a:extLst>
        </a:blip>
        <a:srcRect/>
        <a:stretch>
          <a:fillRect/>
        </a:stretch>
      </xdr:blipFill>
      <xdr:spPr bwMode="auto">
        <a:xfrm>
          <a:off x="1228725" y="130939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698</xdr:row>
      <xdr:rowOff>19050</xdr:rowOff>
    </xdr:from>
    <xdr:to>
      <xdr:col>2</xdr:col>
      <xdr:colOff>1733550</xdr:colOff>
      <xdr:row>698</xdr:row>
      <xdr:rowOff>1666875</xdr:rowOff>
    </xdr:to>
    <xdr:pic>
      <xdr:nvPicPr>
        <xdr:cNvPr id="698" name="Picture 697"/>
        <xdr:cNvPicPr>
          <a:picLocks noChangeAspect="1" noChangeArrowheads="1"/>
        </xdr:cNvPicPr>
      </xdr:nvPicPr>
      <xdr:blipFill>
        <a:blip xmlns:r="http://schemas.openxmlformats.org/officeDocument/2006/relationships" r:embed="rId697">
          <a:extLst>
            <a:ext uri="{28A0092B-C50C-407E-A947-70E740481C1C}">
              <a14:useLocalDpi xmlns:a14="http://schemas.microsoft.com/office/drawing/2010/main" val="0"/>
            </a:ext>
          </a:extLst>
        </a:blip>
        <a:srcRect/>
        <a:stretch>
          <a:fillRect/>
        </a:stretch>
      </xdr:blipFill>
      <xdr:spPr bwMode="auto">
        <a:xfrm>
          <a:off x="1228725" y="131130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699</xdr:row>
      <xdr:rowOff>19050</xdr:rowOff>
    </xdr:from>
    <xdr:to>
      <xdr:col>2</xdr:col>
      <xdr:colOff>1733550</xdr:colOff>
      <xdr:row>699</xdr:row>
      <xdr:rowOff>1666875</xdr:rowOff>
    </xdr:to>
    <xdr:pic>
      <xdr:nvPicPr>
        <xdr:cNvPr id="699" name="Picture 698"/>
        <xdr:cNvPicPr>
          <a:picLocks noChangeAspect="1" noChangeArrowheads="1"/>
        </xdr:cNvPicPr>
      </xdr:nvPicPr>
      <xdr:blipFill>
        <a:blip xmlns:r="http://schemas.openxmlformats.org/officeDocument/2006/relationships" r:embed="rId698">
          <a:extLst>
            <a:ext uri="{28A0092B-C50C-407E-A947-70E740481C1C}">
              <a14:useLocalDpi xmlns:a14="http://schemas.microsoft.com/office/drawing/2010/main" val="0"/>
            </a:ext>
          </a:extLst>
        </a:blip>
        <a:srcRect/>
        <a:stretch>
          <a:fillRect/>
        </a:stretch>
      </xdr:blipFill>
      <xdr:spPr bwMode="auto">
        <a:xfrm>
          <a:off x="1228725" y="131322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700</xdr:row>
      <xdr:rowOff>19050</xdr:rowOff>
    </xdr:from>
    <xdr:to>
      <xdr:col>2</xdr:col>
      <xdr:colOff>1733550</xdr:colOff>
      <xdr:row>700</xdr:row>
      <xdr:rowOff>1666875</xdr:rowOff>
    </xdr:to>
    <xdr:pic>
      <xdr:nvPicPr>
        <xdr:cNvPr id="700" name="Picture 699"/>
        <xdr:cNvPicPr>
          <a:picLocks noChangeAspect="1" noChangeArrowheads="1"/>
        </xdr:cNvPicPr>
      </xdr:nvPicPr>
      <xdr:blipFill>
        <a:blip xmlns:r="http://schemas.openxmlformats.org/officeDocument/2006/relationships" r:embed="rId699">
          <a:extLst>
            <a:ext uri="{28A0092B-C50C-407E-A947-70E740481C1C}">
              <a14:useLocalDpi xmlns:a14="http://schemas.microsoft.com/office/drawing/2010/main" val="0"/>
            </a:ext>
          </a:extLst>
        </a:blip>
        <a:srcRect/>
        <a:stretch>
          <a:fillRect/>
        </a:stretch>
      </xdr:blipFill>
      <xdr:spPr bwMode="auto">
        <a:xfrm>
          <a:off x="1228725" y="131513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701</xdr:row>
      <xdr:rowOff>19050</xdr:rowOff>
    </xdr:from>
    <xdr:to>
      <xdr:col>2</xdr:col>
      <xdr:colOff>1733550</xdr:colOff>
      <xdr:row>701</xdr:row>
      <xdr:rowOff>1666875</xdr:rowOff>
    </xdr:to>
    <xdr:pic>
      <xdr:nvPicPr>
        <xdr:cNvPr id="701" name="Picture 700"/>
        <xdr:cNvPicPr>
          <a:picLocks noChangeAspect="1" noChangeArrowheads="1"/>
        </xdr:cNvPicPr>
      </xdr:nvPicPr>
      <xdr:blipFill>
        <a:blip xmlns:r="http://schemas.openxmlformats.org/officeDocument/2006/relationships" r:embed="rId700">
          <a:extLst>
            <a:ext uri="{28A0092B-C50C-407E-A947-70E740481C1C}">
              <a14:useLocalDpi xmlns:a14="http://schemas.microsoft.com/office/drawing/2010/main" val="0"/>
            </a:ext>
          </a:extLst>
        </a:blip>
        <a:srcRect/>
        <a:stretch>
          <a:fillRect/>
        </a:stretch>
      </xdr:blipFill>
      <xdr:spPr bwMode="auto">
        <a:xfrm>
          <a:off x="1228725" y="131705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702</xdr:row>
      <xdr:rowOff>19050</xdr:rowOff>
    </xdr:from>
    <xdr:to>
      <xdr:col>2</xdr:col>
      <xdr:colOff>1733550</xdr:colOff>
      <xdr:row>702</xdr:row>
      <xdr:rowOff>1666875</xdr:rowOff>
    </xdr:to>
    <xdr:pic>
      <xdr:nvPicPr>
        <xdr:cNvPr id="702" name="Picture 701"/>
        <xdr:cNvPicPr>
          <a:picLocks noChangeAspect="1" noChangeArrowheads="1"/>
        </xdr:cNvPicPr>
      </xdr:nvPicPr>
      <xdr:blipFill>
        <a:blip xmlns:r="http://schemas.openxmlformats.org/officeDocument/2006/relationships" r:embed="rId701">
          <a:extLst>
            <a:ext uri="{28A0092B-C50C-407E-A947-70E740481C1C}">
              <a14:useLocalDpi xmlns:a14="http://schemas.microsoft.com/office/drawing/2010/main" val="0"/>
            </a:ext>
          </a:extLst>
        </a:blip>
        <a:srcRect/>
        <a:stretch>
          <a:fillRect/>
        </a:stretch>
      </xdr:blipFill>
      <xdr:spPr bwMode="auto">
        <a:xfrm>
          <a:off x="1228725" y="131896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703</xdr:row>
      <xdr:rowOff>19050</xdr:rowOff>
    </xdr:from>
    <xdr:to>
      <xdr:col>2</xdr:col>
      <xdr:colOff>1733550</xdr:colOff>
      <xdr:row>703</xdr:row>
      <xdr:rowOff>1666875</xdr:rowOff>
    </xdr:to>
    <xdr:pic>
      <xdr:nvPicPr>
        <xdr:cNvPr id="703" name="Picture 702"/>
        <xdr:cNvPicPr>
          <a:picLocks noChangeAspect="1" noChangeArrowheads="1"/>
        </xdr:cNvPicPr>
      </xdr:nvPicPr>
      <xdr:blipFill>
        <a:blip xmlns:r="http://schemas.openxmlformats.org/officeDocument/2006/relationships" r:embed="rId702">
          <a:extLst>
            <a:ext uri="{28A0092B-C50C-407E-A947-70E740481C1C}">
              <a14:useLocalDpi xmlns:a14="http://schemas.microsoft.com/office/drawing/2010/main" val="0"/>
            </a:ext>
          </a:extLst>
        </a:blip>
        <a:srcRect/>
        <a:stretch>
          <a:fillRect/>
        </a:stretch>
      </xdr:blipFill>
      <xdr:spPr bwMode="auto">
        <a:xfrm>
          <a:off x="1228725" y="132087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704</xdr:row>
      <xdr:rowOff>19050</xdr:rowOff>
    </xdr:from>
    <xdr:to>
      <xdr:col>2</xdr:col>
      <xdr:colOff>1733550</xdr:colOff>
      <xdr:row>704</xdr:row>
      <xdr:rowOff>1666875</xdr:rowOff>
    </xdr:to>
    <xdr:pic>
      <xdr:nvPicPr>
        <xdr:cNvPr id="704" name="Picture 703"/>
        <xdr:cNvPicPr>
          <a:picLocks noChangeAspect="1" noChangeArrowheads="1"/>
        </xdr:cNvPicPr>
      </xdr:nvPicPr>
      <xdr:blipFill>
        <a:blip xmlns:r="http://schemas.openxmlformats.org/officeDocument/2006/relationships" r:embed="rId703">
          <a:extLst>
            <a:ext uri="{28A0092B-C50C-407E-A947-70E740481C1C}">
              <a14:useLocalDpi xmlns:a14="http://schemas.microsoft.com/office/drawing/2010/main" val="0"/>
            </a:ext>
          </a:extLst>
        </a:blip>
        <a:srcRect/>
        <a:stretch>
          <a:fillRect/>
        </a:stretch>
      </xdr:blipFill>
      <xdr:spPr bwMode="auto">
        <a:xfrm>
          <a:off x="1228725" y="132279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705</xdr:row>
      <xdr:rowOff>19050</xdr:rowOff>
    </xdr:from>
    <xdr:to>
      <xdr:col>2</xdr:col>
      <xdr:colOff>1733550</xdr:colOff>
      <xdr:row>705</xdr:row>
      <xdr:rowOff>1666875</xdr:rowOff>
    </xdr:to>
    <xdr:pic>
      <xdr:nvPicPr>
        <xdr:cNvPr id="705" name="Picture 704"/>
        <xdr:cNvPicPr>
          <a:picLocks noChangeAspect="1" noChangeArrowheads="1"/>
        </xdr:cNvPicPr>
      </xdr:nvPicPr>
      <xdr:blipFill>
        <a:blip xmlns:r="http://schemas.openxmlformats.org/officeDocument/2006/relationships" r:embed="rId704">
          <a:extLst>
            <a:ext uri="{28A0092B-C50C-407E-A947-70E740481C1C}">
              <a14:useLocalDpi xmlns:a14="http://schemas.microsoft.com/office/drawing/2010/main" val="0"/>
            </a:ext>
          </a:extLst>
        </a:blip>
        <a:srcRect/>
        <a:stretch>
          <a:fillRect/>
        </a:stretch>
      </xdr:blipFill>
      <xdr:spPr bwMode="auto">
        <a:xfrm>
          <a:off x="1228725" y="132470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706</xdr:row>
      <xdr:rowOff>19050</xdr:rowOff>
    </xdr:from>
    <xdr:to>
      <xdr:col>2</xdr:col>
      <xdr:colOff>1733550</xdr:colOff>
      <xdr:row>706</xdr:row>
      <xdr:rowOff>1666875</xdr:rowOff>
    </xdr:to>
    <xdr:pic>
      <xdr:nvPicPr>
        <xdr:cNvPr id="706" name="Picture 705"/>
        <xdr:cNvPicPr>
          <a:picLocks noChangeAspect="1" noChangeArrowheads="1"/>
        </xdr:cNvPicPr>
      </xdr:nvPicPr>
      <xdr:blipFill>
        <a:blip xmlns:r="http://schemas.openxmlformats.org/officeDocument/2006/relationships" r:embed="rId705">
          <a:extLst>
            <a:ext uri="{28A0092B-C50C-407E-A947-70E740481C1C}">
              <a14:useLocalDpi xmlns:a14="http://schemas.microsoft.com/office/drawing/2010/main" val="0"/>
            </a:ext>
          </a:extLst>
        </a:blip>
        <a:srcRect/>
        <a:stretch>
          <a:fillRect/>
        </a:stretch>
      </xdr:blipFill>
      <xdr:spPr bwMode="auto">
        <a:xfrm>
          <a:off x="1228725" y="132662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707</xdr:row>
      <xdr:rowOff>19050</xdr:rowOff>
    </xdr:from>
    <xdr:to>
      <xdr:col>2</xdr:col>
      <xdr:colOff>1733550</xdr:colOff>
      <xdr:row>707</xdr:row>
      <xdr:rowOff>1666875</xdr:rowOff>
    </xdr:to>
    <xdr:pic>
      <xdr:nvPicPr>
        <xdr:cNvPr id="707" name="Picture 706"/>
        <xdr:cNvPicPr>
          <a:picLocks noChangeAspect="1" noChangeArrowheads="1"/>
        </xdr:cNvPicPr>
      </xdr:nvPicPr>
      <xdr:blipFill>
        <a:blip xmlns:r="http://schemas.openxmlformats.org/officeDocument/2006/relationships" r:embed="rId706">
          <a:extLst>
            <a:ext uri="{28A0092B-C50C-407E-A947-70E740481C1C}">
              <a14:useLocalDpi xmlns:a14="http://schemas.microsoft.com/office/drawing/2010/main" val="0"/>
            </a:ext>
          </a:extLst>
        </a:blip>
        <a:srcRect/>
        <a:stretch>
          <a:fillRect/>
        </a:stretch>
      </xdr:blipFill>
      <xdr:spPr bwMode="auto">
        <a:xfrm>
          <a:off x="1228725" y="132853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708</xdr:row>
      <xdr:rowOff>19050</xdr:rowOff>
    </xdr:from>
    <xdr:to>
      <xdr:col>2</xdr:col>
      <xdr:colOff>1733550</xdr:colOff>
      <xdr:row>708</xdr:row>
      <xdr:rowOff>1666875</xdr:rowOff>
    </xdr:to>
    <xdr:pic>
      <xdr:nvPicPr>
        <xdr:cNvPr id="708" name="Picture 707"/>
        <xdr:cNvPicPr>
          <a:picLocks noChangeAspect="1" noChangeArrowheads="1"/>
        </xdr:cNvPicPr>
      </xdr:nvPicPr>
      <xdr:blipFill>
        <a:blip xmlns:r="http://schemas.openxmlformats.org/officeDocument/2006/relationships" r:embed="rId707">
          <a:extLst>
            <a:ext uri="{28A0092B-C50C-407E-A947-70E740481C1C}">
              <a14:useLocalDpi xmlns:a14="http://schemas.microsoft.com/office/drawing/2010/main" val="0"/>
            </a:ext>
          </a:extLst>
        </a:blip>
        <a:srcRect/>
        <a:stretch>
          <a:fillRect/>
        </a:stretch>
      </xdr:blipFill>
      <xdr:spPr bwMode="auto">
        <a:xfrm>
          <a:off x="1228725" y="133045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709</xdr:row>
      <xdr:rowOff>19050</xdr:rowOff>
    </xdr:from>
    <xdr:to>
      <xdr:col>2</xdr:col>
      <xdr:colOff>1733550</xdr:colOff>
      <xdr:row>709</xdr:row>
      <xdr:rowOff>1666875</xdr:rowOff>
    </xdr:to>
    <xdr:pic>
      <xdr:nvPicPr>
        <xdr:cNvPr id="709" name="Picture 708"/>
        <xdr:cNvPicPr>
          <a:picLocks noChangeAspect="1" noChangeArrowheads="1"/>
        </xdr:cNvPicPr>
      </xdr:nvPicPr>
      <xdr:blipFill>
        <a:blip xmlns:r="http://schemas.openxmlformats.org/officeDocument/2006/relationships" r:embed="rId708">
          <a:extLst>
            <a:ext uri="{28A0092B-C50C-407E-A947-70E740481C1C}">
              <a14:useLocalDpi xmlns:a14="http://schemas.microsoft.com/office/drawing/2010/main" val="0"/>
            </a:ext>
          </a:extLst>
        </a:blip>
        <a:srcRect/>
        <a:stretch>
          <a:fillRect/>
        </a:stretch>
      </xdr:blipFill>
      <xdr:spPr bwMode="auto">
        <a:xfrm>
          <a:off x="1228725" y="133236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710</xdr:row>
      <xdr:rowOff>19050</xdr:rowOff>
    </xdr:from>
    <xdr:to>
      <xdr:col>2</xdr:col>
      <xdr:colOff>1733550</xdr:colOff>
      <xdr:row>710</xdr:row>
      <xdr:rowOff>1666875</xdr:rowOff>
    </xdr:to>
    <xdr:pic>
      <xdr:nvPicPr>
        <xdr:cNvPr id="710" name="Picture 709"/>
        <xdr:cNvPicPr>
          <a:picLocks noChangeAspect="1" noChangeArrowheads="1"/>
        </xdr:cNvPicPr>
      </xdr:nvPicPr>
      <xdr:blipFill>
        <a:blip xmlns:r="http://schemas.openxmlformats.org/officeDocument/2006/relationships" r:embed="rId709">
          <a:extLst>
            <a:ext uri="{28A0092B-C50C-407E-A947-70E740481C1C}">
              <a14:useLocalDpi xmlns:a14="http://schemas.microsoft.com/office/drawing/2010/main" val="0"/>
            </a:ext>
          </a:extLst>
        </a:blip>
        <a:srcRect/>
        <a:stretch>
          <a:fillRect/>
        </a:stretch>
      </xdr:blipFill>
      <xdr:spPr bwMode="auto">
        <a:xfrm>
          <a:off x="1228725" y="133428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711</xdr:row>
      <xdr:rowOff>19050</xdr:rowOff>
    </xdr:from>
    <xdr:to>
      <xdr:col>2</xdr:col>
      <xdr:colOff>1733550</xdr:colOff>
      <xdr:row>711</xdr:row>
      <xdr:rowOff>1666875</xdr:rowOff>
    </xdr:to>
    <xdr:pic>
      <xdr:nvPicPr>
        <xdr:cNvPr id="711" name="Picture 710"/>
        <xdr:cNvPicPr>
          <a:picLocks noChangeAspect="1" noChangeArrowheads="1"/>
        </xdr:cNvPicPr>
      </xdr:nvPicPr>
      <xdr:blipFill>
        <a:blip xmlns:r="http://schemas.openxmlformats.org/officeDocument/2006/relationships" r:embed="rId710">
          <a:extLst>
            <a:ext uri="{28A0092B-C50C-407E-A947-70E740481C1C}">
              <a14:useLocalDpi xmlns:a14="http://schemas.microsoft.com/office/drawing/2010/main" val="0"/>
            </a:ext>
          </a:extLst>
        </a:blip>
        <a:srcRect/>
        <a:stretch>
          <a:fillRect/>
        </a:stretch>
      </xdr:blipFill>
      <xdr:spPr bwMode="auto">
        <a:xfrm>
          <a:off x="1228725" y="133619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712</xdr:row>
      <xdr:rowOff>19050</xdr:rowOff>
    </xdr:from>
    <xdr:to>
      <xdr:col>2</xdr:col>
      <xdr:colOff>1733550</xdr:colOff>
      <xdr:row>712</xdr:row>
      <xdr:rowOff>1666875</xdr:rowOff>
    </xdr:to>
    <xdr:pic>
      <xdr:nvPicPr>
        <xdr:cNvPr id="712" name="Picture 711"/>
        <xdr:cNvPicPr>
          <a:picLocks noChangeAspect="1" noChangeArrowheads="1"/>
        </xdr:cNvPicPr>
      </xdr:nvPicPr>
      <xdr:blipFill>
        <a:blip xmlns:r="http://schemas.openxmlformats.org/officeDocument/2006/relationships" r:embed="rId711">
          <a:extLst>
            <a:ext uri="{28A0092B-C50C-407E-A947-70E740481C1C}">
              <a14:useLocalDpi xmlns:a14="http://schemas.microsoft.com/office/drawing/2010/main" val="0"/>
            </a:ext>
          </a:extLst>
        </a:blip>
        <a:srcRect/>
        <a:stretch>
          <a:fillRect/>
        </a:stretch>
      </xdr:blipFill>
      <xdr:spPr bwMode="auto">
        <a:xfrm>
          <a:off x="1228725" y="133811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713</xdr:row>
      <xdr:rowOff>19050</xdr:rowOff>
    </xdr:from>
    <xdr:to>
      <xdr:col>2</xdr:col>
      <xdr:colOff>1733550</xdr:colOff>
      <xdr:row>713</xdr:row>
      <xdr:rowOff>1666875</xdr:rowOff>
    </xdr:to>
    <xdr:pic>
      <xdr:nvPicPr>
        <xdr:cNvPr id="713" name="Picture 712"/>
        <xdr:cNvPicPr>
          <a:picLocks noChangeAspect="1" noChangeArrowheads="1"/>
        </xdr:cNvPicPr>
      </xdr:nvPicPr>
      <xdr:blipFill>
        <a:blip xmlns:r="http://schemas.openxmlformats.org/officeDocument/2006/relationships" r:embed="rId712">
          <a:extLst>
            <a:ext uri="{28A0092B-C50C-407E-A947-70E740481C1C}">
              <a14:useLocalDpi xmlns:a14="http://schemas.microsoft.com/office/drawing/2010/main" val="0"/>
            </a:ext>
          </a:extLst>
        </a:blip>
        <a:srcRect/>
        <a:stretch>
          <a:fillRect/>
        </a:stretch>
      </xdr:blipFill>
      <xdr:spPr bwMode="auto">
        <a:xfrm>
          <a:off x="1228725" y="134002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714</xdr:row>
      <xdr:rowOff>19050</xdr:rowOff>
    </xdr:from>
    <xdr:to>
      <xdr:col>2</xdr:col>
      <xdr:colOff>1733550</xdr:colOff>
      <xdr:row>714</xdr:row>
      <xdr:rowOff>1666875</xdr:rowOff>
    </xdr:to>
    <xdr:pic>
      <xdr:nvPicPr>
        <xdr:cNvPr id="714" name="Picture 713"/>
        <xdr:cNvPicPr>
          <a:picLocks noChangeAspect="1" noChangeArrowheads="1"/>
        </xdr:cNvPicPr>
      </xdr:nvPicPr>
      <xdr:blipFill>
        <a:blip xmlns:r="http://schemas.openxmlformats.org/officeDocument/2006/relationships" r:embed="rId713">
          <a:extLst>
            <a:ext uri="{28A0092B-C50C-407E-A947-70E740481C1C}">
              <a14:useLocalDpi xmlns:a14="http://schemas.microsoft.com/office/drawing/2010/main" val="0"/>
            </a:ext>
          </a:extLst>
        </a:blip>
        <a:srcRect/>
        <a:stretch>
          <a:fillRect/>
        </a:stretch>
      </xdr:blipFill>
      <xdr:spPr bwMode="auto">
        <a:xfrm>
          <a:off x="1228725" y="134193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715</xdr:row>
      <xdr:rowOff>19050</xdr:rowOff>
    </xdr:from>
    <xdr:to>
      <xdr:col>2</xdr:col>
      <xdr:colOff>1733550</xdr:colOff>
      <xdr:row>715</xdr:row>
      <xdr:rowOff>1666875</xdr:rowOff>
    </xdr:to>
    <xdr:pic>
      <xdr:nvPicPr>
        <xdr:cNvPr id="715" name="Picture 714"/>
        <xdr:cNvPicPr>
          <a:picLocks noChangeAspect="1" noChangeArrowheads="1"/>
        </xdr:cNvPicPr>
      </xdr:nvPicPr>
      <xdr:blipFill>
        <a:blip xmlns:r="http://schemas.openxmlformats.org/officeDocument/2006/relationships" r:embed="rId714">
          <a:extLst>
            <a:ext uri="{28A0092B-C50C-407E-A947-70E740481C1C}">
              <a14:useLocalDpi xmlns:a14="http://schemas.microsoft.com/office/drawing/2010/main" val="0"/>
            </a:ext>
          </a:extLst>
        </a:blip>
        <a:srcRect/>
        <a:stretch>
          <a:fillRect/>
        </a:stretch>
      </xdr:blipFill>
      <xdr:spPr bwMode="auto">
        <a:xfrm>
          <a:off x="1228725" y="134385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716</xdr:row>
      <xdr:rowOff>19050</xdr:rowOff>
    </xdr:from>
    <xdr:to>
      <xdr:col>2</xdr:col>
      <xdr:colOff>1733550</xdr:colOff>
      <xdr:row>716</xdr:row>
      <xdr:rowOff>1666875</xdr:rowOff>
    </xdr:to>
    <xdr:pic>
      <xdr:nvPicPr>
        <xdr:cNvPr id="716" name="Picture 715"/>
        <xdr:cNvPicPr>
          <a:picLocks noChangeAspect="1" noChangeArrowheads="1"/>
        </xdr:cNvPicPr>
      </xdr:nvPicPr>
      <xdr:blipFill>
        <a:blip xmlns:r="http://schemas.openxmlformats.org/officeDocument/2006/relationships" r:embed="rId715">
          <a:extLst>
            <a:ext uri="{28A0092B-C50C-407E-A947-70E740481C1C}">
              <a14:useLocalDpi xmlns:a14="http://schemas.microsoft.com/office/drawing/2010/main" val="0"/>
            </a:ext>
          </a:extLst>
        </a:blip>
        <a:srcRect/>
        <a:stretch>
          <a:fillRect/>
        </a:stretch>
      </xdr:blipFill>
      <xdr:spPr bwMode="auto">
        <a:xfrm>
          <a:off x="1228725" y="1345768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717</xdr:row>
      <xdr:rowOff>19050</xdr:rowOff>
    </xdr:from>
    <xdr:to>
      <xdr:col>2</xdr:col>
      <xdr:colOff>1733550</xdr:colOff>
      <xdr:row>717</xdr:row>
      <xdr:rowOff>1666875</xdr:rowOff>
    </xdr:to>
    <xdr:pic>
      <xdr:nvPicPr>
        <xdr:cNvPr id="717" name="Picture 716"/>
        <xdr:cNvPicPr>
          <a:picLocks noChangeAspect="1" noChangeArrowheads="1"/>
        </xdr:cNvPicPr>
      </xdr:nvPicPr>
      <xdr:blipFill>
        <a:blip xmlns:r="http://schemas.openxmlformats.org/officeDocument/2006/relationships" r:embed="rId716">
          <a:extLst>
            <a:ext uri="{28A0092B-C50C-407E-A947-70E740481C1C}">
              <a14:useLocalDpi xmlns:a14="http://schemas.microsoft.com/office/drawing/2010/main" val="0"/>
            </a:ext>
          </a:extLst>
        </a:blip>
        <a:srcRect/>
        <a:stretch>
          <a:fillRect/>
        </a:stretch>
      </xdr:blipFill>
      <xdr:spPr bwMode="auto">
        <a:xfrm>
          <a:off x="1228725" y="134768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718</xdr:row>
      <xdr:rowOff>9525</xdr:rowOff>
    </xdr:from>
    <xdr:to>
      <xdr:col>2</xdr:col>
      <xdr:colOff>1733550</xdr:colOff>
      <xdr:row>718</xdr:row>
      <xdr:rowOff>1524000</xdr:rowOff>
    </xdr:to>
    <xdr:pic>
      <xdr:nvPicPr>
        <xdr:cNvPr id="718" name="Picture 717"/>
        <xdr:cNvPicPr>
          <a:picLocks noChangeAspect="1" noChangeArrowheads="1"/>
        </xdr:cNvPicPr>
      </xdr:nvPicPr>
      <xdr:blipFill>
        <a:blip xmlns:r="http://schemas.openxmlformats.org/officeDocument/2006/relationships" r:embed="rId717">
          <a:extLst>
            <a:ext uri="{28A0092B-C50C-407E-A947-70E740481C1C}">
              <a14:useLocalDpi xmlns:a14="http://schemas.microsoft.com/office/drawing/2010/main" val="0"/>
            </a:ext>
          </a:extLst>
        </a:blip>
        <a:srcRect/>
        <a:stretch>
          <a:fillRect/>
        </a:stretch>
      </xdr:blipFill>
      <xdr:spPr bwMode="auto">
        <a:xfrm>
          <a:off x="1228725" y="13495877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719</xdr:row>
      <xdr:rowOff>19050</xdr:rowOff>
    </xdr:from>
    <xdr:to>
      <xdr:col>2</xdr:col>
      <xdr:colOff>1733550</xdr:colOff>
      <xdr:row>719</xdr:row>
      <xdr:rowOff>1666875</xdr:rowOff>
    </xdr:to>
    <xdr:pic>
      <xdr:nvPicPr>
        <xdr:cNvPr id="719" name="Picture 718"/>
        <xdr:cNvPicPr>
          <a:picLocks noChangeAspect="1" noChangeArrowheads="1"/>
        </xdr:cNvPicPr>
      </xdr:nvPicPr>
      <xdr:blipFill>
        <a:blip xmlns:r="http://schemas.openxmlformats.org/officeDocument/2006/relationships" r:embed="rId718">
          <a:extLst>
            <a:ext uri="{28A0092B-C50C-407E-A947-70E740481C1C}">
              <a14:useLocalDpi xmlns:a14="http://schemas.microsoft.com/office/drawing/2010/main" val="0"/>
            </a:ext>
          </a:extLst>
        </a:blip>
        <a:srcRect/>
        <a:stretch>
          <a:fillRect/>
        </a:stretch>
      </xdr:blipFill>
      <xdr:spPr bwMode="auto">
        <a:xfrm>
          <a:off x="1228725" y="1351349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720</xdr:row>
      <xdr:rowOff>19050</xdr:rowOff>
    </xdr:from>
    <xdr:to>
      <xdr:col>2</xdr:col>
      <xdr:colOff>1733550</xdr:colOff>
      <xdr:row>720</xdr:row>
      <xdr:rowOff>1666875</xdr:rowOff>
    </xdr:to>
    <xdr:pic>
      <xdr:nvPicPr>
        <xdr:cNvPr id="720" name="Picture 719"/>
        <xdr:cNvPicPr>
          <a:picLocks noChangeAspect="1" noChangeArrowheads="1"/>
        </xdr:cNvPicPr>
      </xdr:nvPicPr>
      <xdr:blipFill>
        <a:blip xmlns:r="http://schemas.openxmlformats.org/officeDocument/2006/relationships" r:embed="rId719">
          <a:extLst>
            <a:ext uri="{28A0092B-C50C-407E-A947-70E740481C1C}">
              <a14:useLocalDpi xmlns:a14="http://schemas.microsoft.com/office/drawing/2010/main" val="0"/>
            </a:ext>
          </a:extLst>
        </a:blip>
        <a:srcRect/>
        <a:stretch>
          <a:fillRect/>
        </a:stretch>
      </xdr:blipFill>
      <xdr:spPr bwMode="auto">
        <a:xfrm>
          <a:off x="1228725" y="1353264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721</xdr:row>
      <xdr:rowOff>19050</xdr:rowOff>
    </xdr:from>
    <xdr:to>
      <xdr:col>2</xdr:col>
      <xdr:colOff>1733550</xdr:colOff>
      <xdr:row>721</xdr:row>
      <xdr:rowOff>1666875</xdr:rowOff>
    </xdr:to>
    <xdr:pic>
      <xdr:nvPicPr>
        <xdr:cNvPr id="721" name="Picture 720"/>
        <xdr:cNvPicPr>
          <a:picLocks noChangeAspect="1" noChangeArrowheads="1"/>
        </xdr:cNvPicPr>
      </xdr:nvPicPr>
      <xdr:blipFill>
        <a:blip xmlns:r="http://schemas.openxmlformats.org/officeDocument/2006/relationships" r:embed="rId720">
          <a:extLst>
            <a:ext uri="{28A0092B-C50C-407E-A947-70E740481C1C}">
              <a14:useLocalDpi xmlns:a14="http://schemas.microsoft.com/office/drawing/2010/main" val="0"/>
            </a:ext>
          </a:extLst>
        </a:blip>
        <a:srcRect/>
        <a:stretch>
          <a:fillRect/>
        </a:stretch>
      </xdr:blipFill>
      <xdr:spPr bwMode="auto">
        <a:xfrm>
          <a:off x="1228725" y="1355178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722</xdr:row>
      <xdr:rowOff>19050</xdr:rowOff>
    </xdr:from>
    <xdr:to>
      <xdr:col>2</xdr:col>
      <xdr:colOff>1733550</xdr:colOff>
      <xdr:row>722</xdr:row>
      <xdr:rowOff>1666875</xdr:rowOff>
    </xdr:to>
    <xdr:pic>
      <xdr:nvPicPr>
        <xdr:cNvPr id="722" name="Picture 721"/>
        <xdr:cNvPicPr>
          <a:picLocks noChangeAspect="1" noChangeArrowheads="1"/>
        </xdr:cNvPicPr>
      </xdr:nvPicPr>
      <xdr:blipFill>
        <a:blip xmlns:r="http://schemas.openxmlformats.org/officeDocument/2006/relationships" r:embed="rId721">
          <a:extLst>
            <a:ext uri="{28A0092B-C50C-407E-A947-70E740481C1C}">
              <a14:useLocalDpi xmlns:a14="http://schemas.microsoft.com/office/drawing/2010/main" val="0"/>
            </a:ext>
          </a:extLst>
        </a:blip>
        <a:srcRect/>
        <a:stretch>
          <a:fillRect/>
        </a:stretch>
      </xdr:blipFill>
      <xdr:spPr bwMode="auto">
        <a:xfrm>
          <a:off x="1228725" y="1357093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723</xdr:row>
      <xdr:rowOff>9525</xdr:rowOff>
    </xdr:from>
    <xdr:to>
      <xdr:col>2</xdr:col>
      <xdr:colOff>1733550</xdr:colOff>
      <xdr:row>723</xdr:row>
      <xdr:rowOff>1524000</xdr:rowOff>
    </xdr:to>
    <xdr:pic>
      <xdr:nvPicPr>
        <xdr:cNvPr id="723" name="Picture 722"/>
        <xdr:cNvPicPr>
          <a:picLocks noChangeAspect="1" noChangeArrowheads="1"/>
        </xdr:cNvPicPr>
      </xdr:nvPicPr>
      <xdr:blipFill>
        <a:blip xmlns:r="http://schemas.openxmlformats.org/officeDocument/2006/relationships" r:embed="rId722">
          <a:extLst>
            <a:ext uri="{28A0092B-C50C-407E-A947-70E740481C1C}">
              <a14:useLocalDpi xmlns:a14="http://schemas.microsoft.com/office/drawing/2010/main" val="0"/>
            </a:ext>
          </a:extLst>
        </a:blip>
        <a:srcRect/>
        <a:stretch>
          <a:fillRect/>
        </a:stretch>
      </xdr:blipFill>
      <xdr:spPr bwMode="auto">
        <a:xfrm>
          <a:off x="1228725" y="1358998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724</xdr:row>
      <xdr:rowOff>19050</xdr:rowOff>
    </xdr:from>
    <xdr:to>
      <xdr:col>2</xdr:col>
      <xdr:colOff>1733550</xdr:colOff>
      <xdr:row>724</xdr:row>
      <xdr:rowOff>1666875</xdr:rowOff>
    </xdr:to>
    <xdr:pic>
      <xdr:nvPicPr>
        <xdr:cNvPr id="724" name="Picture 723"/>
        <xdr:cNvPicPr>
          <a:picLocks noChangeAspect="1" noChangeArrowheads="1"/>
        </xdr:cNvPicPr>
      </xdr:nvPicPr>
      <xdr:blipFill>
        <a:blip xmlns:r="http://schemas.openxmlformats.org/officeDocument/2006/relationships" r:embed="rId723">
          <a:extLst>
            <a:ext uri="{28A0092B-C50C-407E-A947-70E740481C1C}">
              <a14:useLocalDpi xmlns:a14="http://schemas.microsoft.com/office/drawing/2010/main" val="0"/>
            </a:ext>
          </a:extLst>
        </a:blip>
        <a:srcRect/>
        <a:stretch>
          <a:fillRect/>
        </a:stretch>
      </xdr:blipFill>
      <xdr:spPr bwMode="auto">
        <a:xfrm>
          <a:off x="1228725" y="136076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725</xdr:row>
      <xdr:rowOff>19050</xdr:rowOff>
    </xdr:from>
    <xdr:to>
      <xdr:col>2</xdr:col>
      <xdr:colOff>1733550</xdr:colOff>
      <xdr:row>725</xdr:row>
      <xdr:rowOff>1666875</xdr:rowOff>
    </xdr:to>
    <xdr:pic>
      <xdr:nvPicPr>
        <xdr:cNvPr id="725" name="Picture 724"/>
        <xdr:cNvPicPr>
          <a:picLocks noChangeAspect="1" noChangeArrowheads="1"/>
        </xdr:cNvPicPr>
      </xdr:nvPicPr>
      <xdr:blipFill>
        <a:blip xmlns:r="http://schemas.openxmlformats.org/officeDocument/2006/relationships" r:embed="rId724">
          <a:extLst>
            <a:ext uri="{28A0092B-C50C-407E-A947-70E740481C1C}">
              <a14:useLocalDpi xmlns:a14="http://schemas.microsoft.com/office/drawing/2010/main" val="0"/>
            </a:ext>
          </a:extLst>
        </a:blip>
        <a:srcRect/>
        <a:stretch>
          <a:fillRect/>
        </a:stretch>
      </xdr:blipFill>
      <xdr:spPr bwMode="auto">
        <a:xfrm>
          <a:off x="1228725" y="136267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726</xdr:row>
      <xdr:rowOff>19050</xdr:rowOff>
    </xdr:from>
    <xdr:to>
      <xdr:col>2</xdr:col>
      <xdr:colOff>1733550</xdr:colOff>
      <xdr:row>726</xdr:row>
      <xdr:rowOff>1666875</xdr:rowOff>
    </xdr:to>
    <xdr:pic>
      <xdr:nvPicPr>
        <xdr:cNvPr id="726" name="Picture 725"/>
        <xdr:cNvPicPr>
          <a:picLocks noChangeAspect="1" noChangeArrowheads="1"/>
        </xdr:cNvPicPr>
      </xdr:nvPicPr>
      <xdr:blipFill>
        <a:blip xmlns:r="http://schemas.openxmlformats.org/officeDocument/2006/relationships" r:embed="rId725">
          <a:extLst>
            <a:ext uri="{28A0092B-C50C-407E-A947-70E740481C1C}">
              <a14:useLocalDpi xmlns:a14="http://schemas.microsoft.com/office/drawing/2010/main" val="0"/>
            </a:ext>
          </a:extLst>
        </a:blip>
        <a:srcRect/>
        <a:stretch>
          <a:fillRect/>
        </a:stretch>
      </xdr:blipFill>
      <xdr:spPr bwMode="auto">
        <a:xfrm>
          <a:off x="1228725" y="136458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727</xdr:row>
      <xdr:rowOff>19050</xdr:rowOff>
    </xdr:from>
    <xdr:to>
      <xdr:col>2</xdr:col>
      <xdr:colOff>1733550</xdr:colOff>
      <xdr:row>727</xdr:row>
      <xdr:rowOff>1666875</xdr:rowOff>
    </xdr:to>
    <xdr:pic>
      <xdr:nvPicPr>
        <xdr:cNvPr id="727" name="Picture 726"/>
        <xdr:cNvPicPr>
          <a:picLocks noChangeAspect="1" noChangeArrowheads="1"/>
        </xdr:cNvPicPr>
      </xdr:nvPicPr>
      <xdr:blipFill>
        <a:blip xmlns:r="http://schemas.openxmlformats.org/officeDocument/2006/relationships" r:embed="rId726">
          <a:extLst>
            <a:ext uri="{28A0092B-C50C-407E-A947-70E740481C1C}">
              <a14:useLocalDpi xmlns:a14="http://schemas.microsoft.com/office/drawing/2010/main" val="0"/>
            </a:ext>
          </a:extLst>
        </a:blip>
        <a:srcRect/>
        <a:stretch>
          <a:fillRect/>
        </a:stretch>
      </xdr:blipFill>
      <xdr:spPr bwMode="auto">
        <a:xfrm>
          <a:off x="1228725" y="136650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728</xdr:row>
      <xdr:rowOff>19050</xdr:rowOff>
    </xdr:from>
    <xdr:to>
      <xdr:col>2</xdr:col>
      <xdr:colOff>1733550</xdr:colOff>
      <xdr:row>728</xdr:row>
      <xdr:rowOff>1666875</xdr:rowOff>
    </xdr:to>
    <xdr:pic>
      <xdr:nvPicPr>
        <xdr:cNvPr id="728" name="Picture 727"/>
        <xdr:cNvPicPr>
          <a:picLocks noChangeAspect="1" noChangeArrowheads="1"/>
        </xdr:cNvPicPr>
      </xdr:nvPicPr>
      <xdr:blipFill>
        <a:blip xmlns:r="http://schemas.openxmlformats.org/officeDocument/2006/relationships" r:embed="rId727">
          <a:extLst>
            <a:ext uri="{28A0092B-C50C-407E-A947-70E740481C1C}">
              <a14:useLocalDpi xmlns:a14="http://schemas.microsoft.com/office/drawing/2010/main" val="0"/>
            </a:ext>
          </a:extLst>
        </a:blip>
        <a:srcRect/>
        <a:stretch>
          <a:fillRect/>
        </a:stretch>
      </xdr:blipFill>
      <xdr:spPr bwMode="auto">
        <a:xfrm>
          <a:off x="1228725" y="136841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729</xdr:row>
      <xdr:rowOff>19050</xdr:rowOff>
    </xdr:from>
    <xdr:to>
      <xdr:col>2</xdr:col>
      <xdr:colOff>1733550</xdr:colOff>
      <xdr:row>729</xdr:row>
      <xdr:rowOff>1666875</xdr:rowOff>
    </xdr:to>
    <xdr:pic>
      <xdr:nvPicPr>
        <xdr:cNvPr id="729" name="Picture 728"/>
        <xdr:cNvPicPr>
          <a:picLocks noChangeAspect="1" noChangeArrowheads="1"/>
        </xdr:cNvPicPr>
      </xdr:nvPicPr>
      <xdr:blipFill>
        <a:blip xmlns:r="http://schemas.openxmlformats.org/officeDocument/2006/relationships" r:embed="rId728">
          <a:extLst>
            <a:ext uri="{28A0092B-C50C-407E-A947-70E740481C1C}">
              <a14:useLocalDpi xmlns:a14="http://schemas.microsoft.com/office/drawing/2010/main" val="0"/>
            </a:ext>
          </a:extLst>
        </a:blip>
        <a:srcRect/>
        <a:stretch>
          <a:fillRect/>
        </a:stretch>
      </xdr:blipFill>
      <xdr:spPr bwMode="auto">
        <a:xfrm>
          <a:off x="1228725" y="137033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730</xdr:row>
      <xdr:rowOff>19050</xdr:rowOff>
    </xdr:from>
    <xdr:to>
      <xdr:col>2</xdr:col>
      <xdr:colOff>1733550</xdr:colOff>
      <xdr:row>730</xdr:row>
      <xdr:rowOff>1666875</xdr:rowOff>
    </xdr:to>
    <xdr:pic>
      <xdr:nvPicPr>
        <xdr:cNvPr id="730" name="Picture 729"/>
        <xdr:cNvPicPr>
          <a:picLocks noChangeAspect="1" noChangeArrowheads="1"/>
        </xdr:cNvPicPr>
      </xdr:nvPicPr>
      <xdr:blipFill>
        <a:blip xmlns:r="http://schemas.openxmlformats.org/officeDocument/2006/relationships" r:embed="rId729">
          <a:extLst>
            <a:ext uri="{28A0092B-C50C-407E-A947-70E740481C1C}">
              <a14:useLocalDpi xmlns:a14="http://schemas.microsoft.com/office/drawing/2010/main" val="0"/>
            </a:ext>
          </a:extLst>
        </a:blip>
        <a:srcRect/>
        <a:stretch>
          <a:fillRect/>
        </a:stretch>
      </xdr:blipFill>
      <xdr:spPr bwMode="auto">
        <a:xfrm>
          <a:off x="1228725" y="137224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731</xdr:row>
      <xdr:rowOff>19050</xdr:rowOff>
    </xdr:from>
    <xdr:to>
      <xdr:col>2</xdr:col>
      <xdr:colOff>1733550</xdr:colOff>
      <xdr:row>731</xdr:row>
      <xdr:rowOff>1666875</xdr:rowOff>
    </xdr:to>
    <xdr:pic>
      <xdr:nvPicPr>
        <xdr:cNvPr id="731" name="Picture 730"/>
        <xdr:cNvPicPr>
          <a:picLocks noChangeAspect="1" noChangeArrowheads="1"/>
        </xdr:cNvPicPr>
      </xdr:nvPicPr>
      <xdr:blipFill>
        <a:blip xmlns:r="http://schemas.openxmlformats.org/officeDocument/2006/relationships" r:embed="rId730">
          <a:extLst>
            <a:ext uri="{28A0092B-C50C-407E-A947-70E740481C1C}">
              <a14:useLocalDpi xmlns:a14="http://schemas.microsoft.com/office/drawing/2010/main" val="0"/>
            </a:ext>
          </a:extLst>
        </a:blip>
        <a:srcRect/>
        <a:stretch>
          <a:fillRect/>
        </a:stretch>
      </xdr:blipFill>
      <xdr:spPr bwMode="auto">
        <a:xfrm>
          <a:off x="1228725" y="137416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732</xdr:row>
      <xdr:rowOff>19050</xdr:rowOff>
    </xdr:from>
    <xdr:to>
      <xdr:col>2</xdr:col>
      <xdr:colOff>1733550</xdr:colOff>
      <xdr:row>732</xdr:row>
      <xdr:rowOff>1666875</xdr:rowOff>
    </xdr:to>
    <xdr:pic>
      <xdr:nvPicPr>
        <xdr:cNvPr id="732" name="Picture 731"/>
        <xdr:cNvPicPr>
          <a:picLocks noChangeAspect="1" noChangeArrowheads="1"/>
        </xdr:cNvPicPr>
      </xdr:nvPicPr>
      <xdr:blipFill>
        <a:blip xmlns:r="http://schemas.openxmlformats.org/officeDocument/2006/relationships" r:embed="rId731">
          <a:extLst>
            <a:ext uri="{28A0092B-C50C-407E-A947-70E740481C1C}">
              <a14:useLocalDpi xmlns:a14="http://schemas.microsoft.com/office/drawing/2010/main" val="0"/>
            </a:ext>
          </a:extLst>
        </a:blip>
        <a:srcRect/>
        <a:stretch>
          <a:fillRect/>
        </a:stretch>
      </xdr:blipFill>
      <xdr:spPr bwMode="auto">
        <a:xfrm>
          <a:off x="1228725" y="137607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733</xdr:row>
      <xdr:rowOff>19050</xdr:rowOff>
    </xdr:from>
    <xdr:to>
      <xdr:col>2</xdr:col>
      <xdr:colOff>1733550</xdr:colOff>
      <xdr:row>733</xdr:row>
      <xdr:rowOff>1666875</xdr:rowOff>
    </xdr:to>
    <xdr:pic>
      <xdr:nvPicPr>
        <xdr:cNvPr id="733" name="Picture 732"/>
        <xdr:cNvPicPr>
          <a:picLocks noChangeAspect="1" noChangeArrowheads="1"/>
        </xdr:cNvPicPr>
      </xdr:nvPicPr>
      <xdr:blipFill>
        <a:blip xmlns:r="http://schemas.openxmlformats.org/officeDocument/2006/relationships" r:embed="rId732">
          <a:extLst>
            <a:ext uri="{28A0092B-C50C-407E-A947-70E740481C1C}">
              <a14:useLocalDpi xmlns:a14="http://schemas.microsoft.com/office/drawing/2010/main" val="0"/>
            </a:ext>
          </a:extLst>
        </a:blip>
        <a:srcRect/>
        <a:stretch>
          <a:fillRect/>
        </a:stretch>
      </xdr:blipFill>
      <xdr:spPr bwMode="auto">
        <a:xfrm>
          <a:off x="1228725" y="137799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734</xdr:row>
      <xdr:rowOff>19050</xdr:rowOff>
    </xdr:from>
    <xdr:to>
      <xdr:col>2</xdr:col>
      <xdr:colOff>1733550</xdr:colOff>
      <xdr:row>734</xdr:row>
      <xdr:rowOff>1666875</xdr:rowOff>
    </xdr:to>
    <xdr:pic>
      <xdr:nvPicPr>
        <xdr:cNvPr id="734" name="Picture 733"/>
        <xdr:cNvPicPr>
          <a:picLocks noChangeAspect="1" noChangeArrowheads="1"/>
        </xdr:cNvPicPr>
      </xdr:nvPicPr>
      <xdr:blipFill>
        <a:blip xmlns:r="http://schemas.openxmlformats.org/officeDocument/2006/relationships" r:embed="rId733">
          <a:extLst>
            <a:ext uri="{28A0092B-C50C-407E-A947-70E740481C1C}">
              <a14:useLocalDpi xmlns:a14="http://schemas.microsoft.com/office/drawing/2010/main" val="0"/>
            </a:ext>
          </a:extLst>
        </a:blip>
        <a:srcRect/>
        <a:stretch>
          <a:fillRect/>
        </a:stretch>
      </xdr:blipFill>
      <xdr:spPr bwMode="auto">
        <a:xfrm>
          <a:off x="1228725" y="137990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735</xdr:row>
      <xdr:rowOff>19050</xdr:rowOff>
    </xdr:from>
    <xdr:to>
      <xdr:col>2</xdr:col>
      <xdr:colOff>1733550</xdr:colOff>
      <xdr:row>735</xdr:row>
      <xdr:rowOff>1666875</xdr:rowOff>
    </xdr:to>
    <xdr:pic>
      <xdr:nvPicPr>
        <xdr:cNvPr id="735" name="Picture 734"/>
        <xdr:cNvPicPr>
          <a:picLocks noChangeAspect="1" noChangeArrowheads="1"/>
        </xdr:cNvPicPr>
      </xdr:nvPicPr>
      <xdr:blipFill>
        <a:blip xmlns:r="http://schemas.openxmlformats.org/officeDocument/2006/relationships" r:embed="rId734">
          <a:extLst>
            <a:ext uri="{28A0092B-C50C-407E-A947-70E740481C1C}">
              <a14:useLocalDpi xmlns:a14="http://schemas.microsoft.com/office/drawing/2010/main" val="0"/>
            </a:ext>
          </a:extLst>
        </a:blip>
        <a:srcRect/>
        <a:stretch>
          <a:fillRect/>
        </a:stretch>
      </xdr:blipFill>
      <xdr:spPr bwMode="auto">
        <a:xfrm>
          <a:off x="1228725" y="138182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736</xdr:row>
      <xdr:rowOff>19050</xdr:rowOff>
    </xdr:from>
    <xdr:to>
      <xdr:col>2</xdr:col>
      <xdr:colOff>1733550</xdr:colOff>
      <xdr:row>736</xdr:row>
      <xdr:rowOff>1666875</xdr:rowOff>
    </xdr:to>
    <xdr:pic>
      <xdr:nvPicPr>
        <xdr:cNvPr id="736" name="Picture 735"/>
        <xdr:cNvPicPr>
          <a:picLocks noChangeAspect="1" noChangeArrowheads="1"/>
        </xdr:cNvPicPr>
      </xdr:nvPicPr>
      <xdr:blipFill>
        <a:blip xmlns:r="http://schemas.openxmlformats.org/officeDocument/2006/relationships" r:embed="rId735">
          <a:extLst>
            <a:ext uri="{28A0092B-C50C-407E-A947-70E740481C1C}">
              <a14:useLocalDpi xmlns:a14="http://schemas.microsoft.com/office/drawing/2010/main" val="0"/>
            </a:ext>
          </a:extLst>
        </a:blip>
        <a:srcRect/>
        <a:stretch>
          <a:fillRect/>
        </a:stretch>
      </xdr:blipFill>
      <xdr:spPr bwMode="auto">
        <a:xfrm>
          <a:off x="1228725" y="138373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737</xdr:row>
      <xdr:rowOff>19050</xdr:rowOff>
    </xdr:from>
    <xdr:to>
      <xdr:col>2</xdr:col>
      <xdr:colOff>1733550</xdr:colOff>
      <xdr:row>737</xdr:row>
      <xdr:rowOff>1666875</xdr:rowOff>
    </xdr:to>
    <xdr:pic>
      <xdr:nvPicPr>
        <xdr:cNvPr id="737" name="Picture 736"/>
        <xdr:cNvPicPr>
          <a:picLocks noChangeAspect="1" noChangeArrowheads="1"/>
        </xdr:cNvPicPr>
      </xdr:nvPicPr>
      <xdr:blipFill>
        <a:blip xmlns:r="http://schemas.openxmlformats.org/officeDocument/2006/relationships" r:embed="rId736">
          <a:extLst>
            <a:ext uri="{28A0092B-C50C-407E-A947-70E740481C1C}">
              <a14:useLocalDpi xmlns:a14="http://schemas.microsoft.com/office/drawing/2010/main" val="0"/>
            </a:ext>
          </a:extLst>
        </a:blip>
        <a:srcRect/>
        <a:stretch>
          <a:fillRect/>
        </a:stretch>
      </xdr:blipFill>
      <xdr:spPr bwMode="auto">
        <a:xfrm>
          <a:off x="1228725" y="138564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738</xdr:row>
      <xdr:rowOff>19050</xdr:rowOff>
    </xdr:from>
    <xdr:to>
      <xdr:col>2</xdr:col>
      <xdr:colOff>1733550</xdr:colOff>
      <xdr:row>738</xdr:row>
      <xdr:rowOff>1666875</xdr:rowOff>
    </xdr:to>
    <xdr:pic>
      <xdr:nvPicPr>
        <xdr:cNvPr id="738" name="Picture 737"/>
        <xdr:cNvPicPr>
          <a:picLocks noChangeAspect="1" noChangeArrowheads="1"/>
        </xdr:cNvPicPr>
      </xdr:nvPicPr>
      <xdr:blipFill>
        <a:blip xmlns:r="http://schemas.openxmlformats.org/officeDocument/2006/relationships" r:embed="rId737">
          <a:extLst>
            <a:ext uri="{28A0092B-C50C-407E-A947-70E740481C1C}">
              <a14:useLocalDpi xmlns:a14="http://schemas.microsoft.com/office/drawing/2010/main" val="0"/>
            </a:ext>
          </a:extLst>
        </a:blip>
        <a:srcRect/>
        <a:stretch>
          <a:fillRect/>
        </a:stretch>
      </xdr:blipFill>
      <xdr:spPr bwMode="auto">
        <a:xfrm>
          <a:off x="1228725" y="138756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739</xdr:row>
      <xdr:rowOff>19050</xdr:rowOff>
    </xdr:from>
    <xdr:to>
      <xdr:col>2</xdr:col>
      <xdr:colOff>1733550</xdr:colOff>
      <xdr:row>739</xdr:row>
      <xdr:rowOff>1666875</xdr:rowOff>
    </xdr:to>
    <xdr:pic>
      <xdr:nvPicPr>
        <xdr:cNvPr id="739" name="Picture 738"/>
        <xdr:cNvPicPr>
          <a:picLocks noChangeAspect="1" noChangeArrowheads="1"/>
        </xdr:cNvPicPr>
      </xdr:nvPicPr>
      <xdr:blipFill>
        <a:blip xmlns:r="http://schemas.openxmlformats.org/officeDocument/2006/relationships" r:embed="rId738">
          <a:extLst>
            <a:ext uri="{28A0092B-C50C-407E-A947-70E740481C1C}">
              <a14:useLocalDpi xmlns:a14="http://schemas.microsoft.com/office/drawing/2010/main" val="0"/>
            </a:ext>
          </a:extLst>
        </a:blip>
        <a:srcRect/>
        <a:stretch>
          <a:fillRect/>
        </a:stretch>
      </xdr:blipFill>
      <xdr:spPr bwMode="auto">
        <a:xfrm>
          <a:off x="1228725" y="138947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740</xdr:row>
      <xdr:rowOff>19050</xdr:rowOff>
    </xdr:from>
    <xdr:to>
      <xdr:col>2</xdr:col>
      <xdr:colOff>1733550</xdr:colOff>
      <xdr:row>740</xdr:row>
      <xdr:rowOff>1666875</xdr:rowOff>
    </xdr:to>
    <xdr:pic>
      <xdr:nvPicPr>
        <xdr:cNvPr id="740" name="Picture 739"/>
        <xdr:cNvPicPr>
          <a:picLocks noChangeAspect="1" noChangeArrowheads="1"/>
        </xdr:cNvPicPr>
      </xdr:nvPicPr>
      <xdr:blipFill>
        <a:blip xmlns:r="http://schemas.openxmlformats.org/officeDocument/2006/relationships" r:embed="rId739">
          <a:extLst>
            <a:ext uri="{28A0092B-C50C-407E-A947-70E740481C1C}">
              <a14:useLocalDpi xmlns:a14="http://schemas.microsoft.com/office/drawing/2010/main" val="0"/>
            </a:ext>
          </a:extLst>
        </a:blip>
        <a:srcRect/>
        <a:stretch>
          <a:fillRect/>
        </a:stretch>
      </xdr:blipFill>
      <xdr:spPr bwMode="auto">
        <a:xfrm>
          <a:off x="1228725" y="139139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741</xdr:row>
      <xdr:rowOff>19050</xdr:rowOff>
    </xdr:from>
    <xdr:to>
      <xdr:col>2</xdr:col>
      <xdr:colOff>1733550</xdr:colOff>
      <xdr:row>741</xdr:row>
      <xdr:rowOff>1666875</xdr:rowOff>
    </xdr:to>
    <xdr:pic>
      <xdr:nvPicPr>
        <xdr:cNvPr id="741" name="Picture 740"/>
        <xdr:cNvPicPr>
          <a:picLocks noChangeAspect="1" noChangeArrowheads="1"/>
        </xdr:cNvPicPr>
      </xdr:nvPicPr>
      <xdr:blipFill>
        <a:blip xmlns:r="http://schemas.openxmlformats.org/officeDocument/2006/relationships" r:embed="rId740">
          <a:extLst>
            <a:ext uri="{28A0092B-C50C-407E-A947-70E740481C1C}">
              <a14:useLocalDpi xmlns:a14="http://schemas.microsoft.com/office/drawing/2010/main" val="0"/>
            </a:ext>
          </a:extLst>
        </a:blip>
        <a:srcRect/>
        <a:stretch>
          <a:fillRect/>
        </a:stretch>
      </xdr:blipFill>
      <xdr:spPr bwMode="auto">
        <a:xfrm>
          <a:off x="1228725" y="139330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742</xdr:row>
      <xdr:rowOff>19050</xdr:rowOff>
    </xdr:from>
    <xdr:to>
      <xdr:col>2</xdr:col>
      <xdr:colOff>1733550</xdr:colOff>
      <xdr:row>742</xdr:row>
      <xdr:rowOff>1666875</xdr:rowOff>
    </xdr:to>
    <xdr:pic>
      <xdr:nvPicPr>
        <xdr:cNvPr id="742" name="Picture 741"/>
        <xdr:cNvPicPr>
          <a:picLocks noChangeAspect="1" noChangeArrowheads="1"/>
        </xdr:cNvPicPr>
      </xdr:nvPicPr>
      <xdr:blipFill>
        <a:blip xmlns:r="http://schemas.openxmlformats.org/officeDocument/2006/relationships" r:embed="rId741">
          <a:extLst>
            <a:ext uri="{28A0092B-C50C-407E-A947-70E740481C1C}">
              <a14:useLocalDpi xmlns:a14="http://schemas.microsoft.com/office/drawing/2010/main" val="0"/>
            </a:ext>
          </a:extLst>
        </a:blip>
        <a:srcRect/>
        <a:stretch>
          <a:fillRect/>
        </a:stretch>
      </xdr:blipFill>
      <xdr:spPr bwMode="auto">
        <a:xfrm>
          <a:off x="1228725" y="139522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743</xdr:row>
      <xdr:rowOff>19050</xdr:rowOff>
    </xdr:from>
    <xdr:to>
      <xdr:col>2</xdr:col>
      <xdr:colOff>1733550</xdr:colOff>
      <xdr:row>743</xdr:row>
      <xdr:rowOff>1666875</xdr:rowOff>
    </xdr:to>
    <xdr:pic>
      <xdr:nvPicPr>
        <xdr:cNvPr id="743" name="Picture 742"/>
        <xdr:cNvPicPr>
          <a:picLocks noChangeAspect="1" noChangeArrowheads="1"/>
        </xdr:cNvPicPr>
      </xdr:nvPicPr>
      <xdr:blipFill>
        <a:blip xmlns:r="http://schemas.openxmlformats.org/officeDocument/2006/relationships" r:embed="rId742">
          <a:extLst>
            <a:ext uri="{28A0092B-C50C-407E-A947-70E740481C1C}">
              <a14:useLocalDpi xmlns:a14="http://schemas.microsoft.com/office/drawing/2010/main" val="0"/>
            </a:ext>
          </a:extLst>
        </a:blip>
        <a:srcRect/>
        <a:stretch>
          <a:fillRect/>
        </a:stretch>
      </xdr:blipFill>
      <xdr:spPr bwMode="auto">
        <a:xfrm>
          <a:off x="1228725" y="139713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744</xdr:row>
      <xdr:rowOff>19050</xdr:rowOff>
    </xdr:from>
    <xdr:to>
      <xdr:col>2</xdr:col>
      <xdr:colOff>1733550</xdr:colOff>
      <xdr:row>744</xdr:row>
      <xdr:rowOff>1666875</xdr:rowOff>
    </xdr:to>
    <xdr:pic>
      <xdr:nvPicPr>
        <xdr:cNvPr id="744" name="Picture 743"/>
        <xdr:cNvPicPr>
          <a:picLocks noChangeAspect="1" noChangeArrowheads="1"/>
        </xdr:cNvPicPr>
      </xdr:nvPicPr>
      <xdr:blipFill>
        <a:blip xmlns:r="http://schemas.openxmlformats.org/officeDocument/2006/relationships" r:embed="rId743">
          <a:extLst>
            <a:ext uri="{28A0092B-C50C-407E-A947-70E740481C1C}">
              <a14:useLocalDpi xmlns:a14="http://schemas.microsoft.com/office/drawing/2010/main" val="0"/>
            </a:ext>
          </a:extLst>
        </a:blip>
        <a:srcRect/>
        <a:stretch>
          <a:fillRect/>
        </a:stretch>
      </xdr:blipFill>
      <xdr:spPr bwMode="auto">
        <a:xfrm>
          <a:off x="1228725" y="139905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745</xdr:row>
      <xdr:rowOff>19050</xdr:rowOff>
    </xdr:from>
    <xdr:to>
      <xdr:col>2</xdr:col>
      <xdr:colOff>1733550</xdr:colOff>
      <xdr:row>745</xdr:row>
      <xdr:rowOff>1666875</xdr:rowOff>
    </xdr:to>
    <xdr:pic>
      <xdr:nvPicPr>
        <xdr:cNvPr id="745" name="Picture 744"/>
        <xdr:cNvPicPr>
          <a:picLocks noChangeAspect="1" noChangeArrowheads="1"/>
        </xdr:cNvPicPr>
      </xdr:nvPicPr>
      <xdr:blipFill>
        <a:blip xmlns:r="http://schemas.openxmlformats.org/officeDocument/2006/relationships" r:embed="rId744">
          <a:extLst>
            <a:ext uri="{28A0092B-C50C-407E-A947-70E740481C1C}">
              <a14:useLocalDpi xmlns:a14="http://schemas.microsoft.com/office/drawing/2010/main" val="0"/>
            </a:ext>
          </a:extLst>
        </a:blip>
        <a:srcRect/>
        <a:stretch>
          <a:fillRect/>
        </a:stretch>
      </xdr:blipFill>
      <xdr:spPr bwMode="auto">
        <a:xfrm>
          <a:off x="1228725" y="140096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746</xdr:row>
      <xdr:rowOff>9525</xdr:rowOff>
    </xdr:from>
    <xdr:to>
      <xdr:col>2</xdr:col>
      <xdr:colOff>1733550</xdr:colOff>
      <xdr:row>746</xdr:row>
      <xdr:rowOff>1524000</xdr:rowOff>
    </xdr:to>
    <xdr:pic>
      <xdr:nvPicPr>
        <xdr:cNvPr id="746" name="Picture 745"/>
        <xdr:cNvPicPr>
          <a:picLocks noChangeAspect="1" noChangeArrowheads="1"/>
        </xdr:cNvPicPr>
      </xdr:nvPicPr>
      <xdr:blipFill>
        <a:blip xmlns:r="http://schemas.openxmlformats.org/officeDocument/2006/relationships" r:embed="rId745">
          <a:extLst>
            <a:ext uri="{28A0092B-C50C-407E-A947-70E740481C1C}">
              <a14:useLocalDpi xmlns:a14="http://schemas.microsoft.com/office/drawing/2010/main" val="0"/>
            </a:ext>
          </a:extLst>
        </a:blip>
        <a:srcRect/>
        <a:stretch>
          <a:fillRect/>
        </a:stretch>
      </xdr:blipFill>
      <xdr:spPr bwMode="auto">
        <a:xfrm>
          <a:off x="1228725" y="1402870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747</xdr:row>
      <xdr:rowOff>19050</xdr:rowOff>
    </xdr:from>
    <xdr:to>
      <xdr:col>2</xdr:col>
      <xdr:colOff>1733550</xdr:colOff>
      <xdr:row>747</xdr:row>
      <xdr:rowOff>1666875</xdr:rowOff>
    </xdr:to>
    <xdr:pic>
      <xdr:nvPicPr>
        <xdr:cNvPr id="747" name="Picture 746"/>
        <xdr:cNvPicPr>
          <a:picLocks noChangeAspect="1" noChangeArrowheads="1"/>
        </xdr:cNvPicPr>
      </xdr:nvPicPr>
      <xdr:blipFill>
        <a:blip xmlns:r="http://schemas.openxmlformats.org/officeDocument/2006/relationships" r:embed="rId746">
          <a:extLst>
            <a:ext uri="{28A0092B-C50C-407E-A947-70E740481C1C}">
              <a14:useLocalDpi xmlns:a14="http://schemas.microsoft.com/office/drawing/2010/main" val="0"/>
            </a:ext>
          </a:extLst>
        </a:blip>
        <a:srcRect/>
        <a:stretch>
          <a:fillRect/>
        </a:stretch>
      </xdr:blipFill>
      <xdr:spPr bwMode="auto">
        <a:xfrm>
          <a:off x="1228725" y="1404632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748</xdr:row>
      <xdr:rowOff>19050</xdr:rowOff>
    </xdr:from>
    <xdr:to>
      <xdr:col>2</xdr:col>
      <xdr:colOff>1733550</xdr:colOff>
      <xdr:row>748</xdr:row>
      <xdr:rowOff>1666875</xdr:rowOff>
    </xdr:to>
    <xdr:pic>
      <xdr:nvPicPr>
        <xdr:cNvPr id="748" name="Picture 747"/>
        <xdr:cNvPicPr>
          <a:picLocks noChangeAspect="1" noChangeArrowheads="1"/>
        </xdr:cNvPicPr>
      </xdr:nvPicPr>
      <xdr:blipFill>
        <a:blip xmlns:r="http://schemas.openxmlformats.org/officeDocument/2006/relationships" r:embed="rId747">
          <a:extLst>
            <a:ext uri="{28A0092B-C50C-407E-A947-70E740481C1C}">
              <a14:useLocalDpi xmlns:a14="http://schemas.microsoft.com/office/drawing/2010/main" val="0"/>
            </a:ext>
          </a:extLst>
        </a:blip>
        <a:srcRect/>
        <a:stretch>
          <a:fillRect/>
        </a:stretch>
      </xdr:blipFill>
      <xdr:spPr bwMode="auto">
        <a:xfrm>
          <a:off x="1228725" y="1406547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749</xdr:row>
      <xdr:rowOff>19050</xdr:rowOff>
    </xdr:from>
    <xdr:to>
      <xdr:col>2</xdr:col>
      <xdr:colOff>1733550</xdr:colOff>
      <xdr:row>749</xdr:row>
      <xdr:rowOff>1666875</xdr:rowOff>
    </xdr:to>
    <xdr:pic>
      <xdr:nvPicPr>
        <xdr:cNvPr id="749" name="Picture 748"/>
        <xdr:cNvPicPr>
          <a:picLocks noChangeAspect="1" noChangeArrowheads="1"/>
        </xdr:cNvPicPr>
      </xdr:nvPicPr>
      <xdr:blipFill>
        <a:blip xmlns:r="http://schemas.openxmlformats.org/officeDocument/2006/relationships" r:embed="rId748">
          <a:extLst>
            <a:ext uri="{28A0092B-C50C-407E-A947-70E740481C1C}">
              <a14:useLocalDpi xmlns:a14="http://schemas.microsoft.com/office/drawing/2010/main" val="0"/>
            </a:ext>
          </a:extLst>
        </a:blip>
        <a:srcRect/>
        <a:stretch>
          <a:fillRect/>
        </a:stretch>
      </xdr:blipFill>
      <xdr:spPr bwMode="auto">
        <a:xfrm>
          <a:off x="1228725" y="140846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750</xdr:row>
      <xdr:rowOff>19050</xdr:rowOff>
    </xdr:from>
    <xdr:to>
      <xdr:col>2</xdr:col>
      <xdr:colOff>1733550</xdr:colOff>
      <xdr:row>750</xdr:row>
      <xdr:rowOff>1666875</xdr:rowOff>
    </xdr:to>
    <xdr:pic>
      <xdr:nvPicPr>
        <xdr:cNvPr id="750" name="Picture 749"/>
        <xdr:cNvPicPr>
          <a:picLocks noChangeAspect="1" noChangeArrowheads="1"/>
        </xdr:cNvPicPr>
      </xdr:nvPicPr>
      <xdr:blipFill>
        <a:blip xmlns:r="http://schemas.openxmlformats.org/officeDocument/2006/relationships" r:embed="rId749">
          <a:extLst>
            <a:ext uri="{28A0092B-C50C-407E-A947-70E740481C1C}">
              <a14:useLocalDpi xmlns:a14="http://schemas.microsoft.com/office/drawing/2010/main" val="0"/>
            </a:ext>
          </a:extLst>
        </a:blip>
        <a:srcRect/>
        <a:stretch>
          <a:fillRect/>
        </a:stretch>
      </xdr:blipFill>
      <xdr:spPr bwMode="auto">
        <a:xfrm>
          <a:off x="1228725" y="1410376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751</xdr:row>
      <xdr:rowOff>19050</xdr:rowOff>
    </xdr:from>
    <xdr:to>
      <xdr:col>2</xdr:col>
      <xdr:colOff>1733550</xdr:colOff>
      <xdr:row>751</xdr:row>
      <xdr:rowOff>1666875</xdr:rowOff>
    </xdr:to>
    <xdr:pic>
      <xdr:nvPicPr>
        <xdr:cNvPr id="751" name="Picture 750"/>
        <xdr:cNvPicPr>
          <a:picLocks noChangeAspect="1" noChangeArrowheads="1"/>
        </xdr:cNvPicPr>
      </xdr:nvPicPr>
      <xdr:blipFill>
        <a:blip xmlns:r="http://schemas.openxmlformats.org/officeDocument/2006/relationships" r:embed="rId750">
          <a:extLst>
            <a:ext uri="{28A0092B-C50C-407E-A947-70E740481C1C}">
              <a14:useLocalDpi xmlns:a14="http://schemas.microsoft.com/office/drawing/2010/main" val="0"/>
            </a:ext>
          </a:extLst>
        </a:blip>
        <a:srcRect/>
        <a:stretch>
          <a:fillRect/>
        </a:stretch>
      </xdr:blipFill>
      <xdr:spPr bwMode="auto">
        <a:xfrm>
          <a:off x="1228725" y="1412290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752</xdr:row>
      <xdr:rowOff>19050</xdr:rowOff>
    </xdr:from>
    <xdr:to>
      <xdr:col>2</xdr:col>
      <xdr:colOff>1733550</xdr:colOff>
      <xdr:row>752</xdr:row>
      <xdr:rowOff>1666875</xdr:rowOff>
    </xdr:to>
    <xdr:pic>
      <xdr:nvPicPr>
        <xdr:cNvPr id="752" name="Picture 751"/>
        <xdr:cNvPicPr>
          <a:picLocks noChangeAspect="1" noChangeArrowheads="1"/>
        </xdr:cNvPicPr>
      </xdr:nvPicPr>
      <xdr:blipFill>
        <a:blip xmlns:r="http://schemas.openxmlformats.org/officeDocument/2006/relationships" r:embed="rId751">
          <a:extLst>
            <a:ext uri="{28A0092B-C50C-407E-A947-70E740481C1C}">
              <a14:useLocalDpi xmlns:a14="http://schemas.microsoft.com/office/drawing/2010/main" val="0"/>
            </a:ext>
          </a:extLst>
        </a:blip>
        <a:srcRect/>
        <a:stretch>
          <a:fillRect/>
        </a:stretch>
      </xdr:blipFill>
      <xdr:spPr bwMode="auto">
        <a:xfrm>
          <a:off x="1228725" y="1414205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753</xdr:row>
      <xdr:rowOff>19050</xdr:rowOff>
    </xdr:from>
    <xdr:to>
      <xdr:col>2</xdr:col>
      <xdr:colOff>1733550</xdr:colOff>
      <xdr:row>753</xdr:row>
      <xdr:rowOff>1666875</xdr:rowOff>
    </xdr:to>
    <xdr:pic>
      <xdr:nvPicPr>
        <xdr:cNvPr id="753" name="Picture 752"/>
        <xdr:cNvPicPr>
          <a:picLocks noChangeAspect="1" noChangeArrowheads="1"/>
        </xdr:cNvPicPr>
      </xdr:nvPicPr>
      <xdr:blipFill>
        <a:blip xmlns:r="http://schemas.openxmlformats.org/officeDocument/2006/relationships" r:embed="rId752">
          <a:extLst>
            <a:ext uri="{28A0092B-C50C-407E-A947-70E740481C1C}">
              <a14:useLocalDpi xmlns:a14="http://schemas.microsoft.com/office/drawing/2010/main" val="0"/>
            </a:ext>
          </a:extLst>
        </a:blip>
        <a:srcRect/>
        <a:stretch>
          <a:fillRect/>
        </a:stretch>
      </xdr:blipFill>
      <xdr:spPr bwMode="auto">
        <a:xfrm>
          <a:off x="1228725" y="1416119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754</xdr:row>
      <xdr:rowOff>19050</xdr:rowOff>
    </xdr:from>
    <xdr:to>
      <xdr:col>2</xdr:col>
      <xdr:colOff>1733550</xdr:colOff>
      <xdr:row>754</xdr:row>
      <xdr:rowOff>1666875</xdr:rowOff>
    </xdr:to>
    <xdr:pic>
      <xdr:nvPicPr>
        <xdr:cNvPr id="754" name="Picture 753"/>
        <xdr:cNvPicPr>
          <a:picLocks noChangeAspect="1" noChangeArrowheads="1"/>
        </xdr:cNvPicPr>
      </xdr:nvPicPr>
      <xdr:blipFill>
        <a:blip xmlns:r="http://schemas.openxmlformats.org/officeDocument/2006/relationships" r:embed="rId753">
          <a:extLst>
            <a:ext uri="{28A0092B-C50C-407E-A947-70E740481C1C}">
              <a14:useLocalDpi xmlns:a14="http://schemas.microsoft.com/office/drawing/2010/main" val="0"/>
            </a:ext>
          </a:extLst>
        </a:blip>
        <a:srcRect/>
        <a:stretch>
          <a:fillRect/>
        </a:stretch>
      </xdr:blipFill>
      <xdr:spPr bwMode="auto">
        <a:xfrm>
          <a:off x="1228725" y="1418034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755</xdr:row>
      <xdr:rowOff>19050</xdr:rowOff>
    </xdr:from>
    <xdr:to>
      <xdr:col>2</xdr:col>
      <xdr:colOff>1733550</xdr:colOff>
      <xdr:row>755</xdr:row>
      <xdr:rowOff>1666875</xdr:rowOff>
    </xdr:to>
    <xdr:pic>
      <xdr:nvPicPr>
        <xdr:cNvPr id="755" name="Picture 754"/>
        <xdr:cNvPicPr>
          <a:picLocks noChangeAspect="1" noChangeArrowheads="1"/>
        </xdr:cNvPicPr>
      </xdr:nvPicPr>
      <xdr:blipFill>
        <a:blip xmlns:r="http://schemas.openxmlformats.org/officeDocument/2006/relationships" r:embed="rId754">
          <a:extLst>
            <a:ext uri="{28A0092B-C50C-407E-A947-70E740481C1C}">
              <a14:useLocalDpi xmlns:a14="http://schemas.microsoft.com/office/drawing/2010/main" val="0"/>
            </a:ext>
          </a:extLst>
        </a:blip>
        <a:srcRect/>
        <a:stretch>
          <a:fillRect/>
        </a:stretch>
      </xdr:blipFill>
      <xdr:spPr bwMode="auto">
        <a:xfrm>
          <a:off x="1228725" y="1419948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756</xdr:row>
      <xdr:rowOff>19050</xdr:rowOff>
    </xdr:from>
    <xdr:to>
      <xdr:col>2</xdr:col>
      <xdr:colOff>1733550</xdr:colOff>
      <xdr:row>756</xdr:row>
      <xdr:rowOff>1666875</xdr:rowOff>
    </xdr:to>
    <xdr:pic>
      <xdr:nvPicPr>
        <xdr:cNvPr id="756" name="Picture 755"/>
        <xdr:cNvPicPr>
          <a:picLocks noChangeAspect="1" noChangeArrowheads="1"/>
        </xdr:cNvPicPr>
      </xdr:nvPicPr>
      <xdr:blipFill>
        <a:blip xmlns:r="http://schemas.openxmlformats.org/officeDocument/2006/relationships" r:embed="rId755">
          <a:extLst>
            <a:ext uri="{28A0092B-C50C-407E-A947-70E740481C1C}">
              <a14:useLocalDpi xmlns:a14="http://schemas.microsoft.com/office/drawing/2010/main" val="0"/>
            </a:ext>
          </a:extLst>
        </a:blip>
        <a:srcRect/>
        <a:stretch>
          <a:fillRect/>
        </a:stretch>
      </xdr:blipFill>
      <xdr:spPr bwMode="auto">
        <a:xfrm>
          <a:off x="1228725" y="1421863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757</xdr:row>
      <xdr:rowOff>19050</xdr:rowOff>
    </xdr:from>
    <xdr:to>
      <xdr:col>2</xdr:col>
      <xdr:colOff>1733550</xdr:colOff>
      <xdr:row>757</xdr:row>
      <xdr:rowOff>1666875</xdr:rowOff>
    </xdr:to>
    <xdr:pic>
      <xdr:nvPicPr>
        <xdr:cNvPr id="757" name="Picture 756"/>
        <xdr:cNvPicPr>
          <a:picLocks noChangeAspect="1" noChangeArrowheads="1"/>
        </xdr:cNvPicPr>
      </xdr:nvPicPr>
      <xdr:blipFill>
        <a:blip xmlns:r="http://schemas.openxmlformats.org/officeDocument/2006/relationships" r:embed="rId756">
          <a:extLst>
            <a:ext uri="{28A0092B-C50C-407E-A947-70E740481C1C}">
              <a14:useLocalDpi xmlns:a14="http://schemas.microsoft.com/office/drawing/2010/main" val="0"/>
            </a:ext>
          </a:extLst>
        </a:blip>
        <a:srcRect/>
        <a:stretch>
          <a:fillRect/>
        </a:stretch>
      </xdr:blipFill>
      <xdr:spPr bwMode="auto">
        <a:xfrm>
          <a:off x="1228725" y="1423777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758</xdr:row>
      <xdr:rowOff>19050</xdr:rowOff>
    </xdr:from>
    <xdr:to>
      <xdr:col>2</xdr:col>
      <xdr:colOff>1733550</xdr:colOff>
      <xdr:row>758</xdr:row>
      <xdr:rowOff>1666875</xdr:rowOff>
    </xdr:to>
    <xdr:pic>
      <xdr:nvPicPr>
        <xdr:cNvPr id="758" name="Picture 757"/>
        <xdr:cNvPicPr>
          <a:picLocks noChangeAspect="1" noChangeArrowheads="1"/>
        </xdr:cNvPicPr>
      </xdr:nvPicPr>
      <xdr:blipFill>
        <a:blip xmlns:r="http://schemas.openxmlformats.org/officeDocument/2006/relationships" r:embed="rId757">
          <a:extLst>
            <a:ext uri="{28A0092B-C50C-407E-A947-70E740481C1C}">
              <a14:useLocalDpi xmlns:a14="http://schemas.microsoft.com/office/drawing/2010/main" val="0"/>
            </a:ext>
          </a:extLst>
        </a:blip>
        <a:srcRect/>
        <a:stretch>
          <a:fillRect/>
        </a:stretch>
      </xdr:blipFill>
      <xdr:spPr bwMode="auto">
        <a:xfrm>
          <a:off x="1228725" y="1425692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759</xdr:row>
      <xdr:rowOff>19050</xdr:rowOff>
    </xdr:from>
    <xdr:to>
      <xdr:col>2</xdr:col>
      <xdr:colOff>1733550</xdr:colOff>
      <xdr:row>759</xdr:row>
      <xdr:rowOff>1666875</xdr:rowOff>
    </xdr:to>
    <xdr:pic>
      <xdr:nvPicPr>
        <xdr:cNvPr id="759" name="Picture 758"/>
        <xdr:cNvPicPr>
          <a:picLocks noChangeAspect="1" noChangeArrowheads="1"/>
        </xdr:cNvPicPr>
      </xdr:nvPicPr>
      <xdr:blipFill>
        <a:blip xmlns:r="http://schemas.openxmlformats.org/officeDocument/2006/relationships" r:embed="rId758">
          <a:extLst>
            <a:ext uri="{28A0092B-C50C-407E-A947-70E740481C1C}">
              <a14:useLocalDpi xmlns:a14="http://schemas.microsoft.com/office/drawing/2010/main" val="0"/>
            </a:ext>
          </a:extLst>
        </a:blip>
        <a:srcRect/>
        <a:stretch>
          <a:fillRect/>
        </a:stretch>
      </xdr:blipFill>
      <xdr:spPr bwMode="auto">
        <a:xfrm>
          <a:off x="1228725" y="1427607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760</xdr:row>
      <xdr:rowOff>19050</xdr:rowOff>
    </xdr:from>
    <xdr:to>
      <xdr:col>2</xdr:col>
      <xdr:colOff>1733550</xdr:colOff>
      <xdr:row>760</xdr:row>
      <xdr:rowOff>1666875</xdr:rowOff>
    </xdr:to>
    <xdr:pic>
      <xdr:nvPicPr>
        <xdr:cNvPr id="760" name="Picture 759"/>
        <xdr:cNvPicPr>
          <a:picLocks noChangeAspect="1" noChangeArrowheads="1"/>
        </xdr:cNvPicPr>
      </xdr:nvPicPr>
      <xdr:blipFill>
        <a:blip xmlns:r="http://schemas.openxmlformats.org/officeDocument/2006/relationships" r:embed="rId759">
          <a:extLst>
            <a:ext uri="{28A0092B-C50C-407E-A947-70E740481C1C}">
              <a14:useLocalDpi xmlns:a14="http://schemas.microsoft.com/office/drawing/2010/main" val="0"/>
            </a:ext>
          </a:extLst>
        </a:blip>
        <a:srcRect/>
        <a:stretch>
          <a:fillRect/>
        </a:stretch>
      </xdr:blipFill>
      <xdr:spPr bwMode="auto">
        <a:xfrm>
          <a:off x="1228725" y="1429521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761</xdr:row>
      <xdr:rowOff>19050</xdr:rowOff>
    </xdr:from>
    <xdr:to>
      <xdr:col>2</xdr:col>
      <xdr:colOff>1733550</xdr:colOff>
      <xdr:row>761</xdr:row>
      <xdr:rowOff>1666875</xdr:rowOff>
    </xdr:to>
    <xdr:pic>
      <xdr:nvPicPr>
        <xdr:cNvPr id="761" name="Picture 760"/>
        <xdr:cNvPicPr>
          <a:picLocks noChangeAspect="1" noChangeArrowheads="1"/>
        </xdr:cNvPicPr>
      </xdr:nvPicPr>
      <xdr:blipFill>
        <a:blip xmlns:r="http://schemas.openxmlformats.org/officeDocument/2006/relationships" r:embed="rId760">
          <a:extLst>
            <a:ext uri="{28A0092B-C50C-407E-A947-70E740481C1C}">
              <a14:useLocalDpi xmlns:a14="http://schemas.microsoft.com/office/drawing/2010/main" val="0"/>
            </a:ext>
          </a:extLst>
        </a:blip>
        <a:srcRect/>
        <a:stretch>
          <a:fillRect/>
        </a:stretch>
      </xdr:blipFill>
      <xdr:spPr bwMode="auto">
        <a:xfrm>
          <a:off x="1228725" y="1431436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762</xdr:row>
      <xdr:rowOff>9525</xdr:rowOff>
    </xdr:from>
    <xdr:to>
      <xdr:col>2</xdr:col>
      <xdr:colOff>1733550</xdr:colOff>
      <xdr:row>762</xdr:row>
      <xdr:rowOff>1524000</xdr:rowOff>
    </xdr:to>
    <xdr:pic>
      <xdr:nvPicPr>
        <xdr:cNvPr id="762" name="Picture 761"/>
        <xdr:cNvPicPr>
          <a:picLocks noChangeAspect="1" noChangeArrowheads="1"/>
        </xdr:cNvPicPr>
      </xdr:nvPicPr>
      <xdr:blipFill>
        <a:blip xmlns:r="http://schemas.openxmlformats.org/officeDocument/2006/relationships" r:embed="rId761">
          <a:extLst>
            <a:ext uri="{28A0092B-C50C-407E-A947-70E740481C1C}">
              <a14:useLocalDpi xmlns:a14="http://schemas.microsoft.com/office/drawing/2010/main" val="0"/>
            </a:ext>
          </a:extLst>
        </a:blip>
        <a:srcRect/>
        <a:stretch>
          <a:fillRect/>
        </a:stretch>
      </xdr:blipFill>
      <xdr:spPr bwMode="auto">
        <a:xfrm>
          <a:off x="1228725" y="1433341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763</xdr:row>
      <xdr:rowOff>19050</xdr:rowOff>
    </xdr:from>
    <xdr:to>
      <xdr:col>2</xdr:col>
      <xdr:colOff>1733550</xdr:colOff>
      <xdr:row>763</xdr:row>
      <xdr:rowOff>1666875</xdr:rowOff>
    </xdr:to>
    <xdr:pic>
      <xdr:nvPicPr>
        <xdr:cNvPr id="763" name="Picture 762"/>
        <xdr:cNvPicPr>
          <a:picLocks noChangeAspect="1" noChangeArrowheads="1"/>
        </xdr:cNvPicPr>
      </xdr:nvPicPr>
      <xdr:blipFill>
        <a:blip xmlns:r="http://schemas.openxmlformats.org/officeDocument/2006/relationships" r:embed="rId762">
          <a:extLst>
            <a:ext uri="{28A0092B-C50C-407E-A947-70E740481C1C}">
              <a14:useLocalDpi xmlns:a14="http://schemas.microsoft.com/office/drawing/2010/main" val="0"/>
            </a:ext>
          </a:extLst>
        </a:blip>
        <a:srcRect/>
        <a:stretch>
          <a:fillRect/>
        </a:stretch>
      </xdr:blipFill>
      <xdr:spPr bwMode="auto">
        <a:xfrm>
          <a:off x="1228725" y="143510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764</xdr:row>
      <xdr:rowOff>19050</xdr:rowOff>
    </xdr:from>
    <xdr:to>
      <xdr:col>2</xdr:col>
      <xdr:colOff>1733550</xdr:colOff>
      <xdr:row>764</xdr:row>
      <xdr:rowOff>1666875</xdr:rowOff>
    </xdr:to>
    <xdr:pic>
      <xdr:nvPicPr>
        <xdr:cNvPr id="764" name="Picture 763"/>
        <xdr:cNvPicPr>
          <a:picLocks noChangeAspect="1" noChangeArrowheads="1"/>
        </xdr:cNvPicPr>
      </xdr:nvPicPr>
      <xdr:blipFill>
        <a:blip xmlns:r="http://schemas.openxmlformats.org/officeDocument/2006/relationships" r:embed="rId763">
          <a:extLst>
            <a:ext uri="{28A0092B-C50C-407E-A947-70E740481C1C}">
              <a14:useLocalDpi xmlns:a14="http://schemas.microsoft.com/office/drawing/2010/main" val="0"/>
            </a:ext>
          </a:extLst>
        </a:blip>
        <a:srcRect/>
        <a:stretch>
          <a:fillRect/>
        </a:stretch>
      </xdr:blipFill>
      <xdr:spPr bwMode="auto">
        <a:xfrm>
          <a:off x="1228725" y="143701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765</xdr:row>
      <xdr:rowOff>19050</xdr:rowOff>
    </xdr:from>
    <xdr:to>
      <xdr:col>2</xdr:col>
      <xdr:colOff>1733550</xdr:colOff>
      <xdr:row>765</xdr:row>
      <xdr:rowOff>1666875</xdr:rowOff>
    </xdr:to>
    <xdr:pic>
      <xdr:nvPicPr>
        <xdr:cNvPr id="765" name="Picture 764"/>
        <xdr:cNvPicPr>
          <a:picLocks noChangeAspect="1" noChangeArrowheads="1"/>
        </xdr:cNvPicPr>
      </xdr:nvPicPr>
      <xdr:blipFill>
        <a:blip xmlns:r="http://schemas.openxmlformats.org/officeDocument/2006/relationships" r:embed="rId764">
          <a:extLst>
            <a:ext uri="{28A0092B-C50C-407E-A947-70E740481C1C}">
              <a14:useLocalDpi xmlns:a14="http://schemas.microsoft.com/office/drawing/2010/main" val="0"/>
            </a:ext>
          </a:extLst>
        </a:blip>
        <a:srcRect/>
        <a:stretch>
          <a:fillRect/>
        </a:stretch>
      </xdr:blipFill>
      <xdr:spPr bwMode="auto">
        <a:xfrm>
          <a:off x="1228725" y="143893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766</xdr:row>
      <xdr:rowOff>19050</xdr:rowOff>
    </xdr:from>
    <xdr:to>
      <xdr:col>2</xdr:col>
      <xdr:colOff>1733550</xdr:colOff>
      <xdr:row>766</xdr:row>
      <xdr:rowOff>1666875</xdr:rowOff>
    </xdr:to>
    <xdr:pic>
      <xdr:nvPicPr>
        <xdr:cNvPr id="766" name="Picture 765"/>
        <xdr:cNvPicPr>
          <a:picLocks noChangeAspect="1" noChangeArrowheads="1"/>
        </xdr:cNvPicPr>
      </xdr:nvPicPr>
      <xdr:blipFill>
        <a:blip xmlns:r="http://schemas.openxmlformats.org/officeDocument/2006/relationships" r:embed="rId765">
          <a:extLst>
            <a:ext uri="{28A0092B-C50C-407E-A947-70E740481C1C}">
              <a14:useLocalDpi xmlns:a14="http://schemas.microsoft.com/office/drawing/2010/main" val="0"/>
            </a:ext>
          </a:extLst>
        </a:blip>
        <a:srcRect/>
        <a:stretch>
          <a:fillRect/>
        </a:stretch>
      </xdr:blipFill>
      <xdr:spPr bwMode="auto">
        <a:xfrm>
          <a:off x="1228725" y="144084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767</xdr:row>
      <xdr:rowOff>19050</xdr:rowOff>
    </xdr:from>
    <xdr:to>
      <xdr:col>2</xdr:col>
      <xdr:colOff>1733550</xdr:colOff>
      <xdr:row>767</xdr:row>
      <xdr:rowOff>1666875</xdr:rowOff>
    </xdr:to>
    <xdr:pic>
      <xdr:nvPicPr>
        <xdr:cNvPr id="767" name="Picture 766"/>
        <xdr:cNvPicPr>
          <a:picLocks noChangeAspect="1" noChangeArrowheads="1"/>
        </xdr:cNvPicPr>
      </xdr:nvPicPr>
      <xdr:blipFill>
        <a:blip xmlns:r="http://schemas.openxmlformats.org/officeDocument/2006/relationships" r:embed="rId766">
          <a:extLst>
            <a:ext uri="{28A0092B-C50C-407E-A947-70E740481C1C}">
              <a14:useLocalDpi xmlns:a14="http://schemas.microsoft.com/office/drawing/2010/main" val="0"/>
            </a:ext>
          </a:extLst>
        </a:blip>
        <a:srcRect/>
        <a:stretch>
          <a:fillRect/>
        </a:stretch>
      </xdr:blipFill>
      <xdr:spPr bwMode="auto">
        <a:xfrm>
          <a:off x="1228725" y="144276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768</xdr:row>
      <xdr:rowOff>19050</xdr:rowOff>
    </xdr:from>
    <xdr:to>
      <xdr:col>2</xdr:col>
      <xdr:colOff>1733550</xdr:colOff>
      <xdr:row>768</xdr:row>
      <xdr:rowOff>1666875</xdr:rowOff>
    </xdr:to>
    <xdr:pic>
      <xdr:nvPicPr>
        <xdr:cNvPr id="768" name="Picture 767"/>
        <xdr:cNvPicPr>
          <a:picLocks noChangeAspect="1" noChangeArrowheads="1"/>
        </xdr:cNvPicPr>
      </xdr:nvPicPr>
      <xdr:blipFill>
        <a:blip xmlns:r="http://schemas.openxmlformats.org/officeDocument/2006/relationships" r:embed="rId767">
          <a:extLst>
            <a:ext uri="{28A0092B-C50C-407E-A947-70E740481C1C}">
              <a14:useLocalDpi xmlns:a14="http://schemas.microsoft.com/office/drawing/2010/main" val="0"/>
            </a:ext>
          </a:extLst>
        </a:blip>
        <a:srcRect/>
        <a:stretch>
          <a:fillRect/>
        </a:stretch>
      </xdr:blipFill>
      <xdr:spPr bwMode="auto">
        <a:xfrm>
          <a:off x="1228725" y="144467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769</xdr:row>
      <xdr:rowOff>19050</xdr:rowOff>
    </xdr:from>
    <xdr:to>
      <xdr:col>2</xdr:col>
      <xdr:colOff>1733550</xdr:colOff>
      <xdr:row>769</xdr:row>
      <xdr:rowOff>1666875</xdr:rowOff>
    </xdr:to>
    <xdr:pic>
      <xdr:nvPicPr>
        <xdr:cNvPr id="769" name="Picture 768"/>
        <xdr:cNvPicPr>
          <a:picLocks noChangeAspect="1" noChangeArrowheads="1"/>
        </xdr:cNvPicPr>
      </xdr:nvPicPr>
      <xdr:blipFill>
        <a:blip xmlns:r="http://schemas.openxmlformats.org/officeDocument/2006/relationships" r:embed="rId768">
          <a:extLst>
            <a:ext uri="{28A0092B-C50C-407E-A947-70E740481C1C}">
              <a14:useLocalDpi xmlns:a14="http://schemas.microsoft.com/office/drawing/2010/main" val="0"/>
            </a:ext>
          </a:extLst>
        </a:blip>
        <a:srcRect/>
        <a:stretch>
          <a:fillRect/>
        </a:stretch>
      </xdr:blipFill>
      <xdr:spPr bwMode="auto">
        <a:xfrm>
          <a:off x="1228725" y="144659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770</xdr:row>
      <xdr:rowOff>19050</xdr:rowOff>
    </xdr:from>
    <xdr:to>
      <xdr:col>2</xdr:col>
      <xdr:colOff>1733550</xdr:colOff>
      <xdr:row>770</xdr:row>
      <xdr:rowOff>1666875</xdr:rowOff>
    </xdr:to>
    <xdr:pic>
      <xdr:nvPicPr>
        <xdr:cNvPr id="770" name="Picture 769"/>
        <xdr:cNvPicPr>
          <a:picLocks noChangeAspect="1" noChangeArrowheads="1"/>
        </xdr:cNvPicPr>
      </xdr:nvPicPr>
      <xdr:blipFill>
        <a:blip xmlns:r="http://schemas.openxmlformats.org/officeDocument/2006/relationships" r:embed="rId769">
          <a:extLst>
            <a:ext uri="{28A0092B-C50C-407E-A947-70E740481C1C}">
              <a14:useLocalDpi xmlns:a14="http://schemas.microsoft.com/office/drawing/2010/main" val="0"/>
            </a:ext>
          </a:extLst>
        </a:blip>
        <a:srcRect/>
        <a:stretch>
          <a:fillRect/>
        </a:stretch>
      </xdr:blipFill>
      <xdr:spPr bwMode="auto">
        <a:xfrm>
          <a:off x="1228725" y="144850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771</xdr:row>
      <xdr:rowOff>19050</xdr:rowOff>
    </xdr:from>
    <xdr:to>
      <xdr:col>2</xdr:col>
      <xdr:colOff>1733550</xdr:colOff>
      <xdr:row>771</xdr:row>
      <xdr:rowOff>1666875</xdr:rowOff>
    </xdr:to>
    <xdr:pic>
      <xdr:nvPicPr>
        <xdr:cNvPr id="771" name="Picture 770"/>
        <xdr:cNvPicPr>
          <a:picLocks noChangeAspect="1" noChangeArrowheads="1"/>
        </xdr:cNvPicPr>
      </xdr:nvPicPr>
      <xdr:blipFill>
        <a:blip xmlns:r="http://schemas.openxmlformats.org/officeDocument/2006/relationships" r:embed="rId770">
          <a:extLst>
            <a:ext uri="{28A0092B-C50C-407E-A947-70E740481C1C}">
              <a14:useLocalDpi xmlns:a14="http://schemas.microsoft.com/office/drawing/2010/main" val="0"/>
            </a:ext>
          </a:extLst>
        </a:blip>
        <a:srcRect/>
        <a:stretch>
          <a:fillRect/>
        </a:stretch>
      </xdr:blipFill>
      <xdr:spPr bwMode="auto">
        <a:xfrm>
          <a:off x="1228725" y="145041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772</xdr:row>
      <xdr:rowOff>19050</xdr:rowOff>
    </xdr:from>
    <xdr:to>
      <xdr:col>2</xdr:col>
      <xdr:colOff>1733550</xdr:colOff>
      <xdr:row>772</xdr:row>
      <xdr:rowOff>1666875</xdr:rowOff>
    </xdr:to>
    <xdr:pic>
      <xdr:nvPicPr>
        <xdr:cNvPr id="772" name="Picture 771"/>
        <xdr:cNvPicPr>
          <a:picLocks noChangeAspect="1" noChangeArrowheads="1"/>
        </xdr:cNvPicPr>
      </xdr:nvPicPr>
      <xdr:blipFill>
        <a:blip xmlns:r="http://schemas.openxmlformats.org/officeDocument/2006/relationships" r:embed="rId771">
          <a:extLst>
            <a:ext uri="{28A0092B-C50C-407E-A947-70E740481C1C}">
              <a14:useLocalDpi xmlns:a14="http://schemas.microsoft.com/office/drawing/2010/main" val="0"/>
            </a:ext>
          </a:extLst>
        </a:blip>
        <a:srcRect/>
        <a:stretch>
          <a:fillRect/>
        </a:stretch>
      </xdr:blipFill>
      <xdr:spPr bwMode="auto">
        <a:xfrm>
          <a:off x="1228725" y="145233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773</xdr:row>
      <xdr:rowOff>19050</xdr:rowOff>
    </xdr:from>
    <xdr:to>
      <xdr:col>2</xdr:col>
      <xdr:colOff>1733550</xdr:colOff>
      <xdr:row>773</xdr:row>
      <xdr:rowOff>1666875</xdr:rowOff>
    </xdr:to>
    <xdr:pic>
      <xdr:nvPicPr>
        <xdr:cNvPr id="773" name="Picture 772"/>
        <xdr:cNvPicPr>
          <a:picLocks noChangeAspect="1" noChangeArrowheads="1"/>
        </xdr:cNvPicPr>
      </xdr:nvPicPr>
      <xdr:blipFill>
        <a:blip xmlns:r="http://schemas.openxmlformats.org/officeDocument/2006/relationships" r:embed="rId772">
          <a:extLst>
            <a:ext uri="{28A0092B-C50C-407E-A947-70E740481C1C}">
              <a14:useLocalDpi xmlns:a14="http://schemas.microsoft.com/office/drawing/2010/main" val="0"/>
            </a:ext>
          </a:extLst>
        </a:blip>
        <a:srcRect/>
        <a:stretch>
          <a:fillRect/>
        </a:stretch>
      </xdr:blipFill>
      <xdr:spPr bwMode="auto">
        <a:xfrm>
          <a:off x="1228725" y="145424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774</xdr:row>
      <xdr:rowOff>19050</xdr:rowOff>
    </xdr:from>
    <xdr:to>
      <xdr:col>2</xdr:col>
      <xdr:colOff>1733550</xdr:colOff>
      <xdr:row>774</xdr:row>
      <xdr:rowOff>1666875</xdr:rowOff>
    </xdr:to>
    <xdr:pic>
      <xdr:nvPicPr>
        <xdr:cNvPr id="774" name="Picture 773"/>
        <xdr:cNvPicPr>
          <a:picLocks noChangeAspect="1" noChangeArrowheads="1"/>
        </xdr:cNvPicPr>
      </xdr:nvPicPr>
      <xdr:blipFill>
        <a:blip xmlns:r="http://schemas.openxmlformats.org/officeDocument/2006/relationships" r:embed="rId773">
          <a:extLst>
            <a:ext uri="{28A0092B-C50C-407E-A947-70E740481C1C}">
              <a14:useLocalDpi xmlns:a14="http://schemas.microsoft.com/office/drawing/2010/main" val="0"/>
            </a:ext>
          </a:extLst>
        </a:blip>
        <a:srcRect/>
        <a:stretch>
          <a:fillRect/>
        </a:stretch>
      </xdr:blipFill>
      <xdr:spPr bwMode="auto">
        <a:xfrm>
          <a:off x="1228725" y="145616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775</xdr:row>
      <xdr:rowOff>19050</xdr:rowOff>
    </xdr:from>
    <xdr:to>
      <xdr:col>2</xdr:col>
      <xdr:colOff>1733550</xdr:colOff>
      <xdr:row>775</xdr:row>
      <xdr:rowOff>1666875</xdr:rowOff>
    </xdr:to>
    <xdr:pic>
      <xdr:nvPicPr>
        <xdr:cNvPr id="775" name="Picture 774"/>
        <xdr:cNvPicPr>
          <a:picLocks noChangeAspect="1" noChangeArrowheads="1"/>
        </xdr:cNvPicPr>
      </xdr:nvPicPr>
      <xdr:blipFill>
        <a:blip xmlns:r="http://schemas.openxmlformats.org/officeDocument/2006/relationships" r:embed="rId774">
          <a:extLst>
            <a:ext uri="{28A0092B-C50C-407E-A947-70E740481C1C}">
              <a14:useLocalDpi xmlns:a14="http://schemas.microsoft.com/office/drawing/2010/main" val="0"/>
            </a:ext>
          </a:extLst>
        </a:blip>
        <a:srcRect/>
        <a:stretch>
          <a:fillRect/>
        </a:stretch>
      </xdr:blipFill>
      <xdr:spPr bwMode="auto">
        <a:xfrm>
          <a:off x="1228725" y="145807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776</xdr:row>
      <xdr:rowOff>19050</xdr:rowOff>
    </xdr:from>
    <xdr:to>
      <xdr:col>2</xdr:col>
      <xdr:colOff>1733550</xdr:colOff>
      <xdr:row>776</xdr:row>
      <xdr:rowOff>1666875</xdr:rowOff>
    </xdr:to>
    <xdr:pic>
      <xdr:nvPicPr>
        <xdr:cNvPr id="776" name="Picture 775"/>
        <xdr:cNvPicPr>
          <a:picLocks noChangeAspect="1" noChangeArrowheads="1"/>
        </xdr:cNvPicPr>
      </xdr:nvPicPr>
      <xdr:blipFill>
        <a:blip xmlns:r="http://schemas.openxmlformats.org/officeDocument/2006/relationships" r:embed="rId775">
          <a:extLst>
            <a:ext uri="{28A0092B-C50C-407E-A947-70E740481C1C}">
              <a14:useLocalDpi xmlns:a14="http://schemas.microsoft.com/office/drawing/2010/main" val="0"/>
            </a:ext>
          </a:extLst>
        </a:blip>
        <a:srcRect/>
        <a:stretch>
          <a:fillRect/>
        </a:stretch>
      </xdr:blipFill>
      <xdr:spPr bwMode="auto">
        <a:xfrm>
          <a:off x="1228725" y="145999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777</xdr:row>
      <xdr:rowOff>19050</xdr:rowOff>
    </xdr:from>
    <xdr:to>
      <xdr:col>2</xdr:col>
      <xdr:colOff>1733550</xdr:colOff>
      <xdr:row>777</xdr:row>
      <xdr:rowOff>1666875</xdr:rowOff>
    </xdr:to>
    <xdr:pic>
      <xdr:nvPicPr>
        <xdr:cNvPr id="777" name="Picture 776"/>
        <xdr:cNvPicPr>
          <a:picLocks noChangeAspect="1" noChangeArrowheads="1"/>
        </xdr:cNvPicPr>
      </xdr:nvPicPr>
      <xdr:blipFill>
        <a:blip xmlns:r="http://schemas.openxmlformats.org/officeDocument/2006/relationships" r:embed="rId776">
          <a:extLst>
            <a:ext uri="{28A0092B-C50C-407E-A947-70E740481C1C}">
              <a14:useLocalDpi xmlns:a14="http://schemas.microsoft.com/office/drawing/2010/main" val="0"/>
            </a:ext>
          </a:extLst>
        </a:blip>
        <a:srcRect/>
        <a:stretch>
          <a:fillRect/>
        </a:stretch>
      </xdr:blipFill>
      <xdr:spPr bwMode="auto">
        <a:xfrm>
          <a:off x="1228725" y="146190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778</xdr:row>
      <xdr:rowOff>19050</xdr:rowOff>
    </xdr:from>
    <xdr:to>
      <xdr:col>2</xdr:col>
      <xdr:colOff>1733550</xdr:colOff>
      <xdr:row>778</xdr:row>
      <xdr:rowOff>1666875</xdr:rowOff>
    </xdr:to>
    <xdr:pic>
      <xdr:nvPicPr>
        <xdr:cNvPr id="778" name="Picture 777"/>
        <xdr:cNvPicPr>
          <a:picLocks noChangeAspect="1" noChangeArrowheads="1"/>
        </xdr:cNvPicPr>
      </xdr:nvPicPr>
      <xdr:blipFill>
        <a:blip xmlns:r="http://schemas.openxmlformats.org/officeDocument/2006/relationships" r:embed="rId777">
          <a:extLst>
            <a:ext uri="{28A0092B-C50C-407E-A947-70E740481C1C}">
              <a14:useLocalDpi xmlns:a14="http://schemas.microsoft.com/office/drawing/2010/main" val="0"/>
            </a:ext>
          </a:extLst>
        </a:blip>
        <a:srcRect/>
        <a:stretch>
          <a:fillRect/>
        </a:stretch>
      </xdr:blipFill>
      <xdr:spPr bwMode="auto">
        <a:xfrm>
          <a:off x="1228725" y="146382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779</xdr:row>
      <xdr:rowOff>19050</xdr:rowOff>
    </xdr:from>
    <xdr:to>
      <xdr:col>2</xdr:col>
      <xdr:colOff>1733550</xdr:colOff>
      <xdr:row>779</xdr:row>
      <xdr:rowOff>1666875</xdr:rowOff>
    </xdr:to>
    <xdr:pic>
      <xdr:nvPicPr>
        <xdr:cNvPr id="779" name="Picture 778"/>
        <xdr:cNvPicPr>
          <a:picLocks noChangeAspect="1" noChangeArrowheads="1"/>
        </xdr:cNvPicPr>
      </xdr:nvPicPr>
      <xdr:blipFill>
        <a:blip xmlns:r="http://schemas.openxmlformats.org/officeDocument/2006/relationships" r:embed="rId778">
          <a:extLst>
            <a:ext uri="{28A0092B-C50C-407E-A947-70E740481C1C}">
              <a14:useLocalDpi xmlns:a14="http://schemas.microsoft.com/office/drawing/2010/main" val="0"/>
            </a:ext>
          </a:extLst>
        </a:blip>
        <a:srcRect/>
        <a:stretch>
          <a:fillRect/>
        </a:stretch>
      </xdr:blipFill>
      <xdr:spPr bwMode="auto">
        <a:xfrm>
          <a:off x="1228725" y="146573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780</xdr:row>
      <xdr:rowOff>19050</xdr:rowOff>
    </xdr:from>
    <xdr:to>
      <xdr:col>2</xdr:col>
      <xdr:colOff>1733550</xdr:colOff>
      <xdr:row>780</xdr:row>
      <xdr:rowOff>1666875</xdr:rowOff>
    </xdr:to>
    <xdr:pic>
      <xdr:nvPicPr>
        <xdr:cNvPr id="780" name="Picture 779"/>
        <xdr:cNvPicPr>
          <a:picLocks noChangeAspect="1" noChangeArrowheads="1"/>
        </xdr:cNvPicPr>
      </xdr:nvPicPr>
      <xdr:blipFill>
        <a:blip xmlns:r="http://schemas.openxmlformats.org/officeDocument/2006/relationships" r:embed="rId779">
          <a:extLst>
            <a:ext uri="{28A0092B-C50C-407E-A947-70E740481C1C}">
              <a14:useLocalDpi xmlns:a14="http://schemas.microsoft.com/office/drawing/2010/main" val="0"/>
            </a:ext>
          </a:extLst>
        </a:blip>
        <a:srcRect/>
        <a:stretch>
          <a:fillRect/>
        </a:stretch>
      </xdr:blipFill>
      <xdr:spPr bwMode="auto">
        <a:xfrm>
          <a:off x="1228725" y="146765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781</xdr:row>
      <xdr:rowOff>19050</xdr:rowOff>
    </xdr:from>
    <xdr:to>
      <xdr:col>2</xdr:col>
      <xdr:colOff>1733550</xdr:colOff>
      <xdr:row>781</xdr:row>
      <xdr:rowOff>1666875</xdr:rowOff>
    </xdr:to>
    <xdr:pic>
      <xdr:nvPicPr>
        <xdr:cNvPr id="781" name="Picture 780"/>
        <xdr:cNvPicPr>
          <a:picLocks noChangeAspect="1" noChangeArrowheads="1"/>
        </xdr:cNvPicPr>
      </xdr:nvPicPr>
      <xdr:blipFill>
        <a:blip xmlns:r="http://schemas.openxmlformats.org/officeDocument/2006/relationships" r:embed="rId780">
          <a:extLst>
            <a:ext uri="{28A0092B-C50C-407E-A947-70E740481C1C}">
              <a14:useLocalDpi xmlns:a14="http://schemas.microsoft.com/office/drawing/2010/main" val="0"/>
            </a:ext>
          </a:extLst>
        </a:blip>
        <a:srcRect/>
        <a:stretch>
          <a:fillRect/>
        </a:stretch>
      </xdr:blipFill>
      <xdr:spPr bwMode="auto">
        <a:xfrm>
          <a:off x="1228725" y="146956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782</xdr:row>
      <xdr:rowOff>19050</xdr:rowOff>
    </xdr:from>
    <xdr:to>
      <xdr:col>2</xdr:col>
      <xdr:colOff>1733550</xdr:colOff>
      <xdr:row>782</xdr:row>
      <xdr:rowOff>1666875</xdr:rowOff>
    </xdr:to>
    <xdr:pic>
      <xdr:nvPicPr>
        <xdr:cNvPr id="782" name="Picture 781"/>
        <xdr:cNvPicPr>
          <a:picLocks noChangeAspect="1" noChangeArrowheads="1"/>
        </xdr:cNvPicPr>
      </xdr:nvPicPr>
      <xdr:blipFill>
        <a:blip xmlns:r="http://schemas.openxmlformats.org/officeDocument/2006/relationships" r:embed="rId781">
          <a:extLst>
            <a:ext uri="{28A0092B-C50C-407E-A947-70E740481C1C}">
              <a14:useLocalDpi xmlns:a14="http://schemas.microsoft.com/office/drawing/2010/main" val="0"/>
            </a:ext>
          </a:extLst>
        </a:blip>
        <a:srcRect/>
        <a:stretch>
          <a:fillRect/>
        </a:stretch>
      </xdr:blipFill>
      <xdr:spPr bwMode="auto">
        <a:xfrm>
          <a:off x="1228725" y="147147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783</xdr:row>
      <xdr:rowOff>19050</xdr:rowOff>
    </xdr:from>
    <xdr:to>
      <xdr:col>2</xdr:col>
      <xdr:colOff>1733550</xdr:colOff>
      <xdr:row>783</xdr:row>
      <xdr:rowOff>1666875</xdr:rowOff>
    </xdr:to>
    <xdr:pic>
      <xdr:nvPicPr>
        <xdr:cNvPr id="783" name="Picture 782"/>
        <xdr:cNvPicPr>
          <a:picLocks noChangeAspect="1" noChangeArrowheads="1"/>
        </xdr:cNvPicPr>
      </xdr:nvPicPr>
      <xdr:blipFill>
        <a:blip xmlns:r="http://schemas.openxmlformats.org/officeDocument/2006/relationships" r:embed="rId782">
          <a:extLst>
            <a:ext uri="{28A0092B-C50C-407E-A947-70E740481C1C}">
              <a14:useLocalDpi xmlns:a14="http://schemas.microsoft.com/office/drawing/2010/main" val="0"/>
            </a:ext>
          </a:extLst>
        </a:blip>
        <a:srcRect/>
        <a:stretch>
          <a:fillRect/>
        </a:stretch>
      </xdr:blipFill>
      <xdr:spPr bwMode="auto">
        <a:xfrm>
          <a:off x="1228725" y="147339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784</xdr:row>
      <xdr:rowOff>19050</xdr:rowOff>
    </xdr:from>
    <xdr:to>
      <xdr:col>2</xdr:col>
      <xdr:colOff>1733550</xdr:colOff>
      <xdr:row>784</xdr:row>
      <xdr:rowOff>1666875</xdr:rowOff>
    </xdr:to>
    <xdr:pic>
      <xdr:nvPicPr>
        <xdr:cNvPr id="784" name="Picture 783"/>
        <xdr:cNvPicPr>
          <a:picLocks noChangeAspect="1" noChangeArrowheads="1"/>
        </xdr:cNvPicPr>
      </xdr:nvPicPr>
      <xdr:blipFill>
        <a:blip xmlns:r="http://schemas.openxmlformats.org/officeDocument/2006/relationships" r:embed="rId783">
          <a:extLst>
            <a:ext uri="{28A0092B-C50C-407E-A947-70E740481C1C}">
              <a14:useLocalDpi xmlns:a14="http://schemas.microsoft.com/office/drawing/2010/main" val="0"/>
            </a:ext>
          </a:extLst>
        </a:blip>
        <a:srcRect/>
        <a:stretch>
          <a:fillRect/>
        </a:stretch>
      </xdr:blipFill>
      <xdr:spPr bwMode="auto">
        <a:xfrm>
          <a:off x="1228725" y="1475308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785</xdr:row>
      <xdr:rowOff>19050</xdr:rowOff>
    </xdr:from>
    <xdr:to>
      <xdr:col>2</xdr:col>
      <xdr:colOff>1733550</xdr:colOff>
      <xdr:row>785</xdr:row>
      <xdr:rowOff>1666875</xdr:rowOff>
    </xdr:to>
    <xdr:pic>
      <xdr:nvPicPr>
        <xdr:cNvPr id="785" name="Picture 784"/>
        <xdr:cNvPicPr>
          <a:picLocks noChangeAspect="1" noChangeArrowheads="1"/>
        </xdr:cNvPicPr>
      </xdr:nvPicPr>
      <xdr:blipFill>
        <a:blip xmlns:r="http://schemas.openxmlformats.org/officeDocument/2006/relationships" r:embed="rId784">
          <a:extLst>
            <a:ext uri="{28A0092B-C50C-407E-A947-70E740481C1C}">
              <a14:useLocalDpi xmlns:a14="http://schemas.microsoft.com/office/drawing/2010/main" val="0"/>
            </a:ext>
          </a:extLst>
        </a:blip>
        <a:srcRect/>
        <a:stretch>
          <a:fillRect/>
        </a:stretch>
      </xdr:blipFill>
      <xdr:spPr bwMode="auto">
        <a:xfrm>
          <a:off x="1228725" y="147722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786</xdr:row>
      <xdr:rowOff>19050</xdr:rowOff>
    </xdr:from>
    <xdr:to>
      <xdr:col>2</xdr:col>
      <xdr:colOff>1733550</xdr:colOff>
      <xdr:row>786</xdr:row>
      <xdr:rowOff>1666875</xdr:rowOff>
    </xdr:to>
    <xdr:pic>
      <xdr:nvPicPr>
        <xdr:cNvPr id="786" name="Picture 785"/>
        <xdr:cNvPicPr>
          <a:picLocks noChangeAspect="1" noChangeArrowheads="1"/>
        </xdr:cNvPicPr>
      </xdr:nvPicPr>
      <xdr:blipFill>
        <a:blip xmlns:r="http://schemas.openxmlformats.org/officeDocument/2006/relationships" r:embed="rId785">
          <a:extLst>
            <a:ext uri="{28A0092B-C50C-407E-A947-70E740481C1C}">
              <a14:useLocalDpi xmlns:a14="http://schemas.microsoft.com/office/drawing/2010/main" val="0"/>
            </a:ext>
          </a:extLst>
        </a:blip>
        <a:srcRect/>
        <a:stretch>
          <a:fillRect/>
        </a:stretch>
      </xdr:blipFill>
      <xdr:spPr bwMode="auto">
        <a:xfrm>
          <a:off x="1228725" y="1479137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787</xdr:row>
      <xdr:rowOff>19050</xdr:rowOff>
    </xdr:from>
    <xdr:to>
      <xdr:col>2</xdr:col>
      <xdr:colOff>1733550</xdr:colOff>
      <xdr:row>787</xdr:row>
      <xdr:rowOff>1666875</xdr:rowOff>
    </xdr:to>
    <xdr:pic>
      <xdr:nvPicPr>
        <xdr:cNvPr id="787" name="Picture 786"/>
        <xdr:cNvPicPr>
          <a:picLocks noChangeAspect="1" noChangeArrowheads="1"/>
        </xdr:cNvPicPr>
      </xdr:nvPicPr>
      <xdr:blipFill>
        <a:blip xmlns:r="http://schemas.openxmlformats.org/officeDocument/2006/relationships" r:embed="rId786">
          <a:extLst>
            <a:ext uri="{28A0092B-C50C-407E-A947-70E740481C1C}">
              <a14:useLocalDpi xmlns:a14="http://schemas.microsoft.com/office/drawing/2010/main" val="0"/>
            </a:ext>
          </a:extLst>
        </a:blip>
        <a:srcRect/>
        <a:stretch>
          <a:fillRect/>
        </a:stretch>
      </xdr:blipFill>
      <xdr:spPr bwMode="auto">
        <a:xfrm>
          <a:off x="1228725" y="1481051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788</xdr:row>
      <xdr:rowOff>9525</xdr:rowOff>
    </xdr:from>
    <xdr:to>
      <xdr:col>2</xdr:col>
      <xdr:colOff>1733550</xdr:colOff>
      <xdr:row>788</xdr:row>
      <xdr:rowOff>1524000</xdr:rowOff>
    </xdr:to>
    <xdr:pic>
      <xdr:nvPicPr>
        <xdr:cNvPr id="788" name="Picture 787"/>
        <xdr:cNvPicPr>
          <a:picLocks noChangeAspect="1" noChangeArrowheads="1"/>
        </xdr:cNvPicPr>
      </xdr:nvPicPr>
      <xdr:blipFill>
        <a:blip xmlns:r="http://schemas.openxmlformats.org/officeDocument/2006/relationships" r:embed="rId787">
          <a:extLst>
            <a:ext uri="{28A0092B-C50C-407E-A947-70E740481C1C}">
              <a14:useLocalDpi xmlns:a14="http://schemas.microsoft.com/office/drawing/2010/main" val="0"/>
            </a:ext>
          </a:extLst>
        </a:blip>
        <a:srcRect/>
        <a:stretch>
          <a:fillRect/>
        </a:stretch>
      </xdr:blipFill>
      <xdr:spPr bwMode="auto">
        <a:xfrm>
          <a:off x="1228725" y="1482956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789</xdr:row>
      <xdr:rowOff>19050</xdr:rowOff>
    </xdr:from>
    <xdr:to>
      <xdr:col>2</xdr:col>
      <xdr:colOff>1733550</xdr:colOff>
      <xdr:row>789</xdr:row>
      <xdr:rowOff>1666875</xdr:rowOff>
    </xdr:to>
    <xdr:pic>
      <xdr:nvPicPr>
        <xdr:cNvPr id="789" name="Picture 788"/>
        <xdr:cNvPicPr>
          <a:picLocks noChangeAspect="1" noChangeArrowheads="1"/>
        </xdr:cNvPicPr>
      </xdr:nvPicPr>
      <xdr:blipFill>
        <a:blip xmlns:r="http://schemas.openxmlformats.org/officeDocument/2006/relationships" r:embed="rId788">
          <a:extLst>
            <a:ext uri="{28A0092B-C50C-407E-A947-70E740481C1C}">
              <a14:useLocalDpi xmlns:a14="http://schemas.microsoft.com/office/drawing/2010/main" val="0"/>
            </a:ext>
          </a:extLst>
        </a:blip>
        <a:srcRect/>
        <a:stretch>
          <a:fillRect/>
        </a:stretch>
      </xdr:blipFill>
      <xdr:spPr bwMode="auto">
        <a:xfrm>
          <a:off x="1228725" y="1484718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790</xdr:row>
      <xdr:rowOff>19050</xdr:rowOff>
    </xdr:from>
    <xdr:to>
      <xdr:col>2</xdr:col>
      <xdr:colOff>1733550</xdr:colOff>
      <xdr:row>790</xdr:row>
      <xdr:rowOff>1666875</xdr:rowOff>
    </xdr:to>
    <xdr:pic>
      <xdr:nvPicPr>
        <xdr:cNvPr id="790" name="Picture 789"/>
        <xdr:cNvPicPr>
          <a:picLocks noChangeAspect="1" noChangeArrowheads="1"/>
        </xdr:cNvPicPr>
      </xdr:nvPicPr>
      <xdr:blipFill>
        <a:blip xmlns:r="http://schemas.openxmlformats.org/officeDocument/2006/relationships" r:embed="rId789">
          <a:extLst>
            <a:ext uri="{28A0092B-C50C-407E-A947-70E740481C1C}">
              <a14:useLocalDpi xmlns:a14="http://schemas.microsoft.com/office/drawing/2010/main" val="0"/>
            </a:ext>
          </a:extLst>
        </a:blip>
        <a:srcRect/>
        <a:stretch>
          <a:fillRect/>
        </a:stretch>
      </xdr:blipFill>
      <xdr:spPr bwMode="auto">
        <a:xfrm>
          <a:off x="1228725" y="1486633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791</xdr:row>
      <xdr:rowOff>19050</xdr:rowOff>
    </xdr:from>
    <xdr:to>
      <xdr:col>2</xdr:col>
      <xdr:colOff>1733550</xdr:colOff>
      <xdr:row>791</xdr:row>
      <xdr:rowOff>1666875</xdr:rowOff>
    </xdr:to>
    <xdr:pic>
      <xdr:nvPicPr>
        <xdr:cNvPr id="791" name="Picture 790"/>
        <xdr:cNvPicPr>
          <a:picLocks noChangeAspect="1" noChangeArrowheads="1"/>
        </xdr:cNvPicPr>
      </xdr:nvPicPr>
      <xdr:blipFill>
        <a:blip xmlns:r="http://schemas.openxmlformats.org/officeDocument/2006/relationships" r:embed="rId790">
          <a:extLst>
            <a:ext uri="{28A0092B-C50C-407E-A947-70E740481C1C}">
              <a14:useLocalDpi xmlns:a14="http://schemas.microsoft.com/office/drawing/2010/main" val="0"/>
            </a:ext>
          </a:extLst>
        </a:blip>
        <a:srcRect/>
        <a:stretch>
          <a:fillRect/>
        </a:stretch>
      </xdr:blipFill>
      <xdr:spPr bwMode="auto">
        <a:xfrm>
          <a:off x="1228725" y="1488547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792</xdr:row>
      <xdr:rowOff>19050</xdr:rowOff>
    </xdr:from>
    <xdr:to>
      <xdr:col>2</xdr:col>
      <xdr:colOff>1733550</xdr:colOff>
      <xdr:row>792</xdr:row>
      <xdr:rowOff>1666875</xdr:rowOff>
    </xdr:to>
    <xdr:pic>
      <xdr:nvPicPr>
        <xdr:cNvPr id="792" name="Picture 791"/>
        <xdr:cNvPicPr>
          <a:picLocks noChangeAspect="1" noChangeArrowheads="1"/>
        </xdr:cNvPicPr>
      </xdr:nvPicPr>
      <xdr:blipFill>
        <a:blip xmlns:r="http://schemas.openxmlformats.org/officeDocument/2006/relationships" r:embed="rId791">
          <a:extLst>
            <a:ext uri="{28A0092B-C50C-407E-A947-70E740481C1C}">
              <a14:useLocalDpi xmlns:a14="http://schemas.microsoft.com/office/drawing/2010/main" val="0"/>
            </a:ext>
          </a:extLst>
        </a:blip>
        <a:srcRect/>
        <a:stretch>
          <a:fillRect/>
        </a:stretch>
      </xdr:blipFill>
      <xdr:spPr bwMode="auto">
        <a:xfrm>
          <a:off x="1228725" y="1490462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793</xdr:row>
      <xdr:rowOff>19050</xdr:rowOff>
    </xdr:from>
    <xdr:to>
      <xdr:col>2</xdr:col>
      <xdr:colOff>1733550</xdr:colOff>
      <xdr:row>793</xdr:row>
      <xdr:rowOff>1666875</xdr:rowOff>
    </xdr:to>
    <xdr:pic>
      <xdr:nvPicPr>
        <xdr:cNvPr id="793" name="Picture 792"/>
        <xdr:cNvPicPr>
          <a:picLocks noChangeAspect="1" noChangeArrowheads="1"/>
        </xdr:cNvPicPr>
      </xdr:nvPicPr>
      <xdr:blipFill>
        <a:blip xmlns:r="http://schemas.openxmlformats.org/officeDocument/2006/relationships" r:embed="rId792">
          <a:extLst>
            <a:ext uri="{28A0092B-C50C-407E-A947-70E740481C1C}">
              <a14:useLocalDpi xmlns:a14="http://schemas.microsoft.com/office/drawing/2010/main" val="0"/>
            </a:ext>
          </a:extLst>
        </a:blip>
        <a:srcRect/>
        <a:stretch>
          <a:fillRect/>
        </a:stretch>
      </xdr:blipFill>
      <xdr:spPr bwMode="auto">
        <a:xfrm>
          <a:off x="1228725" y="1492377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794</xdr:row>
      <xdr:rowOff>19050</xdr:rowOff>
    </xdr:from>
    <xdr:to>
      <xdr:col>2</xdr:col>
      <xdr:colOff>1733550</xdr:colOff>
      <xdr:row>794</xdr:row>
      <xdr:rowOff>1666875</xdr:rowOff>
    </xdr:to>
    <xdr:pic>
      <xdr:nvPicPr>
        <xdr:cNvPr id="794" name="Picture 793"/>
        <xdr:cNvPicPr>
          <a:picLocks noChangeAspect="1" noChangeArrowheads="1"/>
        </xdr:cNvPicPr>
      </xdr:nvPicPr>
      <xdr:blipFill>
        <a:blip xmlns:r="http://schemas.openxmlformats.org/officeDocument/2006/relationships" r:embed="rId793">
          <a:extLst>
            <a:ext uri="{28A0092B-C50C-407E-A947-70E740481C1C}">
              <a14:useLocalDpi xmlns:a14="http://schemas.microsoft.com/office/drawing/2010/main" val="0"/>
            </a:ext>
          </a:extLst>
        </a:blip>
        <a:srcRect/>
        <a:stretch>
          <a:fillRect/>
        </a:stretch>
      </xdr:blipFill>
      <xdr:spPr bwMode="auto">
        <a:xfrm>
          <a:off x="1228725" y="1494291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795</xdr:row>
      <xdr:rowOff>19050</xdr:rowOff>
    </xdr:from>
    <xdr:to>
      <xdr:col>2</xdr:col>
      <xdr:colOff>1733550</xdr:colOff>
      <xdr:row>795</xdr:row>
      <xdr:rowOff>1666875</xdr:rowOff>
    </xdr:to>
    <xdr:pic>
      <xdr:nvPicPr>
        <xdr:cNvPr id="795" name="Picture 794"/>
        <xdr:cNvPicPr>
          <a:picLocks noChangeAspect="1" noChangeArrowheads="1"/>
        </xdr:cNvPicPr>
      </xdr:nvPicPr>
      <xdr:blipFill>
        <a:blip xmlns:r="http://schemas.openxmlformats.org/officeDocument/2006/relationships" r:embed="rId794">
          <a:extLst>
            <a:ext uri="{28A0092B-C50C-407E-A947-70E740481C1C}">
              <a14:useLocalDpi xmlns:a14="http://schemas.microsoft.com/office/drawing/2010/main" val="0"/>
            </a:ext>
          </a:extLst>
        </a:blip>
        <a:srcRect/>
        <a:stretch>
          <a:fillRect/>
        </a:stretch>
      </xdr:blipFill>
      <xdr:spPr bwMode="auto">
        <a:xfrm>
          <a:off x="1228725" y="1496206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796</xdr:row>
      <xdr:rowOff>9525</xdr:rowOff>
    </xdr:from>
    <xdr:to>
      <xdr:col>2</xdr:col>
      <xdr:colOff>1733550</xdr:colOff>
      <xdr:row>796</xdr:row>
      <xdr:rowOff>1524000</xdr:rowOff>
    </xdr:to>
    <xdr:pic>
      <xdr:nvPicPr>
        <xdr:cNvPr id="796" name="Picture 795"/>
        <xdr:cNvPicPr>
          <a:picLocks noChangeAspect="1" noChangeArrowheads="1"/>
        </xdr:cNvPicPr>
      </xdr:nvPicPr>
      <xdr:blipFill>
        <a:blip xmlns:r="http://schemas.openxmlformats.org/officeDocument/2006/relationships" r:embed="rId795">
          <a:extLst>
            <a:ext uri="{28A0092B-C50C-407E-A947-70E740481C1C}">
              <a14:useLocalDpi xmlns:a14="http://schemas.microsoft.com/office/drawing/2010/main" val="0"/>
            </a:ext>
          </a:extLst>
        </a:blip>
        <a:srcRect/>
        <a:stretch>
          <a:fillRect/>
        </a:stretch>
      </xdr:blipFill>
      <xdr:spPr bwMode="auto">
        <a:xfrm>
          <a:off x="1228725" y="1498111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797</xdr:row>
      <xdr:rowOff>9525</xdr:rowOff>
    </xdr:from>
    <xdr:to>
      <xdr:col>2</xdr:col>
      <xdr:colOff>1733550</xdr:colOff>
      <xdr:row>797</xdr:row>
      <xdr:rowOff>1524000</xdr:rowOff>
    </xdr:to>
    <xdr:pic>
      <xdr:nvPicPr>
        <xdr:cNvPr id="797" name="Picture 796"/>
        <xdr:cNvPicPr>
          <a:picLocks noChangeAspect="1" noChangeArrowheads="1"/>
        </xdr:cNvPicPr>
      </xdr:nvPicPr>
      <xdr:blipFill>
        <a:blip xmlns:r="http://schemas.openxmlformats.org/officeDocument/2006/relationships" r:embed="rId796">
          <a:extLst>
            <a:ext uri="{28A0092B-C50C-407E-A947-70E740481C1C}">
              <a14:useLocalDpi xmlns:a14="http://schemas.microsoft.com/office/drawing/2010/main" val="0"/>
            </a:ext>
          </a:extLst>
        </a:blip>
        <a:srcRect/>
        <a:stretch>
          <a:fillRect/>
        </a:stretch>
      </xdr:blipFill>
      <xdr:spPr bwMode="auto">
        <a:xfrm>
          <a:off x="1228725" y="14998636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798</xdr:row>
      <xdr:rowOff>19050</xdr:rowOff>
    </xdr:from>
    <xdr:to>
      <xdr:col>2</xdr:col>
      <xdr:colOff>1733550</xdr:colOff>
      <xdr:row>798</xdr:row>
      <xdr:rowOff>1666875</xdr:rowOff>
    </xdr:to>
    <xdr:pic>
      <xdr:nvPicPr>
        <xdr:cNvPr id="798" name="Picture 797"/>
        <xdr:cNvPicPr>
          <a:picLocks noChangeAspect="1" noChangeArrowheads="1"/>
        </xdr:cNvPicPr>
      </xdr:nvPicPr>
      <xdr:blipFill>
        <a:blip xmlns:r="http://schemas.openxmlformats.org/officeDocument/2006/relationships" r:embed="rId797">
          <a:extLst>
            <a:ext uri="{28A0092B-C50C-407E-A947-70E740481C1C}">
              <a14:useLocalDpi xmlns:a14="http://schemas.microsoft.com/office/drawing/2010/main" val="0"/>
            </a:ext>
          </a:extLst>
        </a:blip>
        <a:srcRect/>
        <a:stretch>
          <a:fillRect/>
        </a:stretch>
      </xdr:blipFill>
      <xdr:spPr bwMode="auto">
        <a:xfrm>
          <a:off x="1228725" y="1501625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799</xdr:row>
      <xdr:rowOff>19050</xdr:rowOff>
    </xdr:from>
    <xdr:to>
      <xdr:col>2</xdr:col>
      <xdr:colOff>1733550</xdr:colOff>
      <xdr:row>799</xdr:row>
      <xdr:rowOff>1666875</xdr:rowOff>
    </xdr:to>
    <xdr:pic>
      <xdr:nvPicPr>
        <xdr:cNvPr id="799" name="Picture 798"/>
        <xdr:cNvPicPr>
          <a:picLocks noChangeAspect="1" noChangeArrowheads="1"/>
        </xdr:cNvPicPr>
      </xdr:nvPicPr>
      <xdr:blipFill>
        <a:blip xmlns:r="http://schemas.openxmlformats.org/officeDocument/2006/relationships" r:embed="rId798">
          <a:extLst>
            <a:ext uri="{28A0092B-C50C-407E-A947-70E740481C1C}">
              <a14:useLocalDpi xmlns:a14="http://schemas.microsoft.com/office/drawing/2010/main" val="0"/>
            </a:ext>
          </a:extLst>
        </a:blip>
        <a:srcRect/>
        <a:stretch>
          <a:fillRect/>
        </a:stretch>
      </xdr:blipFill>
      <xdr:spPr bwMode="auto">
        <a:xfrm>
          <a:off x="1228725" y="150354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800</xdr:row>
      <xdr:rowOff>19050</xdr:rowOff>
    </xdr:from>
    <xdr:to>
      <xdr:col>2</xdr:col>
      <xdr:colOff>1733550</xdr:colOff>
      <xdr:row>800</xdr:row>
      <xdr:rowOff>1666875</xdr:rowOff>
    </xdr:to>
    <xdr:pic>
      <xdr:nvPicPr>
        <xdr:cNvPr id="800" name="Picture 799"/>
        <xdr:cNvPicPr>
          <a:picLocks noChangeAspect="1" noChangeArrowheads="1"/>
        </xdr:cNvPicPr>
      </xdr:nvPicPr>
      <xdr:blipFill>
        <a:blip xmlns:r="http://schemas.openxmlformats.org/officeDocument/2006/relationships" r:embed="rId799">
          <a:extLst>
            <a:ext uri="{28A0092B-C50C-407E-A947-70E740481C1C}">
              <a14:useLocalDpi xmlns:a14="http://schemas.microsoft.com/office/drawing/2010/main" val="0"/>
            </a:ext>
          </a:extLst>
        </a:blip>
        <a:srcRect/>
        <a:stretch>
          <a:fillRect/>
        </a:stretch>
      </xdr:blipFill>
      <xdr:spPr bwMode="auto">
        <a:xfrm>
          <a:off x="1228725" y="150545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801</xdr:row>
      <xdr:rowOff>19050</xdr:rowOff>
    </xdr:from>
    <xdr:to>
      <xdr:col>2</xdr:col>
      <xdr:colOff>1733550</xdr:colOff>
      <xdr:row>801</xdr:row>
      <xdr:rowOff>1666875</xdr:rowOff>
    </xdr:to>
    <xdr:pic>
      <xdr:nvPicPr>
        <xdr:cNvPr id="801" name="Picture 800"/>
        <xdr:cNvPicPr>
          <a:picLocks noChangeAspect="1" noChangeArrowheads="1"/>
        </xdr:cNvPicPr>
      </xdr:nvPicPr>
      <xdr:blipFill>
        <a:blip xmlns:r="http://schemas.openxmlformats.org/officeDocument/2006/relationships" r:embed="rId800">
          <a:extLst>
            <a:ext uri="{28A0092B-C50C-407E-A947-70E740481C1C}">
              <a14:useLocalDpi xmlns:a14="http://schemas.microsoft.com/office/drawing/2010/main" val="0"/>
            </a:ext>
          </a:extLst>
        </a:blip>
        <a:srcRect/>
        <a:stretch>
          <a:fillRect/>
        </a:stretch>
      </xdr:blipFill>
      <xdr:spPr bwMode="auto">
        <a:xfrm>
          <a:off x="1228725" y="1507369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802</xdr:row>
      <xdr:rowOff>19050</xdr:rowOff>
    </xdr:from>
    <xdr:to>
      <xdr:col>2</xdr:col>
      <xdr:colOff>1733550</xdr:colOff>
      <xdr:row>802</xdr:row>
      <xdr:rowOff>1666875</xdr:rowOff>
    </xdr:to>
    <xdr:pic>
      <xdr:nvPicPr>
        <xdr:cNvPr id="802" name="Picture 801"/>
        <xdr:cNvPicPr>
          <a:picLocks noChangeAspect="1" noChangeArrowheads="1"/>
        </xdr:cNvPicPr>
      </xdr:nvPicPr>
      <xdr:blipFill>
        <a:blip xmlns:r="http://schemas.openxmlformats.org/officeDocument/2006/relationships" r:embed="rId801">
          <a:extLst>
            <a:ext uri="{28A0092B-C50C-407E-A947-70E740481C1C}">
              <a14:useLocalDpi xmlns:a14="http://schemas.microsoft.com/office/drawing/2010/main" val="0"/>
            </a:ext>
          </a:extLst>
        </a:blip>
        <a:srcRect/>
        <a:stretch>
          <a:fillRect/>
        </a:stretch>
      </xdr:blipFill>
      <xdr:spPr bwMode="auto">
        <a:xfrm>
          <a:off x="1228725" y="1509283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803</xdr:row>
      <xdr:rowOff>19050</xdr:rowOff>
    </xdr:from>
    <xdr:to>
      <xdr:col>2</xdr:col>
      <xdr:colOff>1733550</xdr:colOff>
      <xdr:row>803</xdr:row>
      <xdr:rowOff>1666875</xdr:rowOff>
    </xdr:to>
    <xdr:pic>
      <xdr:nvPicPr>
        <xdr:cNvPr id="803" name="Picture 802"/>
        <xdr:cNvPicPr>
          <a:picLocks noChangeAspect="1" noChangeArrowheads="1"/>
        </xdr:cNvPicPr>
      </xdr:nvPicPr>
      <xdr:blipFill>
        <a:blip xmlns:r="http://schemas.openxmlformats.org/officeDocument/2006/relationships" r:embed="rId802">
          <a:extLst>
            <a:ext uri="{28A0092B-C50C-407E-A947-70E740481C1C}">
              <a14:useLocalDpi xmlns:a14="http://schemas.microsoft.com/office/drawing/2010/main" val="0"/>
            </a:ext>
          </a:extLst>
        </a:blip>
        <a:srcRect/>
        <a:stretch>
          <a:fillRect/>
        </a:stretch>
      </xdr:blipFill>
      <xdr:spPr bwMode="auto">
        <a:xfrm>
          <a:off x="1228725" y="1511198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804</xdr:row>
      <xdr:rowOff>19050</xdr:rowOff>
    </xdr:from>
    <xdr:to>
      <xdr:col>2</xdr:col>
      <xdr:colOff>1733550</xdr:colOff>
      <xdr:row>804</xdr:row>
      <xdr:rowOff>1666875</xdr:rowOff>
    </xdr:to>
    <xdr:pic>
      <xdr:nvPicPr>
        <xdr:cNvPr id="804" name="Picture 803"/>
        <xdr:cNvPicPr>
          <a:picLocks noChangeAspect="1" noChangeArrowheads="1"/>
        </xdr:cNvPicPr>
      </xdr:nvPicPr>
      <xdr:blipFill>
        <a:blip xmlns:r="http://schemas.openxmlformats.org/officeDocument/2006/relationships" r:embed="rId803">
          <a:extLst>
            <a:ext uri="{28A0092B-C50C-407E-A947-70E740481C1C}">
              <a14:useLocalDpi xmlns:a14="http://schemas.microsoft.com/office/drawing/2010/main" val="0"/>
            </a:ext>
          </a:extLst>
        </a:blip>
        <a:srcRect/>
        <a:stretch>
          <a:fillRect/>
        </a:stretch>
      </xdr:blipFill>
      <xdr:spPr bwMode="auto">
        <a:xfrm>
          <a:off x="1228725" y="1513112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805</xdr:row>
      <xdr:rowOff>19050</xdr:rowOff>
    </xdr:from>
    <xdr:to>
      <xdr:col>2</xdr:col>
      <xdr:colOff>1733550</xdr:colOff>
      <xdr:row>805</xdr:row>
      <xdr:rowOff>1666875</xdr:rowOff>
    </xdr:to>
    <xdr:pic>
      <xdr:nvPicPr>
        <xdr:cNvPr id="805" name="Picture 804"/>
        <xdr:cNvPicPr>
          <a:picLocks noChangeAspect="1" noChangeArrowheads="1"/>
        </xdr:cNvPicPr>
      </xdr:nvPicPr>
      <xdr:blipFill>
        <a:blip xmlns:r="http://schemas.openxmlformats.org/officeDocument/2006/relationships" r:embed="rId804">
          <a:extLst>
            <a:ext uri="{28A0092B-C50C-407E-A947-70E740481C1C}">
              <a14:useLocalDpi xmlns:a14="http://schemas.microsoft.com/office/drawing/2010/main" val="0"/>
            </a:ext>
          </a:extLst>
        </a:blip>
        <a:srcRect/>
        <a:stretch>
          <a:fillRect/>
        </a:stretch>
      </xdr:blipFill>
      <xdr:spPr bwMode="auto">
        <a:xfrm>
          <a:off x="1228725" y="1515027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806</xdr:row>
      <xdr:rowOff>19050</xdr:rowOff>
    </xdr:from>
    <xdr:to>
      <xdr:col>2</xdr:col>
      <xdr:colOff>1733550</xdr:colOff>
      <xdr:row>806</xdr:row>
      <xdr:rowOff>1666875</xdr:rowOff>
    </xdr:to>
    <xdr:pic>
      <xdr:nvPicPr>
        <xdr:cNvPr id="806" name="Picture 805"/>
        <xdr:cNvPicPr>
          <a:picLocks noChangeAspect="1" noChangeArrowheads="1"/>
        </xdr:cNvPicPr>
      </xdr:nvPicPr>
      <xdr:blipFill>
        <a:blip xmlns:r="http://schemas.openxmlformats.org/officeDocument/2006/relationships" r:embed="rId805">
          <a:extLst>
            <a:ext uri="{28A0092B-C50C-407E-A947-70E740481C1C}">
              <a14:useLocalDpi xmlns:a14="http://schemas.microsoft.com/office/drawing/2010/main" val="0"/>
            </a:ext>
          </a:extLst>
        </a:blip>
        <a:srcRect/>
        <a:stretch>
          <a:fillRect/>
        </a:stretch>
      </xdr:blipFill>
      <xdr:spPr bwMode="auto">
        <a:xfrm>
          <a:off x="1228725" y="1516941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807</xdr:row>
      <xdr:rowOff>19050</xdr:rowOff>
    </xdr:from>
    <xdr:to>
      <xdr:col>2</xdr:col>
      <xdr:colOff>1733550</xdr:colOff>
      <xdr:row>807</xdr:row>
      <xdr:rowOff>1666875</xdr:rowOff>
    </xdr:to>
    <xdr:pic>
      <xdr:nvPicPr>
        <xdr:cNvPr id="807" name="Picture 806"/>
        <xdr:cNvPicPr>
          <a:picLocks noChangeAspect="1" noChangeArrowheads="1"/>
        </xdr:cNvPicPr>
      </xdr:nvPicPr>
      <xdr:blipFill>
        <a:blip xmlns:r="http://schemas.openxmlformats.org/officeDocument/2006/relationships" r:embed="rId806">
          <a:extLst>
            <a:ext uri="{28A0092B-C50C-407E-A947-70E740481C1C}">
              <a14:useLocalDpi xmlns:a14="http://schemas.microsoft.com/office/drawing/2010/main" val="0"/>
            </a:ext>
          </a:extLst>
        </a:blip>
        <a:srcRect/>
        <a:stretch>
          <a:fillRect/>
        </a:stretch>
      </xdr:blipFill>
      <xdr:spPr bwMode="auto">
        <a:xfrm>
          <a:off x="1228725" y="1518856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808</xdr:row>
      <xdr:rowOff>19050</xdr:rowOff>
    </xdr:from>
    <xdr:to>
      <xdr:col>2</xdr:col>
      <xdr:colOff>1733550</xdr:colOff>
      <xdr:row>808</xdr:row>
      <xdr:rowOff>1666875</xdr:rowOff>
    </xdr:to>
    <xdr:pic>
      <xdr:nvPicPr>
        <xdr:cNvPr id="808" name="Picture 807"/>
        <xdr:cNvPicPr>
          <a:picLocks noChangeAspect="1" noChangeArrowheads="1"/>
        </xdr:cNvPicPr>
      </xdr:nvPicPr>
      <xdr:blipFill>
        <a:blip xmlns:r="http://schemas.openxmlformats.org/officeDocument/2006/relationships" r:embed="rId807">
          <a:extLst>
            <a:ext uri="{28A0092B-C50C-407E-A947-70E740481C1C}">
              <a14:useLocalDpi xmlns:a14="http://schemas.microsoft.com/office/drawing/2010/main" val="0"/>
            </a:ext>
          </a:extLst>
        </a:blip>
        <a:srcRect/>
        <a:stretch>
          <a:fillRect/>
        </a:stretch>
      </xdr:blipFill>
      <xdr:spPr bwMode="auto">
        <a:xfrm>
          <a:off x="1228725" y="1520771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809</xdr:row>
      <xdr:rowOff>19050</xdr:rowOff>
    </xdr:from>
    <xdr:to>
      <xdr:col>2</xdr:col>
      <xdr:colOff>1733550</xdr:colOff>
      <xdr:row>809</xdr:row>
      <xdr:rowOff>1666875</xdr:rowOff>
    </xdr:to>
    <xdr:pic>
      <xdr:nvPicPr>
        <xdr:cNvPr id="809" name="Picture 808"/>
        <xdr:cNvPicPr>
          <a:picLocks noChangeAspect="1" noChangeArrowheads="1"/>
        </xdr:cNvPicPr>
      </xdr:nvPicPr>
      <xdr:blipFill>
        <a:blip xmlns:r="http://schemas.openxmlformats.org/officeDocument/2006/relationships" r:embed="rId808">
          <a:extLst>
            <a:ext uri="{28A0092B-C50C-407E-A947-70E740481C1C}">
              <a14:useLocalDpi xmlns:a14="http://schemas.microsoft.com/office/drawing/2010/main" val="0"/>
            </a:ext>
          </a:extLst>
        </a:blip>
        <a:srcRect/>
        <a:stretch>
          <a:fillRect/>
        </a:stretch>
      </xdr:blipFill>
      <xdr:spPr bwMode="auto">
        <a:xfrm>
          <a:off x="1228725" y="1522685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810</xdr:row>
      <xdr:rowOff>19050</xdr:rowOff>
    </xdr:from>
    <xdr:to>
      <xdr:col>2</xdr:col>
      <xdr:colOff>1733550</xdr:colOff>
      <xdr:row>810</xdr:row>
      <xdr:rowOff>1666875</xdr:rowOff>
    </xdr:to>
    <xdr:pic>
      <xdr:nvPicPr>
        <xdr:cNvPr id="810" name="Picture 809"/>
        <xdr:cNvPicPr>
          <a:picLocks noChangeAspect="1" noChangeArrowheads="1"/>
        </xdr:cNvPicPr>
      </xdr:nvPicPr>
      <xdr:blipFill>
        <a:blip xmlns:r="http://schemas.openxmlformats.org/officeDocument/2006/relationships" r:embed="rId809">
          <a:extLst>
            <a:ext uri="{28A0092B-C50C-407E-A947-70E740481C1C}">
              <a14:useLocalDpi xmlns:a14="http://schemas.microsoft.com/office/drawing/2010/main" val="0"/>
            </a:ext>
          </a:extLst>
        </a:blip>
        <a:srcRect/>
        <a:stretch>
          <a:fillRect/>
        </a:stretch>
      </xdr:blipFill>
      <xdr:spPr bwMode="auto">
        <a:xfrm>
          <a:off x="1228725" y="1524600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811</xdr:row>
      <xdr:rowOff>19050</xdr:rowOff>
    </xdr:from>
    <xdr:to>
      <xdr:col>2</xdr:col>
      <xdr:colOff>1733550</xdr:colOff>
      <xdr:row>811</xdr:row>
      <xdr:rowOff>1666875</xdr:rowOff>
    </xdr:to>
    <xdr:pic>
      <xdr:nvPicPr>
        <xdr:cNvPr id="811" name="Picture 810"/>
        <xdr:cNvPicPr>
          <a:picLocks noChangeAspect="1" noChangeArrowheads="1"/>
        </xdr:cNvPicPr>
      </xdr:nvPicPr>
      <xdr:blipFill>
        <a:blip xmlns:r="http://schemas.openxmlformats.org/officeDocument/2006/relationships" r:embed="rId810">
          <a:extLst>
            <a:ext uri="{28A0092B-C50C-407E-A947-70E740481C1C}">
              <a14:useLocalDpi xmlns:a14="http://schemas.microsoft.com/office/drawing/2010/main" val="0"/>
            </a:ext>
          </a:extLst>
        </a:blip>
        <a:srcRect/>
        <a:stretch>
          <a:fillRect/>
        </a:stretch>
      </xdr:blipFill>
      <xdr:spPr bwMode="auto">
        <a:xfrm>
          <a:off x="1228725" y="1526514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812</xdr:row>
      <xdr:rowOff>19050</xdr:rowOff>
    </xdr:from>
    <xdr:to>
      <xdr:col>2</xdr:col>
      <xdr:colOff>1733550</xdr:colOff>
      <xdr:row>812</xdr:row>
      <xdr:rowOff>1666875</xdr:rowOff>
    </xdr:to>
    <xdr:pic>
      <xdr:nvPicPr>
        <xdr:cNvPr id="812" name="Picture 811"/>
        <xdr:cNvPicPr>
          <a:picLocks noChangeAspect="1" noChangeArrowheads="1"/>
        </xdr:cNvPicPr>
      </xdr:nvPicPr>
      <xdr:blipFill>
        <a:blip xmlns:r="http://schemas.openxmlformats.org/officeDocument/2006/relationships" r:embed="rId811">
          <a:extLst>
            <a:ext uri="{28A0092B-C50C-407E-A947-70E740481C1C}">
              <a14:useLocalDpi xmlns:a14="http://schemas.microsoft.com/office/drawing/2010/main" val="0"/>
            </a:ext>
          </a:extLst>
        </a:blip>
        <a:srcRect/>
        <a:stretch>
          <a:fillRect/>
        </a:stretch>
      </xdr:blipFill>
      <xdr:spPr bwMode="auto">
        <a:xfrm>
          <a:off x="1228725" y="1528429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813</xdr:row>
      <xdr:rowOff>19050</xdr:rowOff>
    </xdr:from>
    <xdr:to>
      <xdr:col>2</xdr:col>
      <xdr:colOff>1733550</xdr:colOff>
      <xdr:row>813</xdr:row>
      <xdr:rowOff>1666875</xdr:rowOff>
    </xdr:to>
    <xdr:pic>
      <xdr:nvPicPr>
        <xdr:cNvPr id="813" name="Picture 812"/>
        <xdr:cNvPicPr>
          <a:picLocks noChangeAspect="1" noChangeArrowheads="1"/>
        </xdr:cNvPicPr>
      </xdr:nvPicPr>
      <xdr:blipFill>
        <a:blip xmlns:r="http://schemas.openxmlformats.org/officeDocument/2006/relationships" r:embed="rId812">
          <a:extLst>
            <a:ext uri="{28A0092B-C50C-407E-A947-70E740481C1C}">
              <a14:useLocalDpi xmlns:a14="http://schemas.microsoft.com/office/drawing/2010/main" val="0"/>
            </a:ext>
          </a:extLst>
        </a:blip>
        <a:srcRect/>
        <a:stretch>
          <a:fillRect/>
        </a:stretch>
      </xdr:blipFill>
      <xdr:spPr bwMode="auto">
        <a:xfrm>
          <a:off x="1228725" y="1530343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814</xdr:row>
      <xdr:rowOff>19050</xdr:rowOff>
    </xdr:from>
    <xdr:to>
      <xdr:col>2</xdr:col>
      <xdr:colOff>1733550</xdr:colOff>
      <xdr:row>814</xdr:row>
      <xdr:rowOff>1666875</xdr:rowOff>
    </xdr:to>
    <xdr:pic>
      <xdr:nvPicPr>
        <xdr:cNvPr id="814" name="Picture 813"/>
        <xdr:cNvPicPr>
          <a:picLocks noChangeAspect="1" noChangeArrowheads="1"/>
        </xdr:cNvPicPr>
      </xdr:nvPicPr>
      <xdr:blipFill>
        <a:blip xmlns:r="http://schemas.openxmlformats.org/officeDocument/2006/relationships" r:embed="rId813">
          <a:extLst>
            <a:ext uri="{28A0092B-C50C-407E-A947-70E740481C1C}">
              <a14:useLocalDpi xmlns:a14="http://schemas.microsoft.com/office/drawing/2010/main" val="0"/>
            </a:ext>
          </a:extLst>
        </a:blip>
        <a:srcRect/>
        <a:stretch>
          <a:fillRect/>
        </a:stretch>
      </xdr:blipFill>
      <xdr:spPr bwMode="auto">
        <a:xfrm>
          <a:off x="1228725" y="1532258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815</xdr:row>
      <xdr:rowOff>19050</xdr:rowOff>
    </xdr:from>
    <xdr:to>
      <xdr:col>2</xdr:col>
      <xdr:colOff>1733550</xdr:colOff>
      <xdr:row>815</xdr:row>
      <xdr:rowOff>1666875</xdr:rowOff>
    </xdr:to>
    <xdr:pic>
      <xdr:nvPicPr>
        <xdr:cNvPr id="815" name="Picture 814"/>
        <xdr:cNvPicPr>
          <a:picLocks noChangeAspect="1" noChangeArrowheads="1"/>
        </xdr:cNvPicPr>
      </xdr:nvPicPr>
      <xdr:blipFill>
        <a:blip xmlns:r="http://schemas.openxmlformats.org/officeDocument/2006/relationships" r:embed="rId814">
          <a:extLst>
            <a:ext uri="{28A0092B-C50C-407E-A947-70E740481C1C}">
              <a14:useLocalDpi xmlns:a14="http://schemas.microsoft.com/office/drawing/2010/main" val="0"/>
            </a:ext>
          </a:extLst>
        </a:blip>
        <a:srcRect/>
        <a:stretch>
          <a:fillRect/>
        </a:stretch>
      </xdr:blipFill>
      <xdr:spPr bwMode="auto">
        <a:xfrm>
          <a:off x="1228725" y="1534172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816</xdr:row>
      <xdr:rowOff>19050</xdr:rowOff>
    </xdr:from>
    <xdr:to>
      <xdr:col>2</xdr:col>
      <xdr:colOff>1733550</xdr:colOff>
      <xdr:row>816</xdr:row>
      <xdr:rowOff>1666875</xdr:rowOff>
    </xdr:to>
    <xdr:pic>
      <xdr:nvPicPr>
        <xdr:cNvPr id="816" name="Picture 815"/>
        <xdr:cNvPicPr>
          <a:picLocks noChangeAspect="1" noChangeArrowheads="1"/>
        </xdr:cNvPicPr>
      </xdr:nvPicPr>
      <xdr:blipFill>
        <a:blip xmlns:r="http://schemas.openxmlformats.org/officeDocument/2006/relationships" r:embed="rId815">
          <a:extLst>
            <a:ext uri="{28A0092B-C50C-407E-A947-70E740481C1C}">
              <a14:useLocalDpi xmlns:a14="http://schemas.microsoft.com/office/drawing/2010/main" val="0"/>
            </a:ext>
          </a:extLst>
        </a:blip>
        <a:srcRect/>
        <a:stretch>
          <a:fillRect/>
        </a:stretch>
      </xdr:blipFill>
      <xdr:spPr bwMode="auto">
        <a:xfrm>
          <a:off x="1228725" y="1536087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817</xdr:row>
      <xdr:rowOff>19050</xdr:rowOff>
    </xdr:from>
    <xdr:to>
      <xdr:col>2</xdr:col>
      <xdr:colOff>1733550</xdr:colOff>
      <xdr:row>817</xdr:row>
      <xdr:rowOff>1666875</xdr:rowOff>
    </xdr:to>
    <xdr:pic>
      <xdr:nvPicPr>
        <xdr:cNvPr id="817" name="Picture 816"/>
        <xdr:cNvPicPr>
          <a:picLocks noChangeAspect="1" noChangeArrowheads="1"/>
        </xdr:cNvPicPr>
      </xdr:nvPicPr>
      <xdr:blipFill>
        <a:blip xmlns:r="http://schemas.openxmlformats.org/officeDocument/2006/relationships" r:embed="rId816">
          <a:extLst>
            <a:ext uri="{28A0092B-C50C-407E-A947-70E740481C1C}">
              <a14:useLocalDpi xmlns:a14="http://schemas.microsoft.com/office/drawing/2010/main" val="0"/>
            </a:ext>
          </a:extLst>
        </a:blip>
        <a:srcRect/>
        <a:stretch>
          <a:fillRect/>
        </a:stretch>
      </xdr:blipFill>
      <xdr:spPr bwMode="auto">
        <a:xfrm>
          <a:off x="1228725" y="153800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818</xdr:row>
      <xdr:rowOff>19050</xdr:rowOff>
    </xdr:from>
    <xdr:to>
      <xdr:col>2</xdr:col>
      <xdr:colOff>1733550</xdr:colOff>
      <xdr:row>818</xdr:row>
      <xdr:rowOff>1666875</xdr:rowOff>
    </xdr:to>
    <xdr:pic>
      <xdr:nvPicPr>
        <xdr:cNvPr id="818" name="Picture 817"/>
        <xdr:cNvPicPr>
          <a:picLocks noChangeAspect="1" noChangeArrowheads="1"/>
        </xdr:cNvPicPr>
      </xdr:nvPicPr>
      <xdr:blipFill>
        <a:blip xmlns:r="http://schemas.openxmlformats.org/officeDocument/2006/relationships" r:embed="rId817">
          <a:extLst>
            <a:ext uri="{28A0092B-C50C-407E-A947-70E740481C1C}">
              <a14:useLocalDpi xmlns:a14="http://schemas.microsoft.com/office/drawing/2010/main" val="0"/>
            </a:ext>
          </a:extLst>
        </a:blip>
        <a:srcRect/>
        <a:stretch>
          <a:fillRect/>
        </a:stretch>
      </xdr:blipFill>
      <xdr:spPr bwMode="auto">
        <a:xfrm>
          <a:off x="1228725" y="1539916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819</xdr:row>
      <xdr:rowOff>19050</xdr:rowOff>
    </xdr:from>
    <xdr:to>
      <xdr:col>2</xdr:col>
      <xdr:colOff>1733550</xdr:colOff>
      <xdr:row>819</xdr:row>
      <xdr:rowOff>1666875</xdr:rowOff>
    </xdr:to>
    <xdr:pic>
      <xdr:nvPicPr>
        <xdr:cNvPr id="819" name="Picture 818"/>
        <xdr:cNvPicPr>
          <a:picLocks noChangeAspect="1" noChangeArrowheads="1"/>
        </xdr:cNvPicPr>
      </xdr:nvPicPr>
      <xdr:blipFill>
        <a:blip xmlns:r="http://schemas.openxmlformats.org/officeDocument/2006/relationships" r:embed="rId818">
          <a:extLst>
            <a:ext uri="{28A0092B-C50C-407E-A947-70E740481C1C}">
              <a14:useLocalDpi xmlns:a14="http://schemas.microsoft.com/office/drawing/2010/main" val="0"/>
            </a:ext>
          </a:extLst>
        </a:blip>
        <a:srcRect/>
        <a:stretch>
          <a:fillRect/>
        </a:stretch>
      </xdr:blipFill>
      <xdr:spPr bwMode="auto">
        <a:xfrm>
          <a:off x="1228725" y="1541830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820</xdr:row>
      <xdr:rowOff>19050</xdr:rowOff>
    </xdr:from>
    <xdr:to>
      <xdr:col>2</xdr:col>
      <xdr:colOff>1733550</xdr:colOff>
      <xdr:row>820</xdr:row>
      <xdr:rowOff>1666875</xdr:rowOff>
    </xdr:to>
    <xdr:pic>
      <xdr:nvPicPr>
        <xdr:cNvPr id="820" name="Picture 819"/>
        <xdr:cNvPicPr>
          <a:picLocks noChangeAspect="1" noChangeArrowheads="1"/>
        </xdr:cNvPicPr>
      </xdr:nvPicPr>
      <xdr:blipFill>
        <a:blip xmlns:r="http://schemas.openxmlformats.org/officeDocument/2006/relationships" r:embed="rId819">
          <a:extLst>
            <a:ext uri="{28A0092B-C50C-407E-A947-70E740481C1C}">
              <a14:useLocalDpi xmlns:a14="http://schemas.microsoft.com/office/drawing/2010/main" val="0"/>
            </a:ext>
          </a:extLst>
        </a:blip>
        <a:srcRect/>
        <a:stretch>
          <a:fillRect/>
        </a:stretch>
      </xdr:blipFill>
      <xdr:spPr bwMode="auto">
        <a:xfrm>
          <a:off x="1228725" y="1543745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821</xdr:row>
      <xdr:rowOff>19050</xdr:rowOff>
    </xdr:from>
    <xdr:to>
      <xdr:col>2</xdr:col>
      <xdr:colOff>1733550</xdr:colOff>
      <xdr:row>821</xdr:row>
      <xdr:rowOff>1666875</xdr:rowOff>
    </xdr:to>
    <xdr:pic>
      <xdr:nvPicPr>
        <xdr:cNvPr id="821" name="Picture 820"/>
        <xdr:cNvPicPr>
          <a:picLocks noChangeAspect="1" noChangeArrowheads="1"/>
        </xdr:cNvPicPr>
      </xdr:nvPicPr>
      <xdr:blipFill>
        <a:blip xmlns:r="http://schemas.openxmlformats.org/officeDocument/2006/relationships" r:embed="rId820">
          <a:extLst>
            <a:ext uri="{28A0092B-C50C-407E-A947-70E740481C1C}">
              <a14:useLocalDpi xmlns:a14="http://schemas.microsoft.com/office/drawing/2010/main" val="0"/>
            </a:ext>
          </a:extLst>
        </a:blip>
        <a:srcRect/>
        <a:stretch>
          <a:fillRect/>
        </a:stretch>
      </xdr:blipFill>
      <xdr:spPr bwMode="auto">
        <a:xfrm>
          <a:off x="1228725" y="1545659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822</xdr:row>
      <xdr:rowOff>19050</xdr:rowOff>
    </xdr:from>
    <xdr:to>
      <xdr:col>2</xdr:col>
      <xdr:colOff>1733550</xdr:colOff>
      <xdr:row>822</xdr:row>
      <xdr:rowOff>1666875</xdr:rowOff>
    </xdr:to>
    <xdr:pic>
      <xdr:nvPicPr>
        <xdr:cNvPr id="822" name="Picture 821"/>
        <xdr:cNvPicPr>
          <a:picLocks noChangeAspect="1" noChangeArrowheads="1"/>
        </xdr:cNvPicPr>
      </xdr:nvPicPr>
      <xdr:blipFill>
        <a:blip xmlns:r="http://schemas.openxmlformats.org/officeDocument/2006/relationships" r:embed="rId821">
          <a:extLst>
            <a:ext uri="{28A0092B-C50C-407E-A947-70E740481C1C}">
              <a14:useLocalDpi xmlns:a14="http://schemas.microsoft.com/office/drawing/2010/main" val="0"/>
            </a:ext>
          </a:extLst>
        </a:blip>
        <a:srcRect/>
        <a:stretch>
          <a:fillRect/>
        </a:stretch>
      </xdr:blipFill>
      <xdr:spPr bwMode="auto">
        <a:xfrm>
          <a:off x="1228725" y="1547574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823</xdr:row>
      <xdr:rowOff>19050</xdr:rowOff>
    </xdr:from>
    <xdr:to>
      <xdr:col>2</xdr:col>
      <xdr:colOff>1733550</xdr:colOff>
      <xdr:row>823</xdr:row>
      <xdr:rowOff>1666875</xdr:rowOff>
    </xdr:to>
    <xdr:pic>
      <xdr:nvPicPr>
        <xdr:cNvPr id="823" name="Picture 822"/>
        <xdr:cNvPicPr>
          <a:picLocks noChangeAspect="1" noChangeArrowheads="1"/>
        </xdr:cNvPicPr>
      </xdr:nvPicPr>
      <xdr:blipFill>
        <a:blip xmlns:r="http://schemas.openxmlformats.org/officeDocument/2006/relationships" r:embed="rId822">
          <a:extLst>
            <a:ext uri="{28A0092B-C50C-407E-A947-70E740481C1C}">
              <a14:useLocalDpi xmlns:a14="http://schemas.microsoft.com/office/drawing/2010/main" val="0"/>
            </a:ext>
          </a:extLst>
        </a:blip>
        <a:srcRect/>
        <a:stretch>
          <a:fillRect/>
        </a:stretch>
      </xdr:blipFill>
      <xdr:spPr bwMode="auto">
        <a:xfrm>
          <a:off x="1228725" y="1549488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824</xdr:row>
      <xdr:rowOff>19050</xdr:rowOff>
    </xdr:from>
    <xdr:to>
      <xdr:col>2</xdr:col>
      <xdr:colOff>1733550</xdr:colOff>
      <xdr:row>824</xdr:row>
      <xdr:rowOff>1666875</xdr:rowOff>
    </xdr:to>
    <xdr:pic>
      <xdr:nvPicPr>
        <xdr:cNvPr id="824" name="Picture 823"/>
        <xdr:cNvPicPr>
          <a:picLocks noChangeAspect="1" noChangeArrowheads="1"/>
        </xdr:cNvPicPr>
      </xdr:nvPicPr>
      <xdr:blipFill>
        <a:blip xmlns:r="http://schemas.openxmlformats.org/officeDocument/2006/relationships" r:embed="rId823">
          <a:extLst>
            <a:ext uri="{28A0092B-C50C-407E-A947-70E740481C1C}">
              <a14:useLocalDpi xmlns:a14="http://schemas.microsoft.com/office/drawing/2010/main" val="0"/>
            </a:ext>
          </a:extLst>
        </a:blip>
        <a:srcRect/>
        <a:stretch>
          <a:fillRect/>
        </a:stretch>
      </xdr:blipFill>
      <xdr:spPr bwMode="auto">
        <a:xfrm>
          <a:off x="1228725" y="1551403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825</xdr:row>
      <xdr:rowOff>19050</xdr:rowOff>
    </xdr:from>
    <xdr:to>
      <xdr:col>2</xdr:col>
      <xdr:colOff>1733550</xdr:colOff>
      <xdr:row>825</xdr:row>
      <xdr:rowOff>1666875</xdr:rowOff>
    </xdr:to>
    <xdr:pic>
      <xdr:nvPicPr>
        <xdr:cNvPr id="825" name="Picture 824"/>
        <xdr:cNvPicPr>
          <a:picLocks noChangeAspect="1" noChangeArrowheads="1"/>
        </xdr:cNvPicPr>
      </xdr:nvPicPr>
      <xdr:blipFill>
        <a:blip xmlns:r="http://schemas.openxmlformats.org/officeDocument/2006/relationships" r:embed="rId824">
          <a:extLst>
            <a:ext uri="{28A0092B-C50C-407E-A947-70E740481C1C}">
              <a14:useLocalDpi xmlns:a14="http://schemas.microsoft.com/office/drawing/2010/main" val="0"/>
            </a:ext>
          </a:extLst>
        </a:blip>
        <a:srcRect/>
        <a:stretch>
          <a:fillRect/>
        </a:stretch>
      </xdr:blipFill>
      <xdr:spPr bwMode="auto">
        <a:xfrm>
          <a:off x="1228725" y="1553317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826</xdr:row>
      <xdr:rowOff>19050</xdr:rowOff>
    </xdr:from>
    <xdr:to>
      <xdr:col>2</xdr:col>
      <xdr:colOff>1733550</xdr:colOff>
      <xdr:row>826</xdr:row>
      <xdr:rowOff>1666875</xdr:rowOff>
    </xdr:to>
    <xdr:pic>
      <xdr:nvPicPr>
        <xdr:cNvPr id="826" name="Picture 825"/>
        <xdr:cNvPicPr>
          <a:picLocks noChangeAspect="1" noChangeArrowheads="1"/>
        </xdr:cNvPicPr>
      </xdr:nvPicPr>
      <xdr:blipFill>
        <a:blip xmlns:r="http://schemas.openxmlformats.org/officeDocument/2006/relationships" r:embed="rId825">
          <a:extLst>
            <a:ext uri="{28A0092B-C50C-407E-A947-70E740481C1C}">
              <a14:useLocalDpi xmlns:a14="http://schemas.microsoft.com/office/drawing/2010/main" val="0"/>
            </a:ext>
          </a:extLst>
        </a:blip>
        <a:srcRect/>
        <a:stretch>
          <a:fillRect/>
        </a:stretch>
      </xdr:blipFill>
      <xdr:spPr bwMode="auto">
        <a:xfrm>
          <a:off x="1228725" y="1555232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827</xdr:row>
      <xdr:rowOff>19050</xdr:rowOff>
    </xdr:from>
    <xdr:to>
      <xdr:col>2</xdr:col>
      <xdr:colOff>1733550</xdr:colOff>
      <xdr:row>827</xdr:row>
      <xdr:rowOff>1666875</xdr:rowOff>
    </xdr:to>
    <xdr:pic>
      <xdr:nvPicPr>
        <xdr:cNvPr id="827" name="Picture 826"/>
        <xdr:cNvPicPr>
          <a:picLocks noChangeAspect="1" noChangeArrowheads="1"/>
        </xdr:cNvPicPr>
      </xdr:nvPicPr>
      <xdr:blipFill>
        <a:blip xmlns:r="http://schemas.openxmlformats.org/officeDocument/2006/relationships" r:embed="rId826">
          <a:extLst>
            <a:ext uri="{28A0092B-C50C-407E-A947-70E740481C1C}">
              <a14:useLocalDpi xmlns:a14="http://schemas.microsoft.com/office/drawing/2010/main" val="0"/>
            </a:ext>
          </a:extLst>
        </a:blip>
        <a:srcRect/>
        <a:stretch>
          <a:fillRect/>
        </a:stretch>
      </xdr:blipFill>
      <xdr:spPr bwMode="auto">
        <a:xfrm>
          <a:off x="1228725" y="1557147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828</xdr:row>
      <xdr:rowOff>19050</xdr:rowOff>
    </xdr:from>
    <xdr:to>
      <xdr:col>2</xdr:col>
      <xdr:colOff>1733550</xdr:colOff>
      <xdr:row>828</xdr:row>
      <xdr:rowOff>1666875</xdr:rowOff>
    </xdr:to>
    <xdr:pic>
      <xdr:nvPicPr>
        <xdr:cNvPr id="828" name="Picture 827"/>
        <xdr:cNvPicPr>
          <a:picLocks noChangeAspect="1" noChangeArrowheads="1"/>
        </xdr:cNvPicPr>
      </xdr:nvPicPr>
      <xdr:blipFill>
        <a:blip xmlns:r="http://schemas.openxmlformats.org/officeDocument/2006/relationships" r:embed="rId827">
          <a:extLst>
            <a:ext uri="{28A0092B-C50C-407E-A947-70E740481C1C}">
              <a14:useLocalDpi xmlns:a14="http://schemas.microsoft.com/office/drawing/2010/main" val="0"/>
            </a:ext>
          </a:extLst>
        </a:blip>
        <a:srcRect/>
        <a:stretch>
          <a:fillRect/>
        </a:stretch>
      </xdr:blipFill>
      <xdr:spPr bwMode="auto">
        <a:xfrm>
          <a:off x="1228725" y="1559061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829</xdr:row>
      <xdr:rowOff>19050</xdr:rowOff>
    </xdr:from>
    <xdr:to>
      <xdr:col>2</xdr:col>
      <xdr:colOff>1733550</xdr:colOff>
      <xdr:row>829</xdr:row>
      <xdr:rowOff>1666875</xdr:rowOff>
    </xdr:to>
    <xdr:pic>
      <xdr:nvPicPr>
        <xdr:cNvPr id="829" name="Picture 828"/>
        <xdr:cNvPicPr>
          <a:picLocks noChangeAspect="1" noChangeArrowheads="1"/>
        </xdr:cNvPicPr>
      </xdr:nvPicPr>
      <xdr:blipFill>
        <a:blip xmlns:r="http://schemas.openxmlformats.org/officeDocument/2006/relationships" r:embed="rId828">
          <a:extLst>
            <a:ext uri="{28A0092B-C50C-407E-A947-70E740481C1C}">
              <a14:useLocalDpi xmlns:a14="http://schemas.microsoft.com/office/drawing/2010/main" val="0"/>
            </a:ext>
          </a:extLst>
        </a:blip>
        <a:srcRect/>
        <a:stretch>
          <a:fillRect/>
        </a:stretch>
      </xdr:blipFill>
      <xdr:spPr bwMode="auto">
        <a:xfrm>
          <a:off x="1228725" y="1560976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830</xdr:row>
      <xdr:rowOff>19050</xdr:rowOff>
    </xdr:from>
    <xdr:to>
      <xdr:col>2</xdr:col>
      <xdr:colOff>1733550</xdr:colOff>
      <xdr:row>830</xdr:row>
      <xdr:rowOff>1666875</xdr:rowOff>
    </xdr:to>
    <xdr:pic>
      <xdr:nvPicPr>
        <xdr:cNvPr id="830" name="Picture 829"/>
        <xdr:cNvPicPr>
          <a:picLocks noChangeAspect="1" noChangeArrowheads="1"/>
        </xdr:cNvPicPr>
      </xdr:nvPicPr>
      <xdr:blipFill>
        <a:blip xmlns:r="http://schemas.openxmlformats.org/officeDocument/2006/relationships" r:embed="rId829">
          <a:extLst>
            <a:ext uri="{28A0092B-C50C-407E-A947-70E740481C1C}">
              <a14:useLocalDpi xmlns:a14="http://schemas.microsoft.com/office/drawing/2010/main" val="0"/>
            </a:ext>
          </a:extLst>
        </a:blip>
        <a:srcRect/>
        <a:stretch>
          <a:fillRect/>
        </a:stretch>
      </xdr:blipFill>
      <xdr:spPr bwMode="auto">
        <a:xfrm>
          <a:off x="1228725" y="1562890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831</xdr:row>
      <xdr:rowOff>19050</xdr:rowOff>
    </xdr:from>
    <xdr:to>
      <xdr:col>2</xdr:col>
      <xdr:colOff>1733550</xdr:colOff>
      <xdr:row>831</xdr:row>
      <xdr:rowOff>1666875</xdr:rowOff>
    </xdr:to>
    <xdr:pic>
      <xdr:nvPicPr>
        <xdr:cNvPr id="831" name="Picture 830"/>
        <xdr:cNvPicPr>
          <a:picLocks noChangeAspect="1" noChangeArrowheads="1"/>
        </xdr:cNvPicPr>
      </xdr:nvPicPr>
      <xdr:blipFill>
        <a:blip xmlns:r="http://schemas.openxmlformats.org/officeDocument/2006/relationships" r:embed="rId830">
          <a:extLst>
            <a:ext uri="{28A0092B-C50C-407E-A947-70E740481C1C}">
              <a14:useLocalDpi xmlns:a14="http://schemas.microsoft.com/office/drawing/2010/main" val="0"/>
            </a:ext>
          </a:extLst>
        </a:blip>
        <a:srcRect/>
        <a:stretch>
          <a:fillRect/>
        </a:stretch>
      </xdr:blipFill>
      <xdr:spPr bwMode="auto">
        <a:xfrm>
          <a:off x="1228725" y="1564805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832</xdr:row>
      <xdr:rowOff>19050</xdr:rowOff>
    </xdr:from>
    <xdr:to>
      <xdr:col>2</xdr:col>
      <xdr:colOff>1733550</xdr:colOff>
      <xdr:row>832</xdr:row>
      <xdr:rowOff>1666875</xdr:rowOff>
    </xdr:to>
    <xdr:pic>
      <xdr:nvPicPr>
        <xdr:cNvPr id="832" name="Picture 831"/>
        <xdr:cNvPicPr>
          <a:picLocks noChangeAspect="1" noChangeArrowheads="1"/>
        </xdr:cNvPicPr>
      </xdr:nvPicPr>
      <xdr:blipFill>
        <a:blip xmlns:r="http://schemas.openxmlformats.org/officeDocument/2006/relationships" r:embed="rId831">
          <a:extLst>
            <a:ext uri="{28A0092B-C50C-407E-A947-70E740481C1C}">
              <a14:useLocalDpi xmlns:a14="http://schemas.microsoft.com/office/drawing/2010/main" val="0"/>
            </a:ext>
          </a:extLst>
        </a:blip>
        <a:srcRect/>
        <a:stretch>
          <a:fillRect/>
        </a:stretch>
      </xdr:blipFill>
      <xdr:spPr bwMode="auto">
        <a:xfrm>
          <a:off x="1228725" y="1566719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833</xdr:row>
      <xdr:rowOff>19050</xdr:rowOff>
    </xdr:from>
    <xdr:to>
      <xdr:col>2</xdr:col>
      <xdr:colOff>1733550</xdr:colOff>
      <xdr:row>833</xdr:row>
      <xdr:rowOff>1666875</xdr:rowOff>
    </xdr:to>
    <xdr:pic>
      <xdr:nvPicPr>
        <xdr:cNvPr id="833" name="Picture 832"/>
        <xdr:cNvPicPr>
          <a:picLocks noChangeAspect="1" noChangeArrowheads="1"/>
        </xdr:cNvPicPr>
      </xdr:nvPicPr>
      <xdr:blipFill>
        <a:blip xmlns:r="http://schemas.openxmlformats.org/officeDocument/2006/relationships" r:embed="rId832">
          <a:extLst>
            <a:ext uri="{28A0092B-C50C-407E-A947-70E740481C1C}">
              <a14:useLocalDpi xmlns:a14="http://schemas.microsoft.com/office/drawing/2010/main" val="0"/>
            </a:ext>
          </a:extLst>
        </a:blip>
        <a:srcRect/>
        <a:stretch>
          <a:fillRect/>
        </a:stretch>
      </xdr:blipFill>
      <xdr:spPr bwMode="auto">
        <a:xfrm>
          <a:off x="1228725" y="1568634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834</xdr:row>
      <xdr:rowOff>19050</xdr:rowOff>
    </xdr:from>
    <xdr:to>
      <xdr:col>2</xdr:col>
      <xdr:colOff>1733550</xdr:colOff>
      <xdr:row>834</xdr:row>
      <xdr:rowOff>1666875</xdr:rowOff>
    </xdr:to>
    <xdr:pic>
      <xdr:nvPicPr>
        <xdr:cNvPr id="834" name="Picture 833"/>
        <xdr:cNvPicPr>
          <a:picLocks noChangeAspect="1" noChangeArrowheads="1"/>
        </xdr:cNvPicPr>
      </xdr:nvPicPr>
      <xdr:blipFill>
        <a:blip xmlns:r="http://schemas.openxmlformats.org/officeDocument/2006/relationships" r:embed="rId833">
          <a:extLst>
            <a:ext uri="{28A0092B-C50C-407E-A947-70E740481C1C}">
              <a14:useLocalDpi xmlns:a14="http://schemas.microsoft.com/office/drawing/2010/main" val="0"/>
            </a:ext>
          </a:extLst>
        </a:blip>
        <a:srcRect/>
        <a:stretch>
          <a:fillRect/>
        </a:stretch>
      </xdr:blipFill>
      <xdr:spPr bwMode="auto">
        <a:xfrm>
          <a:off x="1228725" y="1570548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835</xdr:row>
      <xdr:rowOff>19050</xdr:rowOff>
    </xdr:from>
    <xdr:to>
      <xdr:col>2</xdr:col>
      <xdr:colOff>1733550</xdr:colOff>
      <xdr:row>835</xdr:row>
      <xdr:rowOff>1666875</xdr:rowOff>
    </xdr:to>
    <xdr:pic>
      <xdr:nvPicPr>
        <xdr:cNvPr id="835" name="Picture 834"/>
        <xdr:cNvPicPr>
          <a:picLocks noChangeAspect="1" noChangeArrowheads="1"/>
        </xdr:cNvPicPr>
      </xdr:nvPicPr>
      <xdr:blipFill>
        <a:blip xmlns:r="http://schemas.openxmlformats.org/officeDocument/2006/relationships" r:embed="rId834">
          <a:extLst>
            <a:ext uri="{28A0092B-C50C-407E-A947-70E740481C1C}">
              <a14:useLocalDpi xmlns:a14="http://schemas.microsoft.com/office/drawing/2010/main" val="0"/>
            </a:ext>
          </a:extLst>
        </a:blip>
        <a:srcRect/>
        <a:stretch>
          <a:fillRect/>
        </a:stretch>
      </xdr:blipFill>
      <xdr:spPr bwMode="auto">
        <a:xfrm>
          <a:off x="1228725" y="1572463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836</xdr:row>
      <xdr:rowOff>19050</xdr:rowOff>
    </xdr:from>
    <xdr:to>
      <xdr:col>2</xdr:col>
      <xdr:colOff>1733550</xdr:colOff>
      <xdr:row>836</xdr:row>
      <xdr:rowOff>1666875</xdr:rowOff>
    </xdr:to>
    <xdr:pic>
      <xdr:nvPicPr>
        <xdr:cNvPr id="836" name="Picture 835"/>
        <xdr:cNvPicPr>
          <a:picLocks noChangeAspect="1" noChangeArrowheads="1"/>
        </xdr:cNvPicPr>
      </xdr:nvPicPr>
      <xdr:blipFill>
        <a:blip xmlns:r="http://schemas.openxmlformats.org/officeDocument/2006/relationships" r:embed="rId835">
          <a:extLst>
            <a:ext uri="{28A0092B-C50C-407E-A947-70E740481C1C}">
              <a14:useLocalDpi xmlns:a14="http://schemas.microsoft.com/office/drawing/2010/main" val="0"/>
            </a:ext>
          </a:extLst>
        </a:blip>
        <a:srcRect/>
        <a:stretch>
          <a:fillRect/>
        </a:stretch>
      </xdr:blipFill>
      <xdr:spPr bwMode="auto">
        <a:xfrm>
          <a:off x="1228725" y="1574377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837</xdr:row>
      <xdr:rowOff>19050</xdr:rowOff>
    </xdr:from>
    <xdr:to>
      <xdr:col>2</xdr:col>
      <xdr:colOff>1733550</xdr:colOff>
      <xdr:row>837</xdr:row>
      <xdr:rowOff>1666875</xdr:rowOff>
    </xdr:to>
    <xdr:pic>
      <xdr:nvPicPr>
        <xdr:cNvPr id="837" name="Picture 836"/>
        <xdr:cNvPicPr>
          <a:picLocks noChangeAspect="1" noChangeArrowheads="1"/>
        </xdr:cNvPicPr>
      </xdr:nvPicPr>
      <xdr:blipFill>
        <a:blip xmlns:r="http://schemas.openxmlformats.org/officeDocument/2006/relationships" r:embed="rId836">
          <a:extLst>
            <a:ext uri="{28A0092B-C50C-407E-A947-70E740481C1C}">
              <a14:useLocalDpi xmlns:a14="http://schemas.microsoft.com/office/drawing/2010/main" val="0"/>
            </a:ext>
          </a:extLst>
        </a:blip>
        <a:srcRect/>
        <a:stretch>
          <a:fillRect/>
        </a:stretch>
      </xdr:blipFill>
      <xdr:spPr bwMode="auto">
        <a:xfrm>
          <a:off x="1228725" y="1576292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838</xdr:row>
      <xdr:rowOff>19050</xdr:rowOff>
    </xdr:from>
    <xdr:to>
      <xdr:col>2</xdr:col>
      <xdr:colOff>1733550</xdr:colOff>
      <xdr:row>838</xdr:row>
      <xdr:rowOff>1666875</xdr:rowOff>
    </xdr:to>
    <xdr:pic>
      <xdr:nvPicPr>
        <xdr:cNvPr id="838" name="Picture 837"/>
        <xdr:cNvPicPr>
          <a:picLocks noChangeAspect="1" noChangeArrowheads="1"/>
        </xdr:cNvPicPr>
      </xdr:nvPicPr>
      <xdr:blipFill>
        <a:blip xmlns:r="http://schemas.openxmlformats.org/officeDocument/2006/relationships" r:embed="rId837">
          <a:extLst>
            <a:ext uri="{28A0092B-C50C-407E-A947-70E740481C1C}">
              <a14:useLocalDpi xmlns:a14="http://schemas.microsoft.com/office/drawing/2010/main" val="0"/>
            </a:ext>
          </a:extLst>
        </a:blip>
        <a:srcRect/>
        <a:stretch>
          <a:fillRect/>
        </a:stretch>
      </xdr:blipFill>
      <xdr:spPr bwMode="auto">
        <a:xfrm>
          <a:off x="1228725" y="1578206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839</xdr:row>
      <xdr:rowOff>19050</xdr:rowOff>
    </xdr:from>
    <xdr:to>
      <xdr:col>2</xdr:col>
      <xdr:colOff>1733550</xdr:colOff>
      <xdr:row>839</xdr:row>
      <xdr:rowOff>1666875</xdr:rowOff>
    </xdr:to>
    <xdr:pic>
      <xdr:nvPicPr>
        <xdr:cNvPr id="839" name="Picture 838"/>
        <xdr:cNvPicPr>
          <a:picLocks noChangeAspect="1" noChangeArrowheads="1"/>
        </xdr:cNvPicPr>
      </xdr:nvPicPr>
      <xdr:blipFill>
        <a:blip xmlns:r="http://schemas.openxmlformats.org/officeDocument/2006/relationships" r:embed="rId838">
          <a:extLst>
            <a:ext uri="{28A0092B-C50C-407E-A947-70E740481C1C}">
              <a14:useLocalDpi xmlns:a14="http://schemas.microsoft.com/office/drawing/2010/main" val="0"/>
            </a:ext>
          </a:extLst>
        </a:blip>
        <a:srcRect/>
        <a:stretch>
          <a:fillRect/>
        </a:stretch>
      </xdr:blipFill>
      <xdr:spPr bwMode="auto">
        <a:xfrm>
          <a:off x="1228725" y="1580121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840</xdr:row>
      <xdr:rowOff>19050</xdr:rowOff>
    </xdr:from>
    <xdr:to>
      <xdr:col>2</xdr:col>
      <xdr:colOff>1733550</xdr:colOff>
      <xdr:row>840</xdr:row>
      <xdr:rowOff>1666875</xdr:rowOff>
    </xdr:to>
    <xdr:pic>
      <xdr:nvPicPr>
        <xdr:cNvPr id="840" name="Picture 839"/>
        <xdr:cNvPicPr>
          <a:picLocks noChangeAspect="1" noChangeArrowheads="1"/>
        </xdr:cNvPicPr>
      </xdr:nvPicPr>
      <xdr:blipFill>
        <a:blip xmlns:r="http://schemas.openxmlformats.org/officeDocument/2006/relationships" r:embed="rId839">
          <a:extLst>
            <a:ext uri="{28A0092B-C50C-407E-A947-70E740481C1C}">
              <a14:useLocalDpi xmlns:a14="http://schemas.microsoft.com/office/drawing/2010/main" val="0"/>
            </a:ext>
          </a:extLst>
        </a:blip>
        <a:srcRect/>
        <a:stretch>
          <a:fillRect/>
        </a:stretch>
      </xdr:blipFill>
      <xdr:spPr bwMode="auto">
        <a:xfrm>
          <a:off x="1228725" y="1582035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841</xdr:row>
      <xdr:rowOff>19050</xdr:rowOff>
    </xdr:from>
    <xdr:to>
      <xdr:col>2</xdr:col>
      <xdr:colOff>1733550</xdr:colOff>
      <xdr:row>841</xdr:row>
      <xdr:rowOff>1666875</xdr:rowOff>
    </xdr:to>
    <xdr:pic>
      <xdr:nvPicPr>
        <xdr:cNvPr id="841" name="Picture 840"/>
        <xdr:cNvPicPr>
          <a:picLocks noChangeAspect="1" noChangeArrowheads="1"/>
        </xdr:cNvPicPr>
      </xdr:nvPicPr>
      <xdr:blipFill>
        <a:blip xmlns:r="http://schemas.openxmlformats.org/officeDocument/2006/relationships" r:embed="rId840">
          <a:extLst>
            <a:ext uri="{28A0092B-C50C-407E-A947-70E740481C1C}">
              <a14:useLocalDpi xmlns:a14="http://schemas.microsoft.com/office/drawing/2010/main" val="0"/>
            </a:ext>
          </a:extLst>
        </a:blip>
        <a:srcRect/>
        <a:stretch>
          <a:fillRect/>
        </a:stretch>
      </xdr:blipFill>
      <xdr:spPr bwMode="auto">
        <a:xfrm>
          <a:off x="1228725" y="1583950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842</xdr:row>
      <xdr:rowOff>19050</xdr:rowOff>
    </xdr:from>
    <xdr:to>
      <xdr:col>2</xdr:col>
      <xdr:colOff>1733550</xdr:colOff>
      <xdr:row>842</xdr:row>
      <xdr:rowOff>1666875</xdr:rowOff>
    </xdr:to>
    <xdr:pic>
      <xdr:nvPicPr>
        <xdr:cNvPr id="842" name="Picture 841"/>
        <xdr:cNvPicPr>
          <a:picLocks noChangeAspect="1" noChangeArrowheads="1"/>
        </xdr:cNvPicPr>
      </xdr:nvPicPr>
      <xdr:blipFill>
        <a:blip xmlns:r="http://schemas.openxmlformats.org/officeDocument/2006/relationships" r:embed="rId841">
          <a:extLst>
            <a:ext uri="{28A0092B-C50C-407E-A947-70E740481C1C}">
              <a14:useLocalDpi xmlns:a14="http://schemas.microsoft.com/office/drawing/2010/main" val="0"/>
            </a:ext>
          </a:extLst>
        </a:blip>
        <a:srcRect/>
        <a:stretch>
          <a:fillRect/>
        </a:stretch>
      </xdr:blipFill>
      <xdr:spPr bwMode="auto">
        <a:xfrm>
          <a:off x="1228725" y="1585864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843</xdr:row>
      <xdr:rowOff>19050</xdr:rowOff>
    </xdr:from>
    <xdr:to>
      <xdr:col>2</xdr:col>
      <xdr:colOff>1733550</xdr:colOff>
      <xdr:row>843</xdr:row>
      <xdr:rowOff>1666875</xdr:rowOff>
    </xdr:to>
    <xdr:pic>
      <xdr:nvPicPr>
        <xdr:cNvPr id="843" name="Picture 842"/>
        <xdr:cNvPicPr>
          <a:picLocks noChangeAspect="1" noChangeArrowheads="1"/>
        </xdr:cNvPicPr>
      </xdr:nvPicPr>
      <xdr:blipFill>
        <a:blip xmlns:r="http://schemas.openxmlformats.org/officeDocument/2006/relationships" r:embed="rId842">
          <a:extLst>
            <a:ext uri="{28A0092B-C50C-407E-A947-70E740481C1C}">
              <a14:useLocalDpi xmlns:a14="http://schemas.microsoft.com/office/drawing/2010/main" val="0"/>
            </a:ext>
          </a:extLst>
        </a:blip>
        <a:srcRect/>
        <a:stretch>
          <a:fillRect/>
        </a:stretch>
      </xdr:blipFill>
      <xdr:spPr bwMode="auto">
        <a:xfrm>
          <a:off x="1228725" y="1587779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844</xdr:row>
      <xdr:rowOff>19050</xdr:rowOff>
    </xdr:from>
    <xdr:to>
      <xdr:col>2</xdr:col>
      <xdr:colOff>1733550</xdr:colOff>
      <xdr:row>844</xdr:row>
      <xdr:rowOff>1666875</xdr:rowOff>
    </xdr:to>
    <xdr:pic>
      <xdr:nvPicPr>
        <xdr:cNvPr id="844" name="Picture 843"/>
        <xdr:cNvPicPr>
          <a:picLocks noChangeAspect="1" noChangeArrowheads="1"/>
        </xdr:cNvPicPr>
      </xdr:nvPicPr>
      <xdr:blipFill>
        <a:blip xmlns:r="http://schemas.openxmlformats.org/officeDocument/2006/relationships" r:embed="rId843">
          <a:extLst>
            <a:ext uri="{28A0092B-C50C-407E-A947-70E740481C1C}">
              <a14:useLocalDpi xmlns:a14="http://schemas.microsoft.com/office/drawing/2010/main" val="0"/>
            </a:ext>
          </a:extLst>
        </a:blip>
        <a:srcRect/>
        <a:stretch>
          <a:fillRect/>
        </a:stretch>
      </xdr:blipFill>
      <xdr:spPr bwMode="auto">
        <a:xfrm>
          <a:off x="1228725" y="1589693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845</xdr:row>
      <xdr:rowOff>19050</xdr:rowOff>
    </xdr:from>
    <xdr:to>
      <xdr:col>2</xdr:col>
      <xdr:colOff>1733550</xdr:colOff>
      <xdr:row>845</xdr:row>
      <xdr:rowOff>1666875</xdr:rowOff>
    </xdr:to>
    <xdr:pic>
      <xdr:nvPicPr>
        <xdr:cNvPr id="845" name="Picture 844"/>
        <xdr:cNvPicPr>
          <a:picLocks noChangeAspect="1" noChangeArrowheads="1"/>
        </xdr:cNvPicPr>
      </xdr:nvPicPr>
      <xdr:blipFill>
        <a:blip xmlns:r="http://schemas.openxmlformats.org/officeDocument/2006/relationships" r:embed="rId844">
          <a:extLst>
            <a:ext uri="{28A0092B-C50C-407E-A947-70E740481C1C}">
              <a14:useLocalDpi xmlns:a14="http://schemas.microsoft.com/office/drawing/2010/main" val="0"/>
            </a:ext>
          </a:extLst>
        </a:blip>
        <a:srcRect/>
        <a:stretch>
          <a:fillRect/>
        </a:stretch>
      </xdr:blipFill>
      <xdr:spPr bwMode="auto">
        <a:xfrm>
          <a:off x="1228725" y="1591608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846</xdr:row>
      <xdr:rowOff>19050</xdr:rowOff>
    </xdr:from>
    <xdr:to>
      <xdr:col>2</xdr:col>
      <xdr:colOff>1733550</xdr:colOff>
      <xdr:row>846</xdr:row>
      <xdr:rowOff>1666875</xdr:rowOff>
    </xdr:to>
    <xdr:pic>
      <xdr:nvPicPr>
        <xdr:cNvPr id="846" name="Picture 845"/>
        <xdr:cNvPicPr>
          <a:picLocks noChangeAspect="1" noChangeArrowheads="1"/>
        </xdr:cNvPicPr>
      </xdr:nvPicPr>
      <xdr:blipFill>
        <a:blip xmlns:r="http://schemas.openxmlformats.org/officeDocument/2006/relationships" r:embed="rId845">
          <a:extLst>
            <a:ext uri="{28A0092B-C50C-407E-A947-70E740481C1C}">
              <a14:useLocalDpi xmlns:a14="http://schemas.microsoft.com/office/drawing/2010/main" val="0"/>
            </a:ext>
          </a:extLst>
        </a:blip>
        <a:srcRect/>
        <a:stretch>
          <a:fillRect/>
        </a:stretch>
      </xdr:blipFill>
      <xdr:spPr bwMode="auto">
        <a:xfrm>
          <a:off x="1228725" y="1593522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847</xdr:row>
      <xdr:rowOff>19050</xdr:rowOff>
    </xdr:from>
    <xdr:to>
      <xdr:col>2</xdr:col>
      <xdr:colOff>1733550</xdr:colOff>
      <xdr:row>847</xdr:row>
      <xdr:rowOff>1666875</xdr:rowOff>
    </xdr:to>
    <xdr:pic>
      <xdr:nvPicPr>
        <xdr:cNvPr id="847" name="Picture 846"/>
        <xdr:cNvPicPr>
          <a:picLocks noChangeAspect="1" noChangeArrowheads="1"/>
        </xdr:cNvPicPr>
      </xdr:nvPicPr>
      <xdr:blipFill>
        <a:blip xmlns:r="http://schemas.openxmlformats.org/officeDocument/2006/relationships" r:embed="rId846">
          <a:extLst>
            <a:ext uri="{28A0092B-C50C-407E-A947-70E740481C1C}">
              <a14:useLocalDpi xmlns:a14="http://schemas.microsoft.com/office/drawing/2010/main" val="0"/>
            </a:ext>
          </a:extLst>
        </a:blip>
        <a:srcRect/>
        <a:stretch>
          <a:fillRect/>
        </a:stretch>
      </xdr:blipFill>
      <xdr:spPr bwMode="auto">
        <a:xfrm>
          <a:off x="1228725" y="1595437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848</xdr:row>
      <xdr:rowOff>19050</xdr:rowOff>
    </xdr:from>
    <xdr:to>
      <xdr:col>2</xdr:col>
      <xdr:colOff>1733550</xdr:colOff>
      <xdr:row>848</xdr:row>
      <xdr:rowOff>1666875</xdr:rowOff>
    </xdr:to>
    <xdr:pic>
      <xdr:nvPicPr>
        <xdr:cNvPr id="848" name="Picture 847"/>
        <xdr:cNvPicPr>
          <a:picLocks noChangeAspect="1" noChangeArrowheads="1"/>
        </xdr:cNvPicPr>
      </xdr:nvPicPr>
      <xdr:blipFill>
        <a:blip xmlns:r="http://schemas.openxmlformats.org/officeDocument/2006/relationships" r:embed="rId847">
          <a:extLst>
            <a:ext uri="{28A0092B-C50C-407E-A947-70E740481C1C}">
              <a14:useLocalDpi xmlns:a14="http://schemas.microsoft.com/office/drawing/2010/main" val="0"/>
            </a:ext>
          </a:extLst>
        </a:blip>
        <a:srcRect/>
        <a:stretch>
          <a:fillRect/>
        </a:stretch>
      </xdr:blipFill>
      <xdr:spPr bwMode="auto">
        <a:xfrm>
          <a:off x="1228725" y="1597352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849</xdr:row>
      <xdr:rowOff>19050</xdr:rowOff>
    </xdr:from>
    <xdr:to>
      <xdr:col>2</xdr:col>
      <xdr:colOff>1733550</xdr:colOff>
      <xdr:row>849</xdr:row>
      <xdr:rowOff>1666875</xdr:rowOff>
    </xdr:to>
    <xdr:pic>
      <xdr:nvPicPr>
        <xdr:cNvPr id="849" name="Picture 848"/>
        <xdr:cNvPicPr>
          <a:picLocks noChangeAspect="1" noChangeArrowheads="1"/>
        </xdr:cNvPicPr>
      </xdr:nvPicPr>
      <xdr:blipFill>
        <a:blip xmlns:r="http://schemas.openxmlformats.org/officeDocument/2006/relationships" r:embed="rId848">
          <a:extLst>
            <a:ext uri="{28A0092B-C50C-407E-A947-70E740481C1C}">
              <a14:useLocalDpi xmlns:a14="http://schemas.microsoft.com/office/drawing/2010/main" val="0"/>
            </a:ext>
          </a:extLst>
        </a:blip>
        <a:srcRect/>
        <a:stretch>
          <a:fillRect/>
        </a:stretch>
      </xdr:blipFill>
      <xdr:spPr bwMode="auto">
        <a:xfrm>
          <a:off x="1228725" y="1599266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850</xdr:row>
      <xdr:rowOff>19050</xdr:rowOff>
    </xdr:from>
    <xdr:to>
      <xdr:col>2</xdr:col>
      <xdr:colOff>1733550</xdr:colOff>
      <xdr:row>850</xdr:row>
      <xdr:rowOff>1666875</xdr:rowOff>
    </xdr:to>
    <xdr:pic>
      <xdr:nvPicPr>
        <xdr:cNvPr id="850" name="Picture 849"/>
        <xdr:cNvPicPr>
          <a:picLocks noChangeAspect="1" noChangeArrowheads="1"/>
        </xdr:cNvPicPr>
      </xdr:nvPicPr>
      <xdr:blipFill>
        <a:blip xmlns:r="http://schemas.openxmlformats.org/officeDocument/2006/relationships" r:embed="rId849">
          <a:extLst>
            <a:ext uri="{28A0092B-C50C-407E-A947-70E740481C1C}">
              <a14:useLocalDpi xmlns:a14="http://schemas.microsoft.com/office/drawing/2010/main" val="0"/>
            </a:ext>
          </a:extLst>
        </a:blip>
        <a:srcRect/>
        <a:stretch>
          <a:fillRect/>
        </a:stretch>
      </xdr:blipFill>
      <xdr:spPr bwMode="auto">
        <a:xfrm>
          <a:off x="1228725" y="1601181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851</xdr:row>
      <xdr:rowOff>19050</xdr:rowOff>
    </xdr:from>
    <xdr:to>
      <xdr:col>2</xdr:col>
      <xdr:colOff>1733550</xdr:colOff>
      <xdr:row>851</xdr:row>
      <xdr:rowOff>1666875</xdr:rowOff>
    </xdr:to>
    <xdr:pic>
      <xdr:nvPicPr>
        <xdr:cNvPr id="851" name="Picture 850"/>
        <xdr:cNvPicPr>
          <a:picLocks noChangeAspect="1" noChangeArrowheads="1"/>
        </xdr:cNvPicPr>
      </xdr:nvPicPr>
      <xdr:blipFill>
        <a:blip xmlns:r="http://schemas.openxmlformats.org/officeDocument/2006/relationships" r:embed="rId850">
          <a:extLst>
            <a:ext uri="{28A0092B-C50C-407E-A947-70E740481C1C}">
              <a14:useLocalDpi xmlns:a14="http://schemas.microsoft.com/office/drawing/2010/main" val="0"/>
            </a:ext>
          </a:extLst>
        </a:blip>
        <a:srcRect/>
        <a:stretch>
          <a:fillRect/>
        </a:stretch>
      </xdr:blipFill>
      <xdr:spPr bwMode="auto">
        <a:xfrm>
          <a:off x="1228725" y="1603095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852</xdr:row>
      <xdr:rowOff>19050</xdr:rowOff>
    </xdr:from>
    <xdr:to>
      <xdr:col>2</xdr:col>
      <xdr:colOff>1733550</xdr:colOff>
      <xdr:row>852</xdr:row>
      <xdr:rowOff>1666875</xdr:rowOff>
    </xdr:to>
    <xdr:pic>
      <xdr:nvPicPr>
        <xdr:cNvPr id="852" name="Picture 851"/>
        <xdr:cNvPicPr>
          <a:picLocks noChangeAspect="1" noChangeArrowheads="1"/>
        </xdr:cNvPicPr>
      </xdr:nvPicPr>
      <xdr:blipFill>
        <a:blip xmlns:r="http://schemas.openxmlformats.org/officeDocument/2006/relationships" r:embed="rId851">
          <a:extLst>
            <a:ext uri="{28A0092B-C50C-407E-A947-70E740481C1C}">
              <a14:useLocalDpi xmlns:a14="http://schemas.microsoft.com/office/drawing/2010/main" val="0"/>
            </a:ext>
          </a:extLst>
        </a:blip>
        <a:srcRect/>
        <a:stretch>
          <a:fillRect/>
        </a:stretch>
      </xdr:blipFill>
      <xdr:spPr bwMode="auto">
        <a:xfrm>
          <a:off x="1228725" y="1605010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853</xdr:row>
      <xdr:rowOff>19050</xdr:rowOff>
    </xdr:from>
    <xdr:to>
      <xdr:col>2</xdr:col>
      <xdr:colOff>1733550</xdr:colOff>
      <xdr:row>853</xdr:row>
      <xdr:rowOff>1666875</xdr:rowOff>
    </xdr:to>
    <xdr:pic>
      <xdr:nvPicPr>
        <xdr:cNvPr id="853" name="Picture 852"/>
        <xdr:cNvPicPr>
          <a:picLocks noChangeAspect="1" noChangeArrowheads="1"/>
        </xdr:cNvPicPr>
      </xdr:nvPicPr>
      <xdr:blipFill>
        <a:blip xmlns:r="http://schemas.openxmlformats.org/officeDocument/2006/relationships" r:embed="rId852">
          <a:extLst>
            <a:ext uri="{28A0092B-C50C-407E-A947-70E740481C1C}">
              <a14:useLocalDpi xmlns:a14="http://schemas.microsoft.com/office/drawing/2010/main" val="0"/>
            </a:ext>
          </a:extLst>
        </a:blip>
        <a:srcRect/>
        <a:stretch>
          <a:fillRect/>
        </a:stretch>
      </xdr:blipFill>
      <xdr:spPr bwMode="auto">
        <a:xfrm>
          <a:off x="1228725" y="1606924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854</xdr:row>
      <xdr:rowOff>19050</xdr:rowOff>
    </xdr:from>
    <xdr:to>
      <xdr:col>2</xdr:col>
      <xdr:colOff>1733550</xdr:colOff>
      <xdr:row>854</xdr:row>
      <xdr:rowOff>1666875</xdr:rowOff>
    </xdr:to>
    <xdr:pic>
      <xdr:nvPicPr>
        <xdr:cNvPr id="854" name="Picture 853"/>
        <xdr:cNvPicPr>
          <a:picLocks noChangeAspect="1" noChangeArrowheads="1"/>
        </xdr:cNvPicPr>
      </xdr:nvPicPr>
      <xdr:blipFill>
        <a:blip xmlns:r="http://schemas.openxmlformats.org/officeDocument/2006/relationships" r:embed="rId853">
          <a:extLst>
            <a:ext uri="{28A0092B-C50C-407E-A947-70E740481C1C}">
              <a14:useLocalDpi xmlns:a14="http://schemas.microsoft.com/office/drawing/2010/main" val="0"/>
            </a:ext>
          </a:extLst>
        </a:blip>
        <a:srcRect/>
        <a:stretch>
          <a:fillRect/>
        </a:stretch>
      </xdr:blipFill>
      <xdr:spPr bwMode="auto">
        <a:xfrm>
          <a:off x="1228725" y="1608839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855</xdr:row>
      <xdr:rowOff>19050</xdr:rowOff>
    </xdr:from>
    <xdr:to>
      <xdr:col>2</xdr:col>
      <xdr:colOff>1733550</xdr:colOff>
      <xdr:row>855</xdr:row>
      <xdr:rowOff>1666875</xdr:rowOff>
    </xdr:to>
    <xdr:pic>
      <xdr:nvPicPr>
        <xdr:cNvPr id="855" name="Picture 854"/>
        <xdr:cNvPicPr>
          <a:picLocks noChangeAspect="1" noChangeArrowheads="1"/>
        </xdr:cNvPicPr>
      </xdr:nvPicPr>
      <xdr:blipFill>
        <a:blip xmlns:r="http://schemas.openxmlformats.org/officeDocument/2006/relationships" r:embed="rId854">
          <a:extLst>
            <a:ext uri="{28A0092B-C50C-407E-A947-70E740481C1C}">
              <a14:useLocalDpi xmlns:a14="http://schemas.microsoft.com/office/drawing/2010/main" val="0"/>
            </a:ext>
          </a:extLst>
        </a:blip>
        <a:srcRect/>
        <a:stretch>
          <a:fillRect/>
        </a:stretch>
      </xdr:blipFill>
      <xdr:spPr bwMode="auto">
        <a:xfrm>
          <a:off x="1228725" y="1610753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856</xdr:row>
      <xdr:rowOff>19050</xdr:rowOff>
    </xdr:from>
    <xdr:to>
      <xdr:col>2</xdr:col>
      <xdr:colOff>1733550</xdr:colOff>
      <xdr:row>856</xdr:row>
      <xdr:rowOff>1666875</xdr:rowOff>
    </xdr:to>
    <xdr:pic>
      <xdr:nvPicPr>
        <xdr:cNvPr id="856" name="Picture 855"/>
        <xdr:cNvPicPr>
          <a:picLocks noChangeAspect="1" noChangeArrowheads="1"/>
        </xdr:cNvPicPr>
      </xdr:nvPicPr>
      <xdr:blipFill>
        <a:blip xmlns:r="http://schemas.openxmlformats.org/officeDocument/2006/relationships" r:embed="rId855">
          <a:extLst>
            <a:ext uri="{28A0092B-C50C-407E-A947-70E740481C1C}">
              <a14:useLocalDpi xmlns:a14="http://schemas.microsoft.com/office/drawing/2010/main" val="0"/>
            </a:ext>
          </a:extLst>
        </a:blip>
        <a:srcRect/>
        <a:stretch>
          <a:fillRect/>
        </a:stretch>
      </xdr:blipFill>
      <xdr:spPr bwMode="auto">
        <a:xfrm>
          <a:off x="1228725" y="1612668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857</xdr:row>
      <xdr:rowOff>19050</xdr:rowOff>
    </xdr:from>
    <xdr:to>
      <xdr:col>2</xdr:col>
      <xdr:colOff>1733550</xdr:colOff>
      <xdr:row>857</xdr:row>
      <xdr:rowOff>1666875</xdr:rowOff>
    </xdr:to>
    <xdr:pic>
      <xdr:nvPicPr>
        <xdr:cNvPr id="857" name="Picture 856"/>
        <xdr:cNvPicPr>
          <a:picLocks noChangeAspect="1" noChangeArrowheads="1"/>
        </xdr:cNvPicPr>
      </xdr:nvPicPr>
      <xdr:blipFill>
        <a:blip xmlns:r="http://schemas.openxmlformats.org/officeDocument/2006/relationships" r:embed="rId856">
          <a:extLst>
            <a:ext uri="{28A0092B-C50C-407E-A947-70E740481C1C}">
              <a14:useLocalDpi xmlns:a14="http://schemas.microsoft.com/office/drawing/2010/main" val="0"/>
            </a:ext>
          </a:extLst>
        </a:blip>
        <a:srcRect/>
        <a:stretch>
          <a:fillRect/>
        </a:stretch>
      </xdr:blipFill>
      <xdr:spPr bwMode="auto">
        <a:xfrm>
          <a:off x="1228725" y="1614582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858</xdr:row>
      <xdr:rowOff>19050</xdr:rowOff>
    </xdr:from>
    <xdr:to>
      <xdr:col>2</xdr:col>
      <xdr:colOff>1733550</xdr:colOff>
      <xdr:row>858</xdr:row>
      <xdr:rowOff>1666875</xdr:rowOff>
    </xdr:to>
    <xdr:pic>
      <xdr:nvPicPr>
        <xdr:cNvPr id="858" name="Picture 857"/>
        <xdr:cNvPicPr>
          <a:picLocks noChangeAspect="1" noChangeArrowheads="1"/>
        </xdr:cNvPicPr>
      </xdr:nvPicPr>
      <xdr:blipFill>
        <a:blip xmlns:r="http://schemas.openxmlformats.org/officeDocument/2006/relationships" r:embed="rId857">
          <a:extLst>
            <a:ext uri="{28A0092B-C50C-407E-A947-70E740481C1C}">
              <a14:useLocalDpi xmlns:a14="http://schemas.microsoft.com/office/drawing/2010/main" val="0"/>
            </a:ext>
          </a:extLst>
        </a:blip>
        <a:srcRect/>
        <a:stretch>
          <a:fillRect/>
        </a:stretch>
      </xdr:blipFill>
      <xdr:spPr bwMode="auto">
        <a:xfrm>
          <a:off x="1228725" y="1616497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859</xdr:row>
      <xdr:rowOff>19050</xdr:rowOff>
    </xdr:from>
    <xdr:to>
      <xdr:col>2</xdr:col>
      <xdr:colOff>1733550</xdr:colOff>
      <xdr:row>859</xdr:row>
      <xdr:rowOff>1666875</xdr:rowOff>
    </xdr:to>
    <xdr:pic>
      <xdr:nvPicPr>
        <xdr:cNvPr id="859" name="Picture 858"/>
        <xdr:cNvPicPr>
          <a:picLocks noChangeAspect="1" noChangeArrowheads="1"/>
        </xdr:cNvPicPr>
      </xdr:nvPicPr>
      <xdr:blipFill>
        <a:blip xmlns:r="http://schemas.openxmlformats.org/officeDocument/2006/relationships" r:embed="rId858">
          <a:extLst>
            <a:ext uri="{28A0092B-C50C-407E-A947-70E740481C1C}">
              <a14:useLocalDpi xmlns:a14="http://schemas.microsoft.com/office/drawing/2010/main" val="0"/>
            </a:ext>
          </a:extLst>
        </a:blip>
        <a:srcRect/>
        <a:stretch>
          <a:fillRect/>
        </a:stretch>
      </xdr:blipFill>
      <xdr:spPr bwMode="auto">
        <a:xfrm>
          <a:off x="1228725" y="1618411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860</xdr:row>
      <xdr:rowOff>19050</xdr:rowOff>
    </xdr:from>
    <xdr:to>
      <xdr:col>2</xdr:col>
      <xdr:colOff>1733550</xdr:colOff>
      <xdr:row>860</xdr:row>
      <xdr:rowOff>1666875</xdr:rowOff>
    </xdr:to>
    <xdr:pic>
      <xdr:nvPicPr>
        <xdr:cNvPr id="860" name="Picture 859"/>
        <xdr:cNvPicPr>
          <a:picLocks noChangeAspect="1" noChangeArrowheads="1"/>
        </xdr:cNvPicPr>
      </xdr:nvPicPr>
      <xdr:blipFill>
        <a:blip xmlns:r="http://schemas.openxmlformats.org/officeDocument/2006/relationships" r:embed="rId859">
          <a:extLst>
            <a:ext uri="{28A0092B-C50C-407E-A947-70E740481C1C}">
              <a14:useLocalDpi xmlns:a14="http://schemas.microsoft.com/office/drawing/2010/main" val="0"/>
            </a:ext>
          </a:extLst>
        </a:blip>
        <a:srcRect/>
        <a:stretch>
          <a:fillRect/>
        </a:stretch>
      </xdr:blipFill>
      <xdr:spPr bwMode="auto">
        <a:xfrm>
          <a:off x="1228725" y="1620326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861</xdr:row>
      <xdr:rowOff>19050</xdr:rowOff>
    </xdr:from>
    <xdr:to>
      <xdr:col>2</xdr:col>
      <xdr:colOff>1733550</xdr:colOff>
      <xdr:row>861</xdr:row>
      <xdr:rowOff>1666875</xdr:rowOff>
    </xdr:to>
    <xdr:pic>
      <xdr:nvPicPr>
        <xdr:cNvPr id="861" name="Picture 860"/>
        <xdr:cNvPicPr>
          <a:picLocks noChangeAspect="1" noChangeArrowheads="1"/>
        </xdr:cNvPicPr>
      </xdr:nvPicPr>
      <xdr:blipFill>
        <a:blip xmlns:r="http://schemas.openxmlformats.org/officeDocument/2006/relationships" r:embed="rId860">
          <a:extLst>
            <a:ext uri="{28A0092B-C50C-407E-A947-70E740481C1C}">
              <a14:useLocalDpi xmlns:a14="http://schemas.microsoft.com/office/drawing/2010/main" val="0"/>
            </a:ext>
          </a:extLst>
        </a:blip>
        <a:srcRect/>
        <a:stretch>
          <a:fillRect/>
        </a:stretch>
      </xdr:blipFill>
      <xdr:spPr bwMode="auto">
        <a:xfrm>
          <a:off x="1228725" y="1622240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862</xdr:row>
      <xdr:rowOff>19050</xdr:rowOff>
    </xdr:from>
    <xdr:to>
      <xdr:col>2</xdr:col>
      <xdr:colOff>1733550</xdr:colOff>
      <xdr:row>862</xdr:row>
      <xdr:rowOff>1666875</xdr:rowOff>
    </xdr:to>
    <xdr:pic>
      <xdr:nvPicPr>
        <xdr:cNvPr id="862" name="Picture 861"/>
        <xdr:cNvPicPr>
          <a:picLocks noChangeAspect="1" noChangeArrowheads="1"/>
        </xdr:cNvPicPr>
      </xdr:nvPicPr>
      <xdr:blipFill>
        <a:blip xmlns:r="http://schemas.openxmlformats.org/officeDocument/2006/relationships" r:embed="rId861">
          <a:extLst>
            <a:ext uri="{28A0092B-C50C-407E-A947-70E740481C1C}">
              <a14:useLocalDpi xmlns:a14="http://schemas.microsoft.com/office/drawing/2010/main" val="0"/>
            </a:ext>
          </a:extLst>
        </a:blip>
        <a:srcRect/>
        <a:stretch>
          <a:fillRect/>
        </a:stretch>
      </xdr:blipFill>
      <xdr:spPr bwMode="auto">
        <a:xfrm>
          <a:off x="1228725" y="1624155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863</xdr:row>
      <xdr:rowOff>19050</xdr:rowOff>
    </xdr:from>
    <xdr:to>
      <xdr:col>2</xdr:col>
      <xdr:colOff>1733550</xdr:colOff>
      <xdr:row>863</xdr:row>
      <xdr:rowOff>1666875</xdr:rowOff>
    </xdr:to>
    <xdr:pic>
      <xdr:nvPicPr>
        <xdr:cNvPr id="863" name="Picture 862"/>
        <xdr:cNvPicPr>
          <a:picLocks noChangeAspect="1" noChangeArrowheads="1"/>
        </xdr:cNvPicPr>
      </xdr:nvPicPr>
      <xdr:blipFill>
        <a:blip xmlns:r="http://schemas.openxmlformats.org/officeDocument/2006/relationships" r:embed="rId862">
          <a:extLst>
            <a:ext uri="{28A0092B-C50C-407E-A947-70E740481C1C}">
              <a14:useLocalDpi xmlns:a14="http://schemas.microsoft.com/office/drawing/2010/main" val="0"/>
            </a:ext>
          </a:extLst>
        </a:blip>
        <a:srcRect/>
        <a:stretch>
          <a:fillRect/>
        </a:stretch>
      </xdr:blipFill>
      <xdr:spPr bwMode="auto">
        <a:xfrm>
          <a:off x="1228725" y="1626069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864</xdr:row>
      <xdr:rowOff>19050</xdr:rowOff>
    </xdr:from>
    <xdr:to>
      <xdr:col>2</xdr:col>
      <xdr:colOff>1733550</xdr:colOff>
      <xdr:row>864</xdr:row>
      <xdr:rowOff>1666875</xdr:rowOff>
    </xdr:to>
    <xdr:pic>
      <xdr:nvPicPr>
        <xdr:cNvPr id="864" name="Picture 863"/>
        <xdr:cNvPicPr>
          <a:picLocks noChangeAspect="1" noChangeArrowheads="1"/>
        </xdr:cNvPicPr>
      </xdr:nvPicPr>
      <xdr:blipFill>
        <a:blip xmlns:r="http://schemas.openxmlformats.org/officeDocument/2006/relationships" r:embed="rId863">
          <a:extLst>
            <a:ext uri="{28A0092B-C50C-407E-A947-70E740481C1C}">
              <a14:useLocalDpi xmlns:a14="http://schemas.microsoft.com/office/drawing/2010/main" val="0"/>
            </a:ext>
          </a:extLst>
        </a:blip>
        <a:srcRect/>
        <a:stretch>
          <a:fillRect/>
        </a:stretch>
      </xdr:blipFill>
      <xdr:spPr bwMode="auto">
        <a:xfrm>
          <a:off x="1228725" y="1627984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865</xdr:row>
      <xdr:rowOff>19050</xdr:rowOff>
    </xdr:from>
    <xdr:to>
      <xdr:col>2</xdr:col>
      <xdr:colOff>1733550</xdr:colOff>
      <xdr:row>865</xdr:row>
      <xdr:rowOff>1666875</xdr:rowOff>
    </xdr:to>
    <xdr:pic>
      <xdr:nvPicPr>
        <xdr:cNvPr id="865" name="Picture 864"/>
        <xdr:cNvPicPr>
          <a:picLocks noChangeAspect="1" noChangeArrowheads="1"/>
        </xdr:cNvPicPr>
      </xdr:nvPicPr>
      <xdr:blipFill>
        <a:blip xmlns:r="http://schemas.openxmlformats.org/officeDocument/2006/relationships" r:embed="rId864">
          <a:extLst>
            <a:ext uri="{28A0092B-C50C-407E-A947-70E740481C1C}">
              <a14:useLocalDpi xmlns:a14="http://schemas.microsoft.com/office/drawing/2010/main" val="0"/>
            </a:ext>
          </a:extLst>
        </a:blip>
        <a:srcRect/>
        <a:stretch>
          <a:fillRect/>
        </a:stretch>
      </xdr:blipFill>
      <xdr:spPr bwMode="auto">
        <a:xfrm>
          <a:off x="1228725" y="1629898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866</xdr:row>
      <xdr:rowOff>19050</xdr:rowOff>
    </xdr:from>
    <xdr:to>
      <xdr:col>2</xdr:col>
      <xdr:colOff>1733550</xdr:colOff>
      <xdr:row>866</xdr:row>
      <xdr:rowOff>1666875</xdr:rowOff>
    </xdr:to>
    <xdr:pic>
      <xdr:nvPicPr>
        <xdr:cNvPr id="866" name="Picture 865"/>
        <xdr:cNvPicPr>
          <a:picLocks noChangeAspect="1" noChangeArrowheads="1"/>
        </xdr:cNvPicPr>
      </xdr:nvPicPr>
      <xdr:blipFill>
        <a:blip xmlns:r="http://schemas.openxmlformats.org/officeDocument/2006/relationships" r:embed="rId865">
          <a:extLst>
            <a:ext uri="{28A0092B-C50C-407E-A947-70E740481C1C}">
              <a14:useLocalDpi xmlns:a14="http://schemas.microsoft.com/office/drawing/2010/main" val="0"/>
            </a:ext>
          </a:extLst>
        </a:blip>
        <a:srcRect/>
        <a:stretch>
          <a:fillRect/>
        </a:stretch>
      </xdr:blipFill>
      <xdr:spPr bwMode="auto">
        <a:xfrm>
          <a:off x="1228725" y="1631813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867</xdr:row>
      <xdr:rowOff>19050</xdr:rowOff>
    </xdr:from>
    <xdr:to>
      <xdr:col>2</xdr:col>
      <xdr:colOff>1733550</xdr:colOff>
      <xdr:row>867</xdr:row>
      <xdr:rowOff>1666875</xdr:rowOff>
    </xdr:to>
    <xdr:pic>
      <xdr:nvPicPr>
        <xdr:cNvPr id="867" name="Picture 866"/>
        <xdr:cNvPicPr>
          <a:picLocks noChangeAspect="1" noChangeArrowheads="1"/>
        </xdr:cNvPicPr>
      </xdr:nvPicPr>
      <xdr:blipFill>
        <a:blip xmlns:r="http://schemas.openxmlformats.org/officeDocument/2006/relationships" r:embed="rId866">
          <a:extLst>
            <a:ext uri="{28A0092B-C50C-407E-A947-70E740481C1C}">
              <a14:useLocalDpi xmlns:a14="http://schemas.microsoft.com/office/drawing/2010/main" val="0"/>
            </a:ext>
          </a:extLst>
        </a:blip>
        <a:srcRect/>
        <a:stretch>
          <a:fillRect/>
        </a:stretch>
      </xdr:blipFill>
      <xdr:spPr bwMode="auto">
        <a:xfrm>
          <a:off x="1228725" y="1633728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868</xdr:row>
      <xdr:rowOff>19050</xdr:rowOff>
    </xdr:from>
    <xdr:to>
      <xdr:col>2</xdr:col>
      <xdr:colOff>1733550</xdr:colOff>
      <xdr:row>868</xdr:row>
      <xdr:rowOff>1666875</xdr:rowOff>
    </xdr:to>
    <xdr:pic>
      <xdr:nvPicPr>
        <xdr:cNvPr id="868" name="Picture 867"/>
        <xdr:cNvPicPr>
          <a:picLocks noChangeAspect="1" noChangeArrowheads="1"/>
        </xdr:cNvPicPr>
      </xdr:nvPicPr>
      <xdr:blipFill>
        <a:blip xmlns:r="http://schemas.openxmlformats.org/officeDocument/2006/relationships" r:embed="rId867">
          <a:extLst>
            <a:ext uri="{28A0092B-C50C-407E-A947-70E740481C1C}">
              <a14:useLocalDpi xmlns:a14="http://schemas.microsoft.com/office/drawing/2010/main" val="0"/>
            </a:ext>
          </a:extLst>
        </a:blip>
        <a:srcRect/>
        <a:stretch>
          <a:fillRect/>
        </a:stretch>
      </xdr:blipFill>
      <xdr:spPr bwMode="auto">
        <a:xfrm>
          <a:off x="1228725" y="1635642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869</xdr:row>
      <xdr:rowOff>19050</xdr:rowOff>
    </xdr:from>
    <xdr:to>
      <xdr:col>2</xdr:col>
      <xdr:colOff>1733550</xdr:colOff>
      <xdr:row>869</xdr:row>
      <xdr:rowOff>1666875</xdr:rowOff>
    </xdr:to>
    <xdr:pic>
      <xdr:nvPicPr>
        <xdr:cNvPr id="869" name="Picture 868"/>
        <xdr:cNvPicPr>
          <a:picLocks noChangeAspect="1" noChangeArrowheads="1"/>
        </xdr:cNvPicPr>
      </xdr:nvPicPr>
      <xdr:blipFill>
        <a:blip xmlns:r="http://schemas.openxmlformats.org/officeDocument/2006/relationships" r:embed="rId868">
          <a:extLst>
            <a:ext uri="{28A0092B-C50C-407E-A947-70E740481C1C}">
              <a14:useLocalDpi xmlns:a14="http://schemas.microsoft.com/office/drawing/2010/main" val="0"/>
            </a:ext>
          </a:extLst>
        </a:blip>
        <a:srcRect/>
        <a:stretch>
          <a:fillRect/>
        </a:stretch>
      </xdr:blipFill>
      <xdr:spPr bwMode="auto">
        <a:xfrm>
          <a:off x="1228725" y="1637557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870</xdr:row>
      <xdr:rowOff>19050</xdr:rowOff>
    </xdr:from>
    <xdr:to>
      <xdr:col>2</xdr:col>
      <xdr:colOff>1733550</xdr:colOff>
      <xdr:row>870</xdr:row>
      <xdr:rowOff>1666875</xdr:rowOff>
    </xdr:to>
    <xdr:pic>
      <xdr:nvPicPr>
        <xdr:cNvPr id="870" name="Picture 869"/>
        <xdr:cNvPicPr>
          <a:picLocks noChangeAspect="1" noChangeArrowheads="1"/>
        </xdr:cNvPicPr>
      </xdr:nvPicPr>
      <xdr:blipFill>
        <a:blip xmlns:r="http://schemas.openxmlformats.org/officeDocument/2006/relationships" r:embed="rId869">
          <a:extLst>
            <a:ext uri="{28A0092B-C50C-407E-A947-70E740481C1C}">
              <a14:useLocalDpi xmlns:a14="http://schemas.microsoft.com/office/drawing/2010/main" val="0"/>
            </a:ext>
          </a:extLst>
        </a:blip>
        <a:srcRect/>
        <a:stretch>
          <a:fillRect/>
        </a:stretch>
      </xdr:blipFill>
      <xdr:spPr bwMode="auto">
        <a:xfrm>
          <a:off x="1228725" y="1639471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871</xdr:row>
      <xdr:rowOff>19050</xdr:rowOff>
    </xdr:from>
    <xdr:to>
      <xdr:col>2</xdr:col>
      <xdr:colOff>1733550</xdr:colOff>
      <xdr:row>871</xdr:row>
      <xdr:rowOff>1666875</xdr:rowOff>
    </xdr:to>
    <xdr:pic>
      <xdr:nvPicPr>
        <xdr:cNvPr id="871" name="Picture 870"/>
        <xdr:cNvPicPr>
          <a:picLocks noChangeAspect="1" noChangeArrowheads="1"/>
        </xdr:cNvPicPr>
      </xdr:nvPicPr>
      <xdr:blipFill>
        <a:blip xmlns:r="http://schemas.openxmlformats.org/officeDocument/2006/relationships" r:embed="rId870">
          <a:extLst>
            <a:ext uri="{28A0092B-C50C-407E-A947-70E740481C1C}">
              <a14:useLocalDpi xmlns:a14="http://schemas.microsoft.com/office/drawing/2010/main" val="0"/>
            </a:ext>
          </a:extLst>
        </a:blip>
        <a:srcRect/>
        <a:stretch>
          <a:fillRect/>
        </a:stretch>
      </xdr:blipFill>
      <xdr:spPr bwMode="auto">
        <a:xfrm>
          <a:off x="1228725" y="1641386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872</xdr:row>
      <xdr:rowOff>19050</xdr:rowOff>
    </xdr:from>
    <xdr:to>
      <xdr:col>2</xdr:col>
      <xdr:colOff>1733550</xdr:colOff>
      <xdr:row>872</xdr:row>
      <xdr:rowOff>1666875</xdr:rowOff>
    </xdr:to>
    <xdr:pic>
      <xdr:nvPicPr>
        <xdr:cNvPr id="872" name="Picture 871"/>
        <xdr:cNvPicPr>
          <a:picLocks noChangeAspect="1" noChangeArrowheads="1"/>
        </xdr:cNvPicPr>
      </xdr:nvPicPr>
      <xdr:blipFill>
        <a:blip xmlns:r="http://schemas.openxmlformats.org/officeDocument/2006/relationships" r:embed="rId871">
          <a:extLst>
            <a:ext uri="{28A0092B-C50C-407E-A947-70E740481C1C}">
              <a14:useLocalDpi xmlns:a14="http://schemas.microsoft.com/office/drawing/2010/main" val="0"/>
            </a:ext>
          </a:extLst>
        </a:blip>
        <a:srcRect/>
        <a:stretch>
          <a:fillRect/>
        </a:stretch>
      </xdr:blipFill>
      <xdr:spPr bwMode="auto">
        <a:xfrm>
          <a:off x="1228725" y="1643300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873</xdr:row>
      <xdr:rowOff>19050</xdr:rowOff>
    </xdr:from>
    <xdr:to>
      <xdr:col>2</xdr:col>
      <xdr:colOff>1733550</xdr:colOff>
      <xdr:row>873</xdr:row>
      <xdr:rowOff>1666875</xdr:rowOff>
    </xdr:to>
    <xdr:pic>
      <xdr:nvPicPr>
        <xdr:cNvPr id="873" name="Picture 872"/>
        <xdr:cNvPicPr>
          <a:picLocks noChangeAspect="1" noChangeArrowheads="1"/>
        </xdr:cNvPicPr>
      </xdr:nvPicPr>
      <xdr:blipFill>
        <a:blip xmlns:r="http://schemas.openxmlformats.org/officeDocument/2006/relationships" r:embed="rId872">
          <a:extLst>
            <a:ext uri="{28A0092B-C50C-407E-A947-70E740481C1C}">
              <a14:useLocalDpi xmlns:a14="http://schemas.microsoft.com/office/drawing/2010/main" val="0"/>
            </a:ext>
          </a:extLst>
        </a:blip>
        <a:srcRect/>
        <a:stretch>
          <a:fillRect/>
        </a:stretch>
      </xdr:blipFill>
      <xdr:spPr bwMode="auto">
        <a:xfrm>
          <a:off x="1228725" y="1645215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874</xdr:row>
      <xdr:rowOff>19050</xdr:rowOff>
    </xdr:from>
    <xdr:to>
      <xdr:col>2</xdr:col>
      <xdr:colOff>1733550</xdr:colOff>
      <xdr:row>874</xdr:row>
      <xdr:rowOff>1666875</xdr:rowOff>
    </xdr:to>
    <xdr:pic>
      <xdr:nvPicPr>
        <xdr:cNvPr id="874" name="Picture 873"/>
        <xdr:cNvPicPr>
          <a:picLocks noChangeAspect="1" noChangeArrowheads="1"/>
        </xdr:cNvPicPr>
      </xdr:nvPicPr>
      <xdr:blipFill>
        <a:blip xmlns:r="http://schemas.openxmlformats.org/officeDocument/2006/relationships" r:embed="rId873">
          <a:extLst>
            <a:ext uri="{28A0092B-C50C-407E-A947-70E740481C1C}">
              <a14:useLocalDpi xmlns:a14="http://schemas.microsoft.com/office/drawing/2010/main" val="0"/>
            </a:ext>
          </a:extLst>
        </a:blip>
        <a:srcRect/>
        <a:stretch>
          <a:fillRect/>
        </a:stretch>
      </xdr:blipFill>
      <xdr:spPr bwMode="auto">
        <a:xfrm>
          <a:off x="1228725" y="1647129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875</xdr:row>
      <xdr:rowOff>19050</xdr:rowOff>
    </xdr:from>
    <xdr:to>
      <xdr:col>2</xdr:col>
      <xdr:colOff>1733550</xdr:colOff>
      <xdr:row>875</xdr:row>
      <xdr:rowOff>1666875</xdr:rowOff>
    </xdr:to>
    <xdr:pic>
      <xdr:nvPicPr>
        <xdr:cNvPr id="875" name="Picture 874"/>
        <xdr:cNvPicPr>
          <a:picLocks noChangeAspect="1" noChangeArrowheads="1"/>
        </xdr:cNvPicPr>
      </xdr:nvPicPr>
      <xdr:blipFill>
        <a:blip xmlns:r="http://schemas.openxmlformats.org/officeDocument/2006/relationships" r:embed="rId874">
          <a:extLst>
            <a:ext uri="{28A0092B-C50C-407E-A947-70E740481C1C}">
              <a14:useLocalDpi xmlns:a14="http://schemas.microsoft.com/office/drawing/2010/main" val="0"/>
            </a:ext>
          </a:extLst>
        </a:blip>
        <a:srcRect/>
        <a:stretch>
          <a:fillRect/>
        </a:stretch>
      </xdr:blipFill>
      <xdr:spPr bwMode="auto">
        <a:xfrm>
          <a:off x="1228725" y="1649044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876</xdr:row>
      <xdr:rowOff>19050</xdr:rowOff>
    </xdr:from>
    <xdr:to>
      <xdr:col>2</xdr:col>
      <xdr:colOff>1733550</xdr:colOff>
      <xdr:row>876</xdr:row>
      <xdr:rowOff>1666875</xdr:rowOff>
    </xdr:to>
    <xdr:pic>
      <xdr:nvPicPr>
        <xdr:cNvPr id="876" name="Picture 875"/>
        <xdr:cNvPicPr>
          <a:picLocks noChangeAspect="1" noChangeArrowheads="1"/>
        </xdr:cNvPicPr>
      </xdr:nvPicPr>
      <xdr:blipFill>
        <a:blip xmlns:r="http://schemas.openxmlformats.org/officeDocument/2006/relationships" r:embed="rId875">
          <a:extLst>
            <a:ext uri="{28A0092B-C50C-407E-A947-70E740481C1C}">
              <a14:useLocalDpi xmlns:a14="http://schemas.microsoft.com/office/drawing/2010/main" val="0"/>
            </a:ext>
          </a:extLst>
        </a:blip>
        <a:srcRect/>
        <a:stretch>
          <a:fillRect/>
        </a:stretch>
      </xdr:blipFill>
      <xdr:spPr bwMode="auto">
        <a:xfrm>
          <a:off x="1228725" y="1650958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877</xdr:row>
      <xdr:rowOff>19050</xdr:rowOff>
    </xdr:from>
    <xdr:to>
      <xdr:col>2</xdr:col>
      <xdr:colOff>1733550</xdr:colOff>
      <xdr:row>877</xdr:row>
      <xdr:rowOff>1666875</xdr:rowOff>
    </xdr:to>
    <xdr:pic>
      <xdr:nvPicPr>
        <xdr:cNvPr id="877" name="Picture 876"/>
        <xdr:cNvPicPr>
          <a:picLocks noChangeAspect="1" noChangeArrowheads="1"/>
        </xdr:cNvPicPr>
      </xdr:nvPicPr>
      <xdr:blipFill>
        <a:blip xmlns:r="http://schemas.openxmlformats.org/officeDocument/2006/relationships" r:embed="rId876">
          <a:extLst>
            <a:ext uri="{28A0092B-C50C-407E-A947-70E740481C1C}">
              <a14:useLocalDpi xmlns:a14="http://schemas.microsoft.com/office/drawing/2010/main" val="0"/>
            </a:ext>
          </a:extLst>
        </a:blip>
        <a:srcRect/>
        <a:stretch>
          <a:fillRect/>
        </a:stretch>
      </xdr:blipFill>
      <xdr:spPr bwMode="auto">
        <a:xfrm>
          <a:off x="1228725" y="1652873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878</xdr:row>
      <xdr:rowOff>19050</xdr:rowOff>
    </xdr:from>
    <xdr:to>
      <xdr:col>2</xdr:col>
      <xdr:colOff>1733550</xdr:colOff>
      <xdr:row>878</xdr:row>
      <xdr:rowOff>1666875</xdr:rowOff>
    </xdr:to>
    <xdr:pic>
      <xdr:nvPicPr>
        <xdr:cNvPr id="878" name="Picture 877"/>
        <xdr:cNvPicPr>
          <a:picLocks noChangeAspect="1" noChangeArrowheads="1"/>
        </xdr:cNvPicPr>
      </xdr:nvPicPr>
      <xdr:blipFill>
        <a:blip xmlns:r="http://schemas.openxmlformats.org/officeDocument/2006/relationships" r:embed="rId877">
          <a:extLst>
            <a:ext uri="{28A0092B-C50C-407E-A947-70E740481C1C}">
              <a14:useLocalDpi xmlns:a14="http://schemas.microsoft.com/office/drawing/2010/main" val="0"/>
            </a:ext>
          </a:extLst>
        </a:blip>
        <a:srcRect/>
        <a:stretch>
          <a:fillRect/>
        </a:stretch>
      </xdr:blipFill>
      <xdr:spPr bwMode="auto">
        <a:xfrm>
          <a:off x="1228725" y="1654787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879</xdr:row>
      <xdr:rowOff>19050</xdr:rowOff>
    </xdr:from>
    <xdr:to>
      <xdr:col>2</xdr:col>
      <xdr:colOff>1733550</xdr:colOff>
      <xdr:row>879</xdr:row>
      <xdr:rowOff>1666875</xdr:rowOff>
    </xdr:to>
    <xdr:pic>
      <xdr:nvPicPr>
        <xdr:cNvPr id="879" name="Picture 878"/>
        <xdr:cNvPicPr>
          <a:picLocks noChangeAspect="1" noChangeArrowheads="1"/>
        </xdr:cNvPicPr>
      </xdr:nvPicPr>
      <xdr:blipFill>
        <a:blip xmlns:r="http://schemas.openxmlformats.org/officeDocument/2006/relationships" r:embed="rId878">
          <a:extLst>
            <a:ext uri="{28A0092B-C50C-407E-A947-70E740481C1C}">
              <a14:useLocalDpi xmlns:a14="http://schemas.microsoft.com/office/drawing/2010/main" val="0"/>
            </a:ext>
          </a:extLst>
        </a:blip>
        <a:srcRect/>
        <a:stretch>
          <a:fillRect/>
        </a:stretch>
      </xdr:blipFill>
      <xdr:spPr bwMode="auto">
        <a:xfrm>
          <a:off x="1228725" y="1656702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880</xdr:row>
      <xdr:rowOff>19050</xdr:rowOff>
    </xdr:from>
    <xdr:to>
      <xdr:col>2</xdr:col>
      <xdr:colOff>1733550</xdr:colOff>
      <xdr:row>880</xdr:row>
      <xdr:rowOff>1666875</xdr:rowOff>
    </xdr:to>
    <xdr:pic>
      <xdr:nvPicPr>
        <xdr:cNvPr id="880" name="Picture 879"/>
        <xdr:cNvPicPr>
          <a:picLocks noChangeAspect="1" noChangeArrowheads="1"/>
        </xdr:cNvPicPr>
      </xdr:nvPicPr>
      <xdr:blipFill>
        <a:blip xmlns:r="http://schemas.openxmlformats.org/officeDocument/2006/relationships" r:embed="rId879">
          <a:extLst>
            <a:ext uri="{28A0092B-C50C-407E-A947-70E740481C1C}">
              <a14:useLocalDpi xmlns:a14="http://schemas.microsoft.com/office/drawing/2010/main" val="0"/>
            </a:ext>
          </a:extLst>
        </a:blip>
        <a:srcRect/>
        <a:stretch>
          <a:fillRect/>
        </a:stretch>
      </xdr:blipFill>
      <xdr:spPr bwMode="auto">
        <a:xfrm>
          <a:off x="1228725" y="1658616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881</xdr:row>
      <xdr:rowOff>19050</xdr:rowOff>
    </xdr:from>
    <xdr:to>
      <xdr:col>2</xdr:col>
      <xdr:colOff>1733550</xdr:colOff>
      <xdr:row>881</xdr:row>
      <xdr:rowOff>1666875</xdr:rowOff>
    </xdr:to>
    <xdr:pic>
      <xdr:nvPicPr>
        <xdr:cNvPr id="881" name="Picture 880"/>
        <xdr:cNvPicPr>
          <a:picLocks noChangeAspect="1" noChangeArrowheads="1"/>
        </xdr:cNvPicPr>
      </xdr:nvPicPr>
      <xdr:blipFill>
        <a:blip xmlns:r="http://schemas.openxmlformats.org/officeDocument/2006/relationships" r:embed="rId880">
          <a:extLst>
            <a:ext uri="{28A0092B-C50C-407E-A947-70E740481C1C}">
              <a14:useLocalDpi xmlns:a14="http://schemas.microsoft.com/office/drawing/2010/main" val="0"/>
            </a:ext>
          </a:extLst>
        </a:blip>
        <a:srcRect/>
        <a:stretch>
          <a:fillRect/>
        </a:stretch>
      </xdr:blipFill>
      <xdr:spPr bwMode="auto">
        <a:xfrm>
          <a:off x="1228725" y="1660531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882</xdr:row>
      <xdr:rowOff>19050</xdr:rowOff>
    </xdr:from>
    <xdr:to>
      <xdr:col>2</xdr:col>
      <xdr:colOff>1733550</xdr:colOff>
      <xdr:row>882</xdr:row>
      <xdr:rowOff>1666875</xdr:rowOff>
    </xdr:to>
    <xdr:pic>
      <xdr:nvPicPr>
        <xdr:cNvPr id="882" name="Picture 881"/>
        <xdr:cNvPicPr>
          <a:picLocks noChangeAspect="1" noChangeArrowheads="1"/>
        </xdr:cNvPicPr>
      </xdr:nvPicPr>
      <xdr:blipFill>
        <a:blip xmlns:r="http://schemas.openxmlformats.org/officeDocument/2006/relationships" r:embed="rId881">
          <a:extLst>
            <a:ext uri="{28A0092B-C50C-407E-A947-70E740481C1C}">
              <a14:useLocalDpi xmlns:a14="http://schemas.microsoft.com/office/drawing/2010/main" val="0"/>
            </a:ext>
          </a:extLst>
        </a:blip>
        <a:srcRect/>
        <a:stretch>
          <a:fillRect/>
        </a:stretch>
      </xdr:blipFill>
      <xdr:spPr bwMode="auto">
        <a:xfrm>
          <a:off x="1228725" y="166244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883</xdr:row>
      <xdr:rowOff>19050</xdr:rowOff>
    </xdr:from>
    <xdr:to>
      <xdr:col>2</xdr:col>
      <xdr:colOff>1733550</xdr:colOff>
      <xdr:row>883</xdr:row>
      <xdr:rowOff>1666875</xdr:rowOff>
    </xdr:to>
    <xdr:pic>
      <xdr:nvPicPr>
        <xdr:cNvPr id="883" name="Picture 882"/>
        <xdr:cNvPicPr>
          <a:picLocks noChangeAspect="1" noChangeArrowheads="1"/>
        </xdr:cNvPicPr>
      </xdr:nvPicPr>
      <xdr:blipFill>
        <a:blip xmlns:r="http://schemas.openxmlformats.org/officeDocument/2006/relationships" r:embed="rId882">
          <a:extLst>
            <a:ext uri="{28A0092B-C50C-407E-A947-70E740481C1C}">
              <a14:useLocalDpi xmlns:a14="http://schemas.microsoft.com/office/drawing/2010/main" val="0"/>
            </a:ext>
          </a:extLst>
        </a:blip>
        <a:srcRect/>
        <a:stretch>
          <a:fillRect/>
        </a:stretch>
      </xdr:blipFill>
      <xdr:spPr bwMode="auto">
        <a:xfrm>
          <a:off x="1228725" y="166436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884</xdr:row>
      <xdr:rowOff>19050</xdr:rowOff>
    </xdr:from>
    <xdr:to>
      <xdr:col>2</xdr:col>
      <xdr:colOff>1733550</xdr:colOff>
      <xdr:row>884</xdr:row>
      <xdr:rowOff>1666875</xdr:rowOff>
    </xdr:to>
    <xdr:pic>
      <xdr:nvPicPr>
        <xdr:cNvPr id="884" name="Picture 883"/>
        <xdr:cNvPicPr>
          <a:picLocks noChangeAspect="1" noChangeArrowheads="1"/>
        </xdr:cNvPicPr>
      </xdr:nvPicPr>
      <xdr:blipFill>
        <a:blip xmlns:r="http://schemas.openxmlformats.org/officeDocument/2006/relationships" r:embed="rId883">
          <a:extLst>
            <a:ext uri="{28A0092B-C50C-407E-A947-70E740481C1C}">
              <a14:useLocalDpi xmlns:a14="http://schemas.microsoft.com/office/drawing/2010/main" val="0"/>
            </a:ext>
          </a:extLst>
        </a:blip>
        <a:srcRect/>
        <a:stretch>
          <a:fillRect/>
        </a:stretch>
      </xdr:blipFill>
      <xdr:spPr bwMode="auto">
        <a:xfrm>
          <a:off x="1228725" y="166627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885</xdr:row>
      <xdr:rowOff>19050</xdr:rowOff>
    </xdr:from>
    <xdr:to>
      <xdr:col>2</xdr:col>
      <xdr:colOff>1733550</xdr:colOff>
      <xdr:row>885</xdr:row>
      <xdr:rowOff>1666875</xdr:rowOff>
    </xdr:to>
    <xdr:pic>
      <xdr:nvPicPr>
        <xdr:cNvPr id="885" name="Picture 884"/>
        <xdr:cNvPicPr>
          <a:picLocks noChangeAspect="1" noChangeArrowheads="1"/>
        </xdr:cNvPicPr>
      </xdr:nvPicPr>
      <xdr:blipFill>
        <a:blip xmlns:r="http://schemas.openxmlformats.org/officeDocument/2006/relationships" r:embed="rId884">
          <a:extLst>
            <a:ext uri="{28A0092B-C50C-407E-A947-70E740481C1C}">
              <a14:useLocalDpi xmlns:a14="http://schemas.microsoft.com/office/drawing/2010/main" val="0"/>
            </a:ext>
          </a:extLst>
        </a:blip>
        <a:srcRect/>
        <a:stretch>
          <a:fillRect/>
        </a:stretch>
      </xdr:blipFill>
      <xdr:spPr bwMode="auto">
        <a:xfrm>
          <a:off x="1228725" y="166818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886</xdr:row>
      <xdr:rowOff>19050</xdr:rowOff>
    </xdr:from>
    <xdr:to>
      <xdr:col>2</xdr:col>
      <xdr:colOff>1733550</xdr:colOff>
      <xdr:row>886</xdr:row>
      <xdr:rowOff>1666875</xdr:rowOff>
    </xdr:to>
    <xdr:pic>
      <xdr:nvPicPr>
        <xdr:cNvPr id="886" name="Picture 885"/>
        <xdr:cNvPicPr>
          <a:picLocks noChangeAspect="1" noChangeArrowheads="1"/>
        </xdr:cNvPicPr>
      </xdr:nvPicPr>
      <xdr:blipFill>
        <a:blip xmlns:r="http://schemas.openxmlformats.org/officeDocument/2006/relationships" r:embed="rId885">
          <a:extLst>
            <a:ext uri="{28A0092B-C50C-407E-A947-70E740481C1C}">
              <a14:useLocalDpi xmlns:a14="http://schemas.microsoft.com/office/drawing/2010/main" val="0"/>
            </a:ext>
          </a:extLst>
        </a:blip>
        <a:srcRect/>
        <a:stretch>
          <a:fillRect/>
        </a:stretch>
      </xdr:blipFill>
      <xdr:spPr bwMode="auto">
        <a:xfrm>
          <a:off x="1228725" y="1670103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887</xdr:row>
      <xdr:rowOff>19050</xdr:rowOff>
    </xdr:from>
    <xdr:to>
      <xdr:col>2</xdr:col>
      <xdr:colOff>1733550</xdr:colOff>
      <xdr:row>887</xdr:row>
      <xdr:rowOff>1666875</xdr:rowOff>
    </xdr:to>
    <xdr:pic>
      <xdr:nvPicPr>
        <xdr:cNvPr id="887" name="Picture 886"/>
        <xdr:cNvPicPr>
          <a:picLocks noChangeAspect="1" noChangeArrowheads="1"/>
        </xdr:cNvPicPr>
      </xdr:nvPicPr>
      <xdr:blipFill>
        <a:blip xmlns:r="http://schemas.openxmlformats.org/officeDocument/2006/relationships" r:embed="rId886">
          <a:extLst>
            <a:ext uri="{28A0092B-C50C-407E-A947-70E740481C1C}">
              <a14:useLocalDpi xmlns:a14="http://schemas.microsoft.com/office/drawing/2010/main" val="0"/>
            </a:ext>
          </a:extLst>
        </a:blip>
        <a:srcRect/>
        <a:stretch>
          <a:fillRect/>
        </a:stretch>
      </xdr:blipFill>
      <xdr:spPr bwMode="auto">
        <a:xfrm>
          <a:off x="1228725" y="1672018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888</xdr:row>
      <xdr:rowOff>19050</xdr:rowOff>
    </xdr:from>
    <xdr:to>
      <xdr:col>2</xdr:col>
      <xdr:colOff>1733550</xdr:colOff>
      <xdr:row>888</xdr:row>
      <xdr:rowOff>1666875</xdr:rowOff>
    </xdr:to>
    <xdr:pic>
      <xdr:nvPicPr>
        <xdr:cNvPr id="888" name="Picture 887"/>
        <xdr:cNvPicPr>
          <a:picLocks noChangeAspect="1" noChangeArrowheads="1"/>
        </xdr:cNvPicPr>
      </xdr:nvPicPr>
      <xdr:blipFill>
        <a:blip xmlns:r="http://schemas.openxmlformats.org/officeDocument/2006/relationships" r:embed="rId887">
          <a:extLst>
            <a:ext uri="{28A0092B-C50C-407E-A947-70E740481C1C}">
              <a14:useLocalDpi xmlns:a14="http://schemas.microsoft.com/office/drawing/2010/main" val="0"/>
            </a:ext>
          </a:extLst>
        </a:blip>
        <a:srcRect/>
        <a:stretch>
          <a:fillRect/>
        </a:stretch>
      </xdr:blipFill>
      <xdr:spPr bwMode="auto">
        <a:xfrm>
          <a:off x="1228725" y="1673933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889</xdr:row>
      <xdr:rowOff>19050</xdr:rowOff>
    </xdr:from>
    <xdr:to>
      <xdr:col>2</xdr:col>
      <xdr:colOff>1733550</xdr:colOff>
      <xdr:row>889</xdr:row>
      <xdr:rowOff>1666875</xdr:rowOff>
    </xdr:to>
    <xdr:pic>
      <xdr:nvPicPr>
        <xdr:cNvPr id="889" name="Picture 888"/>
        <xdr:cNvPicPr>
          <a:picLocks noChangeAspect="1" noChangeArrowheads="1"/>
        </xdr:cNvPicPr>
      </xdr:nvPicPr>
      <xdr:blipFill>
        <a:blip xmlns:r="http://schemas.openxmlformats.org/officeDocument/2006/relationships" r:embed="rId888">
          <a:extLst>
            <a:ext uri="{28A0092B-C50C-407E-A947-70E740481C1C}">
              <a14:useLocalDpi xmlns:a14="http://schemas.microsoft.com/office/drawing/2010/main" val="0"/>
            </a:ext>
          </a:extLst>
        </a:blip>
        <a:srcRect/>
        <a:stretch>
          <a:fillRect/>
        </a:stretch>
      </xdr:blipFill>
      <xdr:spPr bwMode="auto">
        <a:xfrm>
          <a:off x="1228725" y="1675847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890</xdr:row>
      <xdr:rowOff>19050</xdr:rowOff>
    </xdr:from>
    <xdr:to>
      <xdr:col>2</xdr:col>
      <xdr:colOff>1733550</xdr:colOff>
      <xdr:row>890</xdr:row>
      <xdr:rowOff>1666875</xdr:rowOff>
    </xdr:to>
    <xdr:pic>
      <xdr:nvPicPr>
        <xdr:cNvPr id="890" name="Picture 889"/>
        <xdr:cNvPicPr>
          <a:picLocks noChangeAspect="1" noChangeArrowheads="1"/>
        </xdr:cNvPicPr>
      </xdr:nvPicPr>
      <xdr:blipFill>
        <a:blip xmlns:r="http://schemas.openxmlformats.org/officeDocument/2006/relationships" r:embed="rId889">
          <a:extLst>
            <a:ext uri="{28A0092B-C50C-407E-A947-70E740481C1C}">
              <a14:useLocalDpi xmlns:a14="http://schemas.microsoft.com/office/drawing/2010/main" val="0"/>
            </a:ext>
          </a:extLst>
        </a:blip>
        <a:srcRect/>
        <a:stretch>
          <a:fillRect/>
        </a:stretch>
      </xdr:blipFill>
      <xdr:spPr bwMode="auto">
        <a:xfrm>
          <a:off x="1228725" y="167776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891</xdr:row>
      <xdr:rowOff>19050</xdr:rowOff>
    </xdr:from>
    <xdr:to>
      <xdr:col>2</xdr:col>
      <xdr:colOff>1733550</xdr:colOff>
      <xdr:row>891</xdr:row>
      <xdr:rowOff>1666875</xdr:rowOff>
    </xdr:to>
    <xdr:pic>
      <xdr:nvPicPr>
        <xdr:cNvPr id="891" name="Picture 890"/>
        <xdr:cNvPicPr>
          <a:picLocks noChangeAspect="1" noChangeArrowheads="1"/>
        </xdr:cNvPicPr>
      </xdr:nvPicPr>
      <xdr:blipFill>
        <a:blip xmlns:r="http://schemas.openxmlformats.org/officeDocument/2006/relationships" r:embed="rId890">
          <a:extLst>
            <a:ext uri="{28A0092B-C50C-407E-A947-70E740481C1C}">
              <a14:useLocalDpi xmlns:a14="http://schemas.microsoft.com/office/drawing/2010/main" val="0"/>
            </a:ext>
          </a:extLst>
        </a:blip>
        <a:srcRect/>
        <a:stretch>
          <a:fillRect/>
        </a:stretch>
      </xdr:blipFill>
      <xdr:spPr bwMode="auto">
        <a:xfrm>
          <a:off x="1228725" y="167967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892</xdr:row>
      <xdr:rowOff>19050</xdr:rowOff>
    </xdr:from>
    <xdr:to>
      <xdr:col>2</xdr:col>
      <xdr:colOff>1733550</xdr:colOff>
      <xdr:row>892</xdr:row>
      <xdr:rowOff>1666875</xdr:rowOff>
    </xdr:to>
    <xdr:pic>
      <xdr:nvPicPr>
        <xdr:cNvPr id="892" name="Picture 891"/>
        <xdr:cNvPicPr>
          <a:picLocks noChangeAspect="1" noChangeArrowheads="1"/>
        </xdr:cNvPicPr>
      </xdr:nvPicPr>
      <xdr:blipFill>
        <a:blip xmlns:r="http://schemas.openxmlformats.org/officeDocument/2006/relationships" r:embed="rId891">
          <a:extLst>
            <a:ext uri="{28A0092B-C50C-407E-A947-70E740481C1C}">
              <a14:useLocalDpi xmlns:a14="http://schemas.microsoft.com/office/drawing/2010/main" val="0"/>
            </a:ext>
          </a:extLst>
        </a:blip>
        <a:srcRect/>
        <a:stretch>
          <a:fillRect/>
        </a:stretch>
      </xdr:blipFill>
      <xdr:spPr bwMode="auto">
        <a:xfrm>
          <a:off x="1228725" y="1681591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893</xdr:row>
      <xdr:rowOff>19050</xdr:rowOff>
    </xdr:from>
    <xdr:to>
      <xdr:col>2</xdr:col>
      <xdr:colOff>1733550</xdr:colOff>
      <xdr:row>893</xdr:row>
      <xdr:rowOff>1666875</xdr:rowOff>
    </xdr:to>
    <xdr:pic>
      <xdr:nvPicPr>
        <xdr:cNvPr id="893" name="Picture 892"/>
        <xdr:cNvPicPr>
          <a:picLocks noChangeAspect="1" noChangeArrowheads="1"/>
        </xdr:cNvPicPr>
      </xdr:nvPicPr>
      <xdr:blipFill>
        <a:blip xmlns:r="http://schemas.openxmlformats.org/officeDocument/2006/relationships" r:embed="rId892">
          <a:extLst>
            <a:ext uri="{28A0092B-C50C-407E-A947-70E740481C1C}">
              <a14:useLocalDpi xmlns:a14="http://schemas.microsoft.com/office/drawing/2010/main" val="0"/>
            </a:ext>
          </a:extLst>
        </a:blip>
        <a:srcRect/>
        <a:stretch>
          <a:fillRect/>
        </a:stretch>
      </xdr:blipFill>
      <xdr:spPr bwMode="auto">
        <a:xfrm>
          <a:off x="1228725" y="1683505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894</xdr:row>
      <xdr:rowOff>19050</xdr:rowOff>
    </xdr:from>
    <xdr:to>
      <xdr:col>2</xdr:col>
      <xdr:colOff>1733550</xdr:colOff>
      <xdr:row>894</xdr:row>
      <xdr:rowOff>1666875</xdr:rowOff>
    </xdr:to>
    <xdr:pic>
      <xdr:nvPicPr>
        <xdr:cNvPr id="894" name="Picture 893"/>
        <xdr:cNvPicPr>
          <a:picLocks noChangeAspect="1" noChangeArrowheads="1"/>
        </xdr:cNvPicPr>
      </xdr:nvPicPr>
      <xdr:blipFill>
        <a:blip xmlns:r="http://schemas.openxmlformats.org/officeDocument/2006/relationships" r:embed="rId893">
          <a:extLst>
            <a:ext uri="{28A0092B-C50C-407E-A947-70E740481C1C}">
              <a14:useLocalDpi xmlns:a14="http://schemas.microsoft.com/office/drawing/2010/main" val="0"/>
            </a:ext>
          </a:extLst>
        </a:blip>
        <a:srcRect/>
        <a:stretch>
          <a:fillRect/>
        </a:stretch>
      </xdr:blipFill>
      <xdr:spPr bwMode="auto">
        <a:xfrm>
          <a:off x="1228725" y="168542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895</xdr:row>
      <xdr:rowOff>19050</xdr:rowOff>
    </xdr:from>
    <xdr:to>
      <xdr:col>2</xdr:col>
      <xdr:colOff>1733550</xdr:colOff>
      <xdr:row>895</xdr:row>
      <xdr:rowOff>1666875</xdr:rowOff>
    </xdr:to>
    <xdr:pic>
      <xdr:nvPicPr>
        <xdr:cNvPr id="895" name="Picture 894"/>
        <xdr:cNvPicPr>
          <a:picLocks noChangeAspect="1" noChangeArrowheads="1"/>
        </xdr:cNvPicPr>
      </xdr:nvPicPr>
      <xdr:blipFill>
        <a:blip xmlns:r="http://schemas.openxmlformats.org/officeDocument/2006/relationships" r:embed="rId894">
          <a:extLst>
            <a:ext uri="{28A0092B-C50C-407E-A947-70E740481C1C}">
              <a14:useLocalDpi xmlns:a14="http://schemas.microsoft.com/office/drawing/2010/main" val="0"/>
            </a:ext>
          </a:extLst>
        </a:blip>
        <a:srcRect/>
        <a:stretch>
          <a:fillRect/>
        </a:stretch>
      </xdr:blipFill>
      <xdr:spPr bwMode="auto">
        <a:xfrm>
          <a:off x="1228725" y="168733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896</xdr:row>
      <xdr:rowOff>19050</xdr:rowOff>
    </xdr:from>
    <xdr:to>
      <xdr:col>2</xdr:col>
      <xdr:colOff>1733550</xdr:colOff>
      <xdr:row>896</xdr:row>
      <xdr:rowOff>1666875</xdr:rowOff>
    </xdr:to>
    <xdr:pic>
      <xdr:nvPicPr>
        <xdr:cNvPr id="896" name="Picture 895"/>
        <xdr:cNvPicPr>
          <a:picLocks noChangeAspect="1" noChangeArrowheads="1"/>
        </xdr:cNvPicPr>
      </xdr:nvPicPr>
      <xdr:blipFill>
        <a:blip xmlns:r="http://schemas.openxmlformats.org/officeDocument/2006/relationships" r:embed="rId895">
          <a:extLst>
            <a:ext uri="{28A0092B-C50C-407E-A947-70E740481C1C}">
              <a14:useLocalDpi xmlns:a14="http://schemas.microsoft.com/office/drawing/2010/main" val="0"/>
            </a:ext>
          </a:extLst>
        </a:blip>
        <a:srcRect/>
        <a:stretch>
          <a:fillRect/>
        </a:stretch>
      </xdr:blipFill>
      <xdr:spPr bwMode="auto">
        <a:xfrm>
          <a:off x="1228725" y="168924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897</xdr:row>
      <xdr:rowOff>19050</xdr:rowOff>
    </xdr:from>
    <xdr:to>
      <xdr:col>2</xdr:col>
      <xdr:colOff>1733550</xdr:colOff>
      <xdr:row>897</xdr:row>
      <xdr:rowOff>1666875</xdr:rowOff>
    </xdr:to>
    <xdr:pic>
      <xdr:nvPicPr>
        <xdr:cNvPr id="897" name="Picture 896"/>
        <xdr:cNvPicPr>
          <a:picLocks noChangeAspect="1" noChangeArrowheads="1"/>
        </xdr:cNvPicPr>
      </xdr:nvPicPr>
      <xdr:blipFill>
        <a:blip xmlns:r="http://schemas.openxmlformats.org/officeDocument/2006/relationships" r:embed="rId896">
          <a:extLst>
            <a:ext uri="{28A0092B-C50C-407E-A947-70E740481C1C}">
              <a14:useLocalDpi xmlns:a14="http://schemas.microsoft.com/office/drawing/2010/main" val="0"/>
            </a:ext>
          </a:extLst>
        </a:blip>
        <a:srcRect/>
        <a:stretch>
          <a:fillRect/>
        </a:stretch>
      </xdr:blipFill>
      <xdr:spPr bwMode="auto">
        <a:xfrm>
          <a:off x="1228725" y="1691163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898</xdr:row>
      <xdr:rowOff>19050</xdr:rowOff>
    </xdr:from>
    <xdr:to>
      <xdr:col>2</xdr:col>
      <xdr:colOff>1733550</xdr:colOff>
      <xdr:row>898</xdr:row>
      <xdr:rowOff>1666875</xdr:rowOff>
    </xdr:to>
    <xdr:pic>
      <xdr:nvPicPr>
        <xdr:cNvPr id="898" name="Picture 897"/>
        <xdr:cNvPicPr>
          <a:picLocks noChangeAspect="1" noChangeArrowheads="1"/>
        </xdr:cNvPicPr>
      </xdr:nvPicPr>
      <xdr:blipFill>
        <a:blip xmlns:r="http://schemas.openxmlformats.org/officeDocument/2006/relationships" r:embed="rId897">
          <a:extLst>
            <a:ext uri="{28A0092B-C50C-407E-A947-70E740481C1C}">
              <a14:useLocalDpi xmlns:a14="http://schemas.microsoft.com/office/drawing/2010/main" val="0"/>
            </a:ext>
          </a:extLst>
        </a:blip>
        <a:srcRect/>
        <a:stretch>
          <a:fillRect/>
        </a:stretch>
      </xdr:blipFill>
      <xdr:spPr bwMode="auto">
        <a:xfrm>
          <a:off x="1228725" y="1693078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899</xdr:row>
      <xdr:rowOff>19050</xdr:rowOff>
    </xdr:from>
    <xdr:to>
      <xdr:col>2</xdr:col>
      <xdr:colOff>1733550</xdr:colOff>
      <xdr:row>899</xdr:row>
      <xdr:rowOff>1666875</xdr:rowOff>
    </xdr:to>
    <xdr:pic>
      <xdr:nvPicPr>
        <xdr:cNvPr id="899" name="Picture 898"/>
        <xdr:cNvPicPr>
          <a:picLocks noChangeAspect="1" noChangeArrowheads="1"/>
        </xdr:cNvPicPr>
      </xdr:nvPicPr>
      <xdr:blipFill>
        <a:blip xmlns:r="http://schemas.openxmlformats.org/officeDocument/2006/relationships" r:embed="rId898">
          <a:extLst>
            <a:ext uri="{28A0092B-C50C-407E-A947-70E740481C1C}">
              <a14:useLocalDpi xmlns:a14="http://schemas.microsoft.com/office/drawing/2010/main" val="0"/>
            </a:ext>
          </a:extLst>
        </a:blip>
        <a:srcRect/>
        <a:stretch>
          <a:fillRect/>
        </a:stretch>
      </xdr:blipFill>
      <xdr:spPr bwMode="auto">
        <a:xfrm>
          <a:off x="1228725" y="1694992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900</xdr:row>
      <xdr:rowOff>19050</xdr:rowOff>
    </xdr:from>
    <xdr:to>
      <xdr:col>2</xdr:col>
      <xdr:colOff>1733550</xdr:colOff>
      <xdr:row>900</xdr:row>
      <xdr:rowOff>1666875</xdr:rowOff>
    </xdr:to>
    <xdr:pic>
      <xdr:nvPicPr>
        <xdr:cNvPr id="900" name="Picture 899"/>
        <xdr:cNvPicPr>
          <a:picLocks noChangeAspect="1" noChangeArrowheads="1"/>
        </xdr:cNvPicPr>
      </xdr:nvPicPr>
      <xdr:blipFill>
        <a:blip xmlns:r="http://schemas.openxmlformats.org/officeDocument/2006/relationships" r:embed="rId899">
          <a:extLst>
            <a:ext uri="{28A0092B-C50C-407E-A947-70E740481C1C}">
              <a14:useLocalDpi xmlns:a14="http://schemas.microsoft.com/office/drawing/2010/main" val="0"/>
            </a:ext>
          </a:extLst>
        </a:blip>
        <a:srcRect/>
        <a:stretch>
          <a:fillRect/>
        </a:stretch>
      </xdr:blipFill>
      <xdr:spPr bwMode="auto">
        <a:xfrm>
          <a:off x="1228725" y="1696907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901</xdr:row>
      <xdr:rowOff>19050</xdr:rowOff>
    </xdr:from>
    <xdr:to>
      <xdr:col>2</xdr:col>
      <xdr:colOff>1733550</xdr:colOff>
      <xdr:row>901</xdr:row>
      <xdr:rowOff>1666875</xdr:rowOff>
    </xdr:to>
    <xdr:pic>
      <xdr:nvPicPr>
        <xdr:cNvPr id="901" name="Picture 900"/>
        <xdr:cNvPicPr>
          <a:picLocks noChangeAspect="1" noChangeArrowheads="1"/>
        </xdr:cNvPicPr>
      </xdr:nvPicPr>
      <xdr:blipFill>
        <a:blip xmlns:r="http://schemas.openxmlformats.org/officeDocument/2006/relationships" r:embed="rId900">
          <a:extLst>
            <a:ext uri="{28A0092B-C50C-407E-A947-70E740481C1C}">
              <a14:useLocalDpi xmlns:a14="http://schemas.microsoft.com/office/drawing/2010/main" val="0"/>
            </a:ext>
          </a:extLst>
        </a:blip>
        <a:srcRect/>
        <a:stretch>
          <a:fillRect/>
        </a:stretch>
      </xdr:blipFill>
      <xdr:spPr bwMode="auto">
        <a:xfrm>
          <a:off x="1228725" y="1698821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902</xdr:row>
      <xdr:rowOff>19050</xdr:rowOff>
    </xdr:from>
    <xdr:to>
      <xdr:col>2</xdr:col>
      <xdr:colOff>1733550</xdr:colOff>
      <xdr:row>902</xdr:row>
      <xdr:rowOff>1666875</xdr:rowOff>
    </xdr:to>
    <xdr:pic>
      <xdr:nvPicPr>
        <xdr:cNvPr id="902" name="Picture 901"/>
        <xdr:cNvPicPr>
          <a:picLocks noChangeAspect="1" noChangeArrowheads="1"/>
        </xdr:cNvPicPr>
      </xdr:nvPicPr>
      <xdr:blipFill>
        <a:blip xmlns:r="http://schemas.openxmlformats.org/officeDocument/2006/relationships" r:embed="rId901">
          <a:extLst>
            <a:ext uri="{28A0092B-C50C-407E-A947-70E740481C1C}">
              <a14:useLocalDpi xmlns:a14="http://schemas.microsoft.com/office/drawing/2010/main" val="0"/>
            </a:ext>
          </a:extLst>
        </a:blip>
        <a:srcRect/>
        <a:stretch>
          <a:fillRect/>
        </a:stretch>
      </xdr:blipFill>
      <xdr:spPr bwMode="auto">
        <a:xfrm>
          <a:off x="1228725" y="1700736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903</xdr:row>
      <xdr:rowOff>19050</xdr:rowOff>
    </xdr:from>
    <xdr:to>
      <xdr:col>2</xdr:col>
      <xdr:colOff>1733550</xdr:colOff>
      <xdr:row>903</xdr:row>
      <xdr:rowOff>1666875</xdr:rowOff>
    </xdr:to>
    <xdr:pic>
      <xdr:nvPicPr>
        <xdr:cNvPr id="903" name="Picture 902"/>
        <xdr:cNvPicPr>
          <a:picLocks noChangeAspect="1" noChangeArrowheads="1"/>
        </xdr:cNvPicPr>
      </xdr:nvPicPr>
      <xdr:blipFill>
        <a:blip xmlns:r="http://schemas.openxmlformats.org/officeDocument/2006/relationships" r:embed="rId902">
          <a:extLst>
            <a:ext uri="{28A0092B-C50C-407E-A947-70E740481C1C}">
              <a14:useLocalDpi xmlns:a14="http://schemas.microsoft.com/office/drawing/2010/main" val="0"/>
            </a:ext>
          </a:extLst>
        </a:blip>
        <a:srcRect/>
        <a:stretch>
          <a:fillRect/>
        </a:stretch>
      </xdr:blipFill>
      <xdr:spPr bwMode="auto">
        <a:xfrm>
          <a:off x="1228725" y="170265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904</xdr:row>
      <xdr:rowOff>19050</xdr:rowOff>
    </xdr:from>
    <xdr:to>
      <xdr:col>2</xdr:col>
      <xdr:colOff>1733550</xdr:colOff>
      <xdr:row>904</xdr:row>
      <xdr:rowOff>1666875</xdr:rowOff>
    </xdr:to>
    <xdr:pic>
      <xdr:nvPicPr>
        <xdr:cNvPr id="904" name="Picture 903"/>
        <xdr:cNvPicPr>
          <a:picLocks noChangeAspect="1" noChangeArrowheads="1"/>
        </xdr:cNvPicPr>
      </xdr:nvPicPr>
      <xdr:blipFill>
        <a:blip xmlns:r="http://schemas.openxmlformats.org/officeDocument/2006/relationships" r:embed="rId903">
          <a:extLst>
            <a:ext uri="{28A0092B-C50C-407E-A947-70E740481C1C}">
              <a14:useLocalDpi xmlns:a14="http://schemas.microsoft.com/office/drawing/2010/main" val="0"/>
            </a:ext>
          </a:extLst>
        </a:blip>
        <a:srcRect/>
        <a:stretch>
          <a:fillRect/>
        </a:stretch>
      </xdr:blipFill>
      <xdr:spPr bwMode="auto">
        <a:xfrm>
          <a:off x="1228725" y="1704565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905</xdr:row>
      <xdr:rowOff>19050</xdr:rowOff>
    </xdr:from>
    <xdr:to>
      <xdr:col>2</xdr:col>
      <xdr:colOff>1733550</xdr:colOff>
      <xdr:row>905</xdr:row>
      <xdr:rowOff>1666875</xdr:rowOff>
    </xdr:to>
    <xdr:pic>
      <xdr:nvPicPr>
        <xdr:cNvPr id="905" name="Picture 904"/>
        <xdr:cNvPicPr>
          <a:picLocks noChangeAspect="1" noChangeArrowheads="1"/>
        </xdr:cNvPicPr>
      </xdr:nvPicPr>
      <xdr:blipFill>
        <a:blip xmlns:r="http://schemas.openxmlformats.org/officeDocument/2006/relationships" r:embed="rId904">
          <a:extLst>
            <a:ext uri="{28A0092B-C50C-407E-A947-70E740481C1C}">
              <a14:useLocalDpi xmlns:a14="http://schemas.microsoft.com/office/drawing/2010/main" val="0"/>
            </a:ext>
          </a:extLst>
        </a:blip>
        <a:srcRect/>
        <a:stretch>
          <a:fillRect/>
        </a:stretch>
      </xdr:blipFill>
      <xdr:spPr bwMode="auto">
        <a:xfrm>
          <a:off x="1228725" y="1706479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906</xdr:row>
      <xdr:rowOff>19050</xdr:rowOff>
    </xdr:from>
    <xdr:to>
      <xdr:col>2</xdr:col>
      <xdr:colOff>1733550</xdr:colOff>
      <xdr:row>906</xdr:row>
      <xdr:rowOff>1666875</xdr:rowOff>
    </xdr:to>
    <xdr:pic>
      <xdr:nvPicPr>
        <xdr:cNvPr id="906" name="Picture 905"/>
        <xdr:cNvPicPr>
          <a:picLocks noChangeAspect="1" noChangeArrowheads="1"/>
        </xdr:cNvPicPr>
      </xdr:nvPicPr>
      <xdr:blipFill>
        <a:blip xmlns:r="http://schemas.openxmlformats.org/officeDocument/2006/relationships" r:embed="rId905">
          <a:extLst>
            <a:ext uri="{28A0092B-C50C-407E-A947-70E740481C1C}">
              <a14:useLocalDpi xmlns:a14="http://schemas.microsoft.com/office/drawing/2010/main" val="0"/>
            </a:ext>
          </a:extLst>
        </a:blip>
        <a:srcRect/>
        <a:stretch>
          <a:fillRect/>
        </a:stretch>
      </xdr:blipFill>
      <xdr:spPr bwMode="auto">
        <a:xfrm>
          <a:off x="1228725" y="170839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907</xdr:row>
      <xdr:rowOff>19050</xdr:rowOff>
    </xdr:from>
    <xdr:to>
      <xdr:col>2</xdr:col>
      <xdr:colOff>1733550</xdr:colOff>
      <xdr:row>907</xdr:row>
      <xdr:rowOff>1666875</xdr:rowOff>
    </xdr:to>
    <xdr:pic>
      <xdr:nvPicPr>
        <xdr:cNvPr id="907" name="Picture 906"/>
        <xdr:cNvPicPr>
          <a:picLocks noChangeAspect="1" noChangeArrowheads="1"/>
        </xdr:cNvPicPr>
      </xdr:nvPicPr>
      <xdr:blipFill>
        <a:blip xmlns:r="http://schemas.openxmlformats.org/officeDocument/2006/relationships" r:embed="rId906">
          <a:extLst>
            <a:ext uri="{28A0092B-C50C-407E-A947-70E740481C1C}">
              <a14:useLocalDpi xmlns:a14="http://schemas.microsoft.com/office/drawing/2010/main" val="0"/>
            </a:ext>
          </a:extLst>
        </a:blip>
        <a:srcRect/>
        <a:stretch>
          <a:fillRect/>
        </a:stretch>
      </xdr:blipFill>
      <xdr:spPr bwMode="auto">
        <a:xfrm>
          <a:off x="1228725" y="171030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908</xdr:row>
      <xdr:rowOff>19050</xdr:rowOff>
    </xdr:from>
    <xdr:to>
      <xdr:col>2</xdr:col>
      <xdr:colOff>1733550</xdr:colOff>
      <xdr:row>908</xdr:row>
      <xdr:rowOff>1666875</xdr:rowOff>
    </xdr:to>
    <xdr:pic>
      <xdr:nvPicPr>
        <xdr:cNvPr id="908" name="Picture 907"/>
        <xdr:cNvPicPr>
          <a:picLocks noChangeAspect="1" noChangeArrowheads="1"/>
        </xdr:cNvPicPr>
      </xdr:nvPicPr>
      <xdr:blipFill>
        <a:blip xmlns:r="http://schemas.openxmlformats.org/officeDocument/2006/relationships" r:embed="rId907">
          <a:extLst>
            <a:ext uri="{28A0092B-C50C-407E-A947-70E740481C1C}">
              <a14:useLocalDpi xmlns:a14="http://schemas.microsoft.com/office/drawing/2010/main" val="0"/>
            </a:ext>
          </a:extLst>
        </a:blip>
        <a:srcRect/>
        <a:stretch>
          <a:fillRect/>
        </a:stretch>
      </xdr:blipFill>
      <xdr:spPr bwMode="auto">
        <a:xfrm>
          <a:off x="1228725" y="1712223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909</xdr:row>
      <xdr:rowOff>19050</xdr:rowOff>
    </xdr:from>
    <xdr:to>
      <xdr:col>2</xdr:col>
      <xdr:colOff>1733550</xdr:colOff>
      <xdr:row>909</xdr:row>
      <xdr:rowOff>1666875</xdr:rowOff>
    </xdr:to>
    <xdr:pic>
      <xdr:nvPicPr>
        <xdr:cNvPr id="909" name="Picture 908"/>
        <xdr:cNvPicPr>
          <a:picLocks noChangeAspect="1" noChangeArrowheads="1"/>
        </xdr:cNvPicPr>
      </xdr:nvPicPr>
      <xdr:blipFill>
        <a:blip xmlns:r="http://schemas.openxmlformats.org/officeDocument/2006/relationships" r:embed="rId908">
          <a:extLst>
            <a:ext uri="{28A0092B-C50C-407E-A947-70E740481C1C}">
              <a14:useLocalDpi xmlns:a14="http://schemas.microsoft.com/office/drawing/2010/main" val="0"/>
            </a:ext>
          </a:extLst>
        </a:blip>
        <a:srcRect/>
        <a:stretch>
          <a:fillRect/>
        </a:stretch>
      </xdr:blipFill>
      <xdr:spPr bwMode="auto">
        <a:xfrm>
          <a:off x="1228725" y="1714138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910</xdr:row>
      <xdr:rowOff>19050</xdr:rowOff>
    </xdr:from>
    <xdr:to>
      <xdr:col>2</xdr:col>
      <xdr:colOff>1733550</xdr:colOff>
      <xdr:row>910</xdr:row>
      <xdr:rowOff>1666875</xdr:rowOff>
    </xdr:to>
    <xdr:pic>
      <xdr:nvPicPr>
        <xdr:cNvPr id="910" name="Picture 909"/>
        <xdr:cNvPicPr>
          <a:picLocks noChangeAspect="1" noChangeArrowheads="1"/>
        </xdr:cNvPicPr>
      </xdr:nvPicPr>
      <xdr:blipFill>
        <a:blip xmlns:r="http://schemas.openxmlformats.org/officeDocument/2006/relationships" r:embed="rId909">
          <a:extLst>
            <a:ext uri="{28A0092B-C50C-407E-A947-70E740481C1C}">
              <a14:useLocalDpi xmlns:a14="http://schemas.microsoft.com/office/drawing/2010/main" val="0"/>
            </a:ext>
          </a:extLst>
        </a:blip>
        <a:srcRect/>
        <a:stretch>
          <a:fillRect/>
        </a:stretch>
      </xdr:blipFill>
      <xdr:spPr bwMode="auto">
        <a:xfrm>
          <a:off x="1228725" y="1716052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911</xdr:row>
      <xdr:rowOff>19050</xdr:rowOff>
    </xdr:from>
    <xdr:to>
      <xdr:col>2</xdr:col>
      <xdr:colOff>1733550</xdr:colOff>
      <xdr:row>911</xdr:row>
      <xdr:rowOff>1666875</xdr:rowOff>
    </xdr:to>
    <xdr:pic>
      <xdr:nvPicPr>
        <xdr:cNvPr id="911" name="Picture 910"/>
        <xdr:cNvPicPr>
          <a:picLocks noChangeAspect="1" noChangeArrowheads="1"/>
        </xdr:cNvPicPr>
      </xdr:nvPicPr>
      <xdr:blipFill>
        <a:blip xmlns:r="http://schemas.openxmlformats.org/officeDocument/2006/relationships" r:embed="rId910">
          <a:extLst>
            <a:ext uri="{28A0092B-C50C-407E-A947-70E740481C1C}">
              <a14:useLocalDpi xmlns:a14="http://schemas.microsoft.com/office/drawing/2010/main" val="0"/>
            </a:ext>
          </a:extLst>
        </a:blip>
        <a:srcRect/>
        <a:stretch>
          <a:fillRect/>
        </a:stretch>
      </xdr:blipFill>
      <xdr:spPr bwMode="auto">
        <a:xfrm>
          <a:off x="1228725" y="1717967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912</xdr:row>
      <xdr:rowOff>19050</xdr:rowOff>
    </xdr:from>
    <xdr:to>
      <xdr:col>2</xdr:col>
      <xdr:colOff>1733550</xdr:colOff>
      <xdr:row>912</xdr:row>
      <xdr:rowOff>1666875</xdr:rowOff>
    </xdr:to>
    <xdr:pic>
      <xdr:nvPicPr>
        <xdr:cNvPr id="912" name="Picture 911"/>
        <xdr:cNvPicPr>
          <a:picLocks noChangeAspect="1" noChangeArrowheads="1"/>
        </xdr:cNvPicPr>
      </xdr:nvPicPr>
      <xdr:blipFill>
        <a:blip xmlns:r="http://schemas.openxmlformats.org/officeDocument/2006/relationships" r:embed="rId911">
          <a:extLst>
            <a:ext uri="{28A0092B-C50C-407E-A947-70E740481C1C}">
              <a14:useLocalDpi xmlns:a14="http://schemas.microsoft.com/office/drawing/2010/main" val="0"/>
            </a:ext>
          </a:extLst>
        </a:blip>
        <a:srcRect/>
        <a:stretch>
          <a:fillRect/>
        </a:stretch>
      </xdr:blipFill>
      <xdr:spPr bwMode="auto">
        <a:xfrm>
          <a:off x="1228725" y="1719881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913</xdr:row>
      <xdr:rowOff>19050</xdr:rowOff>
    </xdr:from>
    <xdr:to>
      <xdr:col>2</xdr:col>
      <xdr:colOff>1733550</xdr:colOff>
      <xdr:row>913</xdr:row>
      <xdr:rowOff>1666875</xdr:rowOff>
    </xdr:to>
    <xdr:pic>
      <xdr:nvPicPr>
        <xdr:cNvPr id="913" name="Picture 912"/>
        <xdr:cNvPicPr>
          <a:picLocks noChangeAspect="1" noChangeArrowheads="1"/>
        </xdr:cNvPicPr>
      </xdr:nvPicPr>
      <xdr:blipFill>
        <a:blip xmlns:r="http://schemas.openxmlformats.org/officeDocument/2006/relationships" r:embed="rId912">
          <a:extLst>
            <a:ext uri="{28A0092B-C50C-407E-A947-70E740481C1C}">
              <a14:useLocalDpi xmlns:a14="http://schemas.microsoft.com/office/drawing/2010/main" val="0"/>
            </a:ext>
          </a:extLst>
        </a:blip>
        <a:srcRect/>
        <a:stretch>
          <a:fillRect/>
        </a:stretch>
      </xdr:blipFill>
      <xdr:spPr bwMode="auto">
        <a:xfrm>
          <a:off x="1228725" y="1721796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914</xdr:row>
      <xdr:rowOff>19050</xdr:rowOff>
    </xdr:from>
    <xdr:to>
      <xdr:col>2</xdr:col>
      <xdr:colOff>1733550</xdr:colOff>
      <xdr:row>914</xdr:row>
      <xdr:rowOff>1666875</xdr:rowOff>
    </xdr:to>
    <xdr:pic>
      <xdr:nvPicPr>
        <xdr:cNvPr id="914" name="Picture 913"/>
        <xdr:cNvPicPr>
          <a:picLocks noChangeAspect="1" noChangeArrowheads="1"/>
        </xdr:cNvPicPr>
      </xdr:nvPicPr>
      <xdr:blipFill>
        <a:blip xmlns:r="http://schemas.openxmlformats.org/officeDocument/2006/relationships" r:embed="rId913">
          <a:extLst>
            <a:ext uri="{28A0092B-C50C-407E-A947-70E740481C1C}">
              <a14:useLocalDpi xmlns:a14="http://schemas.microsoft.com/office/drawing/2010/main" val="0"/>
            </a:ext>
          </a:extLst>
        </a:blip>
        <a:srcRect/>
        <a:stretch>
          <a:fillRect/>
        </a:stretch>
      </xdr:blipFill>
      <xdr:spPr bwMode="auto">
        <a:xfrm>
          <a:off x="1228725" y="1723710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915</xdr:row>
      <xdr:rowOff>19050</xdr:rowOff>
    </xdr:from>
    <xdr:to>
      <xdr:col>2</xdr:col>
      <xdr:colOff>1733550</xdr:colOff>
      <xdr:row>915</xdr:row>
      <xdr:rowOff>1666875</xdr:rowOff>
    </xdr:to>
    <xdr:pic>
      <xdr:nvPicPr>
        <xdr:cNvPr id="915" name="Picture 914"/>
        <xdr:cNvPicPr>
          <a:picLocks noChangeAspect="1" noChangeArrowheads="1"/>
        </xdr:cNvPicPr>
      </xdr:nvPicPr>
      <xdr:blipFill>
        <a:blip xmlns:r="http://schemas.openxmlformats.org/officeDocument/2006/relationships" r:embed="rId914">
          <a:extLst>
            <a:ext uri="{28A0092B-C50C-407E-A947-70E740481C1C}">
              <a14:useLocalDpi xmlns:a14="http://schemas.microsoft.com/office/drawing/2010/main" val="0"/>
            </a:ext>
          </a:extLst>
        </a:blip>
        <a:srcRect/>
        <a:stretch>
          <a:fillRect/>
        </a:stretch>
      </xdr:blipFill>
      <xdr:spPr bwMode="auto">
        <a:xfrm>
          <a:off x="1228725" y="1725625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916</xdr:row>
      <xdr:rowOff>19050</xdr:rowOff>
    </xdr:from>
    <xdr:to>
      <xdr:col>2</xdr:col>
      <xdr:colOff>1733550</xdr:colOff>
      <xdr:row>916</xdr:row>
      <xdr:rowOff>1666875</xdr:rowOff>
    </xdr:to>
    <xdr:pic>
      <xdr:nvPicPr>
        <xdr:cNvPr id="916" name="Picture 915"/>
        <xdr:cNvPicPr>
          <a:picLocks noChangeAspect="1" noChangeArrowheads="1"/>
        </xdr:cNvPicPr>
      </xdr:nvPicPr>
      <xdr:blipFill>
        <a:blip xmlns:r="http://schemas.openxmlformats.org/officeDocument/2006/relationships" r:embed="rId915">
          <a:extLst>
            <a:ext uri="{28A0092B-C50C-407E-A947-70E740481C1C}">
              <a14:useLocalDpi xmlns:a14="http://schemas.microsoft.com/office/drawing/2010/main" val="0"/>
            </a:ext>
          </a:extLst>
        </a:blip>
        <a:srcRect/>
        <a:stretch>
          <a:fillRect/>
        </a:stretch>
      </xdr:blipFill>
      <xdr:spPr bwMode="auto">
        <a:xfrm>
          <a:off x="1228725" y="1727539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917</xdr:row>
      <xdr:rowOff>19050</xdr:rowOff>
    </xdr:from>
    <xdr:to>
      <xdr:col>2</xdr:col>
      <xdr:colOff>1733550</xdr:colOff>
      <xdr:row>917</xdr:row>
      <xdr:rowOff>1666875</xdr:rowOff>
    </xdr:to>
    <xdr:pic>
      <xdr:nvPicPr>
        <xdr:cNvPr id="917" name="Picture 916"/>
        <xdr:cNvPicPr>
          <a:picLocks noChangeAspect="1" noChangeArrowheads="1"/>
        </xdr:cNvPicPr>
      </xdr:nvPicPr>
      <xdr:blipFill>
        <a:blip xmlns:r="http://schemas.openxmlformats.org/officeDocument/2006/relationships" r:embed="rId916">
          <a:extLst>
            <a:ext uri="{28A0092B-C50C-407E-A947-70E740481C1C}">
              <a14:useLocalDpi xmlns:a14="http://schemas.microsoft.com/office/drawing/2010/main" val="0"/>
            </a:ext>
          </a:extLst>
        </a:blip>
        <a:srcRect/>
        <a:stretch>
          <a:fillRect/>
        </a:stretch>
      </xdr:blipFill>
      <xdr:spPr bwMode="auto">
        <a:xfrm>
          <a:off x="1228725" y="172945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918</xdr:row>
      <xdr:rowOff>19050</xdr:rowOff>
    </xdr:from>
    <xdr:to>
      <xdr:col>2</xdr:col>
      <xdr:colOff>1733550</xdr:colOff>
      <xdr:row>918</xdr:row>
      <xdr:rowOff>1666875</xdr:rowOff>
    </xdr:to>
    <xdr:pic>
      <xdr:nvPicPr>
        <xdr:cNvPr id="918" name="Picture 917"/>
        <xdr:cNvPicPr>
          <a:picLocks noChangeAspect="1" noChangeArrowheads="1"/>
        </xdr:cNvPicPr>
      </xdr:nvPicPr>
      <xdr:blipFill>
        <a:blip xmlns:r="http://schemas.openxmlformats.org/officeDocument/2006/relationships" r:embed="rId917">
          <a:extLst>
            <a:ext uri="{28A0092B-C50C-407E-A947-70E740481C1C}">
              <a14:useLocalDpi xmlns:a14="http://schemas.microsoft.com/office/drawing/2010/main" val="0"/>
            </a:ext>
          </a:extLst>
        </a:blip>
        <a:srcRect/>
        <a:stretch>
          <a:fillRect/>
        </a:stretch>
      </xdr:blipFill>
      <xdr:spPr bwMode="auto">
        <a:xfrm>
          <a:off x="1228725" y="1731368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919</xdr:row>
      <xdr:rowOff>19050</xdr:rowOff>
    </xdr:from>
    <xdr:to>
      <xdr:col>2</xdr:col>
      <xdr:colOff>1733550</xdr:colOff>
      <xdr:row>919</xdr:row>
      <xdr:rowOff>1666875</xdr:rowOff>
    </xdr:to>
    <xdr:pic>
      <xdr:nvPicPr>
        <xdr:cNvPr id="919" name="Picture 918"/>
        <xdr:cNvPicPr>
          <a:picLocks noChangeAspect="1" noChangeArrowheads="1"/>
        </xdr:cNvPicPr>
      </xdr:nvPicPr>
      <xdr:blipFill>
        <a:blip xmlns:r="http://schemas.openxmlformats.org/officeDocument/2006/relationships" r:embed="rId918">
          <a:extLst>
            <a:ext uri="{28A0092B-C50C-407E-A947-70E740481C1C}">
              <a14:useLocalDpi xmlns:a14="http://schemas.microsoft.com/office/drawing/2010/main" val="0"/>
            </a:ext>
          </a:extLst>
        </a:blip>
        <a:srcRect/>
        <a:stretch>
          <a:fillRect/>
        </a:stretch>
      </xdr:blipFill>
      <xdr:spPr bwMode="auto">
        <a:xfrm>
          <a:off x="1228725" y="1733283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920</xdr:row>
      <xdr:rowOff>19050</xdr:rowOff>
    </xdr:from>
    <xdr:to>
      <xdr:col>2</xdr:col>
      <xdr:colOff>1733550</xdr:colOff>
      <xdr:row>920</xdr:row>
      <xdr:rowOff>1666875</xdr:rowOff>
    </xdr:to>
    <xdr:pic>
      <xdr:nvPicPr>
        <xdr:cNvPr id="920" name="Picture 919"/>
        <xdr:cNvPicPr>
          <a:picLocks noChangeAspect="1" noChangeArrowheads="1"/>
        </xdr:cNvPicPr>
      </xdr:nvPicPr>
      <xdr:blipFill>
        <a:blip xmlns:r="http://schemas.openxmlformats.org/officeDocument/2006/relationships" r:embed="rId919">
          <a:extLst>
            <a:ext uri="{28A0092B-C50C-407E-A947-70E740481C1C}">
              <a14:useLocalDpi xmlns:a14="http://schemas.microsoft.com/office/drawing/2010/main" val="0"/>
            </a:ext>
          </a:extLst>
        </a:blip>
        <a:srcRect/>
        <a:stretch>
          <a:fillRect/>
        </a:stretch>
      </xdr:blipFill>
      <xdr:spPr bwMode="auto">
        <a:xfrm>
          <a:off x="1228725" y="1735197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921</xdr:row>
      <xdr:rowOff>19050</xdr:rowOff>
    </xdr:from>
    <xdr:to>
      <xdr:col>2</xdr:col>
      <xdr:colOff>1733550</xdr:colOff>
      <xdr:row>921</xdr:row>
      <xdr:rowOff>1666875</xdr:rowOff>
    </xdr:to>
    <xdr:pic>
      <xdr:nvPicPr>
        <xdr:cNvPr id="921" name="Picture 920"/>
        <xdr:cNvPicPr>
          <a:picLocks noChangeAspect="1" noChangeArrowheads="1"/>
        </xdr:cNvPicPr>
      </xdr:nvPicPr>
      <xdr:blipFill>
        <a:blip xmlns:r="http://schemas.openxmlformats.org/officeDocument/2006/relationships" r:embed="rId920">
          <a:extLst>
            <a:ext uri="{28A0092B-C50C-407E-A947-70E740481C1C}">
              <a14:useLocalDpi xmlns:a14="http://schemas.microsoft.com/office/drawing/2010/main" val="0"/>
            </a:ext>
          </a:extLst>
        </a:blip>
        <a:srcRect/>
        <a:stretch>
          <a:fillRect/>
        </a:stretch>
      </xdr:blipFill>
      <xdr:spPr bwMode="auto">
        <a:xfrm>
          <a:off x="1228725" y="1737112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922</xdr:row>
      <xdr:rowOff>19050</xdr:rowOff>
    </xdr:from>
    <xdr:to>
      <xdr:col>2</xdr:col>
      <xdr:colOff>1733550</xdr:colOff>
      <xdr:row>922</xdr:row>
      <xdr:rowOff>1666875</xdr:rowOff>
    </xdr:to>
    <xdr:pic>
      <xdr:nvPicPr>
        <xdr:cNvPr id="922" name="Picture 921"/>
        <xdr:cNvPicPr>
          <a:picLocks noChangeAspect="1" noChangeArrowheads="1"/>
        </xdr:cNvPicPr>
      </xdr:nvPicPr>
      <xdr:blipFill>
        <a:blip xmlns:r="http://schemas.openxmlformats.org/officeDocument/2006/relationships" r:embed="rId921">
          <a:extLst>
            <a:ext uri="{28A0092B-C50C-407E-A947-70E740481C1C}">
              <a14:useLocalDpi xmlns:a14="http://schemas.microsoft.com/office/drawing/2010/main" val="0"/>
            </a:ext>
          </a:extLst>
        </a:blip>
        <a:srcRect/>
        <a:stretch>
          <a:fillRect/>
        </a:stretch>
      </xdr:blipFill>
      <xdr:spPr bwMode="auto">
        <a:xfrm>
          <a:off x="1228725" y="1739026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923</xdr:row>
      <xdr:rowOff>19050</xdr:rowOff>
    </xdr:from>
    <xdr:to>
      <xdr:col>2</xdr:col>
      <xdr:colOff>1733550</xdr:colOff>
      <xdr:row>923</xdr:row>
      <xdr:rowOff>1666875</xdr:rowOff>
    </xdr:to>
    <xdr:pic>
      <xdr:nvPicPr>
        <xdr:cNvPr id="923" name="Picture 922"/>
        <xdr:cNvPicPr>
          <a:picLocks noChangeAspect="1" noChangeArrowheads="1"/>
        </xdr:cNvPicPr>
      </xdr:nvPicPr>
      <xdr:blipFill>
        <a:blip xmlns:r="http://schemas.openxmlformats.org/officeDocument/2006/relationships" r:embed="rId922">
          <a:extLst>
            <a:ext uri="{28A0092B-C50C-407E-A947-70E740481C1C}">
              <a14:useLocalDpi xmlns:a14="http://schemas.microsoft.com/office/drawing/2010/main" val="0"/>
            </a:ext>
          </a:extLst>
        </a:blip>
        <a:srcRect/>
        <a:stretch>
          <a:fillRect/>
        </a:stretch>
      </xdr:blipFill>
      <xdr:spPr bwMode="auto">
        <a:xfrm>
          <a:off x="1228725" y="1740941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924</xdr:row>
      <xdr:rowOff>19050</xdr:rowOff>
    </xdr:from>
    <xdr:to>
      <xdr:col>2</xdr:col>
      <xdr:colOff>1733550</xdr:colOff>
      <xdr:row>924</xdr:row>
      <xdr:rowOff>1666875</xdr:rowOff>
    </xdr:to>
    <xdr:pic>
      <xdr:nvPicPr>
        <xdr:cNvPr id="924" name="Picture 923"/>
        <xdr:cNvPicPr>
          <a:picLocks noChangeAspect="1" noChangeArrowheads="1"/>
        </xdr:cNvPicPr>
      </xdr:nvPicPr>
      <xdr:blipFill>
        <a:blip xmlns:r="http://schemas.openxmlformats.org/officeDocument/2006/relationships" r:embed="rId923">
          <a:extLst>
            <a:ext uri="{28A0092B-C50C-407E-A947-70E740481C1C}">
              <a14:useLocalDpi xmlns:a14="http://schemas.microsoft.com/office/drawing/2010/main" val="0"/>
            </a:ext>
          </a:extLst>
        </a:blip>
        <a:srcRect/>
        <a:stretch>
          <a:fillRect/>
        </a:stretch>
      </xdr:blipFill>
      <xdr:spPr bwMode="auto">
        <a:xfrm>
          <a:off x="1228725" y="1742855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925</xdr:row>
      <xdr:rowOff>19050</xdr:rowOff>
    </xdr:from>
    <xdr:to>
      <xdr:col>2</xdr:col>
      <xdr:colOff>1733550</xdr:colOff>
      <xdr:row>925</xdr:row>
      <xdr:rowOff>1666875</xdr:rowOff>
    </xdr:to>
    <xdr:pic>
      <xdr:nvPicPr>
        <xdr:cNvPr id="925" name="Picture 924"/>
        <xdr:cNvPicPr>
          <a:picLocks noChangeAspect="1" noChangeArrowheads="1"/>
        </xdr:cNvPicPr>
      </xdr:nvPicPr>
      <xdr:blipFill>
        <a:blip xmlns:r="http://schemas.openxmlformats.org/officeDocument/2006/relationships" r:embed="rId924">
          <a:extLst>
            <a:ext uri="{28A0092B-C50C-407E-A947-70E740481C1C}">
              <a14:useLocalDpi xmlns:a14="http://schemas.microsoft.com/office/drawing/2010/main" val="0"/>
            </a:ext>
          </a:extLst>
        </a:blip>
        <a:srcRect/>
        <a:stretch>
          <a:fillRect/>
        </a:stretch>
      </xdr:blipFill>
      <xdr:spPr bwMode="auto">
        <a:xfrm>
          <a:off x="1228725" y="1744770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926</xdr:row>
      <xdr:rowOff>19050</xdr:rowOff>
    </xdr:from>
    <xdr:to>
      <xdr:col>2</xdr:col>
      <xdr:colOff>1733550</xdr:colOff>
      <xdr:row>926</xdr:row>
      <xdr:rowOff>1666875</xdr:rowOff>
    </xdr:to>
    <xdr:pic>
      <xdr:nvPicPr>
        <xdr:cNvPr id="926" name="Picture 925"/>
        <xdr:cNvPicPr>
          <a:picLocks noChangeAspect="1" noChangeArrowheads="1"/>
        </xdr:cNvPicPr>
      </xdr:nvPicPr>
      <xdr:blipFill>
        <a:blip xmlns:r="http://schemas.openxmlformats.org/officeDocument/2006/relationships" r:embed="rId925">
          <a:extLst>
            <a:ext uri="{28A0092B-C50C-407E-A947-70E740481C1C}">
              <a14:useLocalDpi xmlns:a14="http://schemas.microsoft.com/office/drawing/2010/main" val="0"/>
            </a:ext>
          </a:extLst>
        </a:blip>
        <a:srcRect/>
        <a:stretch>
          <a:fillRect/>
        </a:stretch>
      </xdr:blipFill>
      <xdr:spPr bwMode="auto">
        <a:xfrm>
          <a:off x="1228725" y="1746684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927</xdr:row>
      <xdr:rowOff>19050</xdr:rowOff>
    </xdr:from>
    <xdr:to>
      <xdr:col>2</xdr:col>
      <xdr:colOff>1733550</xdr:colOff>
      <xdr:row>927</xdr:row>
      <xdr:rowOff>1666875</xdr:rowOff>
    </xdr:to>
    <xdr:pic>
      <xdr:nvPicPr>
        <xdr:cNvPr id="927" name="Picture 926"/>
        <xdr:cNvPicPr>
          <a:picLocks noChangeAspect="1" noChangeArrowheads="1"/>
        </xdr:cNvPicPr>
      </xdr:nvPicPr>
      <xdr:blipFill>
        <a:blip xmlns:r="http://schemas.openxmlformats.org/officeDocument/2006/relationships" r:embed="rId926">
          <a:extLst>
            <a:ext uri="{28A0092B-C50C-407E-A947-70E740481C1C}">
              <a14:useLocalDpi xmlns:a14="http://schemas.microsoft.com/office/drawing/2010/main" val="0"/>
            </a:ext>
          </a:extLst>
        </a:blip>
        <a:srcRect/>
        <a:stretch>
          <a:fillRect/>
        </a:stretch>
      </xdr:blipFill>
      <xdr:spPr bwMode="auto">
        <a:xfrm>
          <a:off x="1228725" y="1748599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928</xdr:row>
      <xdr:rowOff>19050</xdr:rowOff>
    </xdr:from>
    <xdr:to>
      <xdr:col>2</xdr:col>
      <xdr:colOff>1733550</xdr:colOff>
      <xdr:row>928</xdr:row>
      <xdr:rowOff>1666875</xdr:rowOff>
    </xdr:to>
    <xdr:pic>
      <xdr:nvPicPr>
        <xdr:cNvPr id="928" name="Picture 927"/>
        <xdr:cNvPicPr>
          <a:picLocks noChangeAspect="1" noChangeArrowheads="1"/>
        </xdr:cNvPicPr>
      </xdr:nvPicPr>
      <xdr:blipFill>
        <a:blip xmlns:r="http://schemas.openxmlformats.org/officeDocument/2006/relationships" r:embed="rId927">
          <a:extLst>
            <a:ext uri="{28A0092B-C50C-407E-A947-70E740481C1C}">
              <a14:useLocalDpi xmlns:a14="http://schemas.microsoft.com/office/drawing/2010/main" val="0"/>
            </a:ext>
          </a:extLst>
        </a:blip>
        <a:srcRect/>
        <a:stretch>
          <a:fillRect/>
        </a:stretch>
      </xdr:blipFill>
      <xdr:spPr bwMode="auto">
        <a:xfrm>
          <a:off x="1228725" y="175051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929</xdr:row>
      <xdr:rowOff>19050</xdr:rowOff>
    </xdr:from>
    <xdr:to>
      <xdr:col>2</xdr:col>
      <xdr:colOff>1733550</xdr:colOff>
      <xdr:row>929</xdr:row>
      <xdr:rowOff>1666875</xdr:rowOff>
    </xdr:to>
    <xdr:pic>
      <xdr:nvPicPr>
        <xdr:cNvPr id="929" name="Picture 928"/>
        <xdr:cNvPicPr>
          <a:picLocks noChangeAspect="1" noChangeArrowheads="1"/>
        </xdr:cNvPicPr>
      </xdr:nvPicPr>
      <xdr:blipFill>
        <a:blip xmlns:r="http://schemas.openxmlformats.org/officeDocument/2006/relationships" r:embed="rId928">
          <a:extLst>
            <a:ext uri="{28A0092B-C50C-407E-A947-70E740481C1C}">
              <a14:useLocalDpi xmlns:a14="http://schemas.microsoft.com/office/drawing/2010/main" val="0"/>
            </a:ext>
          </a:extLst>
        </a:blip>
        <a:srcRect/>
        <a:stretch>
          <a:fillRect/>
        </a:stretch>
      </xdr:blipFill>
      <xdr:spPr bwMode="auto">
        <a:xfrm>
          <a:off x="1228725" y="175242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930</xdr:row>
      <xdr:rowOff>19050</xdr:rowOff>
    </xdr:from>
    <xdr:to>
      <xdr:col>2</xdr:col>
      <xdr:colOff>1733550</xdr:colOff>
      <xdr:row>930</xdr:row>
      <xdr:rowOff>1666875</xdr:rowOff>
    </xdr:to>
    <xdr:pic>
      <xdr:nvPicPr>
        <xdr:cNvPr id="930" name="Picture 929"/>
        <xdr:cNvPicPr>
          <a:picLocks noChangeAspect="1" noChangeArrowheads="1"/>
        </xdr:cNvPicPr>
      </xdr:nvPicPr>
      <xdr:blipFill>
        <a:blip xmlns:r="http://schemas.openxmlformats.org/officeDocument/2006/relationships" r:embed="rId929">
          <a:extLst>
            <a:ext uri="{28A0092B-C50C-407E-A947-70E740481C1C}">
              <a14:useLocalDpi xmlns:a14="http://schemas.microsoft.com/office/drawing/2010/main" val="0"/>
            </a:ext>
          </a:extLst>
        </a:blip>
        <a:srcRect/>
        <a:stretch>
          <a:fillRect/>
        </a:stretch>
      </xdr:blipFill>
      <xdr:spPr bwMode="auto">
        <a:xfrm>
          <a:off x="1228725" y="1754343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931</xdr:row>
      <xdr:rowOff>19050</xdr:rowOff>
    </xdr:from>
    <xdr:to>
      <xdr:col>2</xdr:col>
      <xdr:colOff>1733550</xdr:colOff>
      <xdr:row>931</xdr:row>
      <xdr:rowOff>1666875</xdr:rowOff>
    </xdr:to>
    <xdr:pic>
      <xdr:nvPicPr>
        <xdr:cNvPr id="931" name="Picture 930"/>
        <xdr:cNvPicPr>
          <a:picLocks noChangeAspect="1" noChangeArrowheads="1"/>
        </xdr:cNvPicPr>
      </xdr:nvPicPr>
      <xdr:blipFill>
        <a:blip xmlns:r="http://schemas.openxmlformats.org/officeDocument/2006/relationships" r:embed="rId930">
          <a:extLst>
            <a:ext uri="{28A0092B-C50C-407E-A947-70E740481C1C}">
              <a14:useLocalDpi xmlns:a14="http://schemas.microsoft.com/office/drawing/2010/main" val="0"/>
            </a:ext>
          </a:extLst>
        </a:blip>
        <a:srcRect/>
        <a:stretch>
          <a:fillRect/>
        </a:stretch>
      </xdr:blipFill>
      <xdr:spPr bwMode="auto">
        <a:xfrm>
          <a:off x="1228725" y="1756257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932</xdr:row>
      <xdr:rowOff>19050</xdr:rowOff>
    </xdr:from>
    <xdr:to>
      <xdr:col>2</xdr:col>
      <xdr:colOff>1733550</xdr:colOff>
      <xdr:row>932</xdr:row>
      <xdr:rowOff>1666875</xdr:rowOff>
    </xdr:to>
    <xdr:pic>
      <xdr:nvPicPr>
        <xdr:cNvPr id="932" name="Picture 931"/>
        <xdr:cNvPicPr>
          <a:picLocks noChangeAspect="1" noChangeArrowheads="1"/>
        </xdr:cNvPicPr>
      </xdr:nvPicPr>
      <xdr:blipFill>
        <a:blip xmlns:r="http://schemas.openxmlformats.org/officeDocument/2006/relationships" r:embed="rId931">
          <a:extLst>
            <a:ext uri="{28A0092B-C50C-407E-A947-70E740481C1C}">
              <a14:useLocalDpi xmlns:a14="http://schemas.microsoft.com/office/drawing/2010/main" val="0"/>
            </a:ext>
          </a:extLst>
        </a:blip>
        <a:srcRect/>
        <a:stretch>
          <a:fillRect/>
        </a:stretch>
      </xdr:blipFill>
      <xdr:spPr bwMode="auto">
        <a:xfrm>
          <a:off x="1228725" y="1758172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933</xdr:row>
      <xdr:rowOff>19050</xdr:rowOff>
    </xdr:from>
    <xdr:to>
      <xdr:col>2</xdr:col>
      <xdr:colOff>1733550</xdr:colOff>
      <xdr:row>933</xdr:row>
      <xdr:rowOff>1666875</xdr:rowOff>
    </xdr:to>
    <xdr:pic>
      <xdr:nvPicPr>
        <xdr:cNvPr id="933" name="Picture 932"/>
        <xdr:cNvPicPr>
          <a:picLocks noChangeAspect="1" noChangeArrowheads="1"/>
        </xdr:cNvPicPr>
      </xdr:nvPicPr>
      <xdr:blipFill>
        <a:blip xmlns:r="http://schemas.openxmlformats.org/officeDocument/2006/relationships" r:embed="rId932">
          <a:extLst>
            <a:ext uri="{28A0092B-C50C-407E-A947-70E740481C1C}">
              <a14:useLocalDpi xmlns:a14="http://schemas.microsoft.com/office/drawing/2010/main" val="0"/>
            </a:ext>
          </a:extLst>
        </a:blip>
        <a:srcRect/>
        <a:stretch>
          <a:fillRect/>
        </a:stretch>
      </xdr:blipFill>
      <xdr:spPr bwMode="auto">
        <a:xfrm>
          <a:off x="1228725" y="1760086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934</xdr:row>
      <xdr:rowOff>19050</xdr:rowOff>
    </xdr:from>
    <xdr:to>
      <xdr:col>2</xdr:col>
      <xdr:colOff>1733550</xdr:colOff>
      <xdr:row>934</xdr:row>
      <xdr:rowOff>1647825</xdr:rowOff>
    </xdr:to>
    <xdr:pic>
      <xdr:nvPicPr>
        <xdr:cNvPr id="934" name="Picture 933"/>
        <xdr:cNvPicPr>
          <a:picLocks noChangeAspect="1" noChangeArrowheads="1"/>
        </xdr:cNvPicPr>
      </xdr:nvPicPr>
      <xdr:blipFill>
        <a:blip xmlns:r="http://schemas.openxmlformats.org/officeDocument/2006/relationships" r:embed="rId933">
          <a:extLst>
            <a:ext uri="{28A0092B-C50C-407E-A947-70E740481C1C}">
              <a14:useLocalDpi xmlns:a14="http://schemas.microsoft.com/office/drawing/2010/main" val="0"/>
            </a:ext>
          </a:extLst>
        </a:blip>
        <a:srcRect/>
        <a:stretch>
          <a:fillRect/>
        </a:stretch>
      </xdr:blipFill>
      <xdr:spPr bwMode="auto">
        <a:xfrm>
          <a:off x="1228725" y="17620011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935</xdr:row>
      <xdr:rowOff>19050</xdr:rowOff>
    </xdr:from>
    <xdr:to>
      <xdr:col>2</xdr:col>
      <xdr:colOff>1733550</xdr:colOff>
      <xdr:row>935</xdr:row>
      <xdr:rowOff>1666875</xdr:rowOff>
    </xdr:to>
    <xdr:pic>
      <xdr:nvPicPr>
        <xdr:cNvPr id="935" name="Picture 934"/>
        <xdr:cNvPicPr>
          <a:picLocks noChangeAspect="1" noChangeArrowheads="1"/>
        </xdr:cNvPicPr>
      </xdr:nvPicPr>
      <xdr:blipFill>
        <a:blip xmlns:r="http://schemas.openxmlformats.org/officeDocument/2006/relationships" r:embed="rId934">
          <a:extLst>
            <a:ext uri="{28A0092B-C50C-407E-A947-70E740481C1C}">
              <a14:useLocalDpi xmlns:a14="http://schemas.microsoft.com/office/drawing/2010/main" val="0"/>
            </a:ext>
          </a:extLst>
        </a:blip>
        <a:srcRect/>
        <a:stretch>
          <a:fillRect/>
        </a:stretch>
      </xdr:blipFill>
      <xdr:spPr bwMode="auto">
        <a:xfrm>
          <a:off x="1228725" y="1763896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936</xdr:row>
      <xdr:rowOff>19050</xdr:rowOff>
    </xdr:from>
    <xdr:to>
      <xdr:col>2</xdr:col>
      <xdr:colOff>1733550</xdr:colOff>
      <xdr:row>936</xdr:row>
      <xdr:rowOff>1666875</xdr:rowOff>
    </xdr:to>
    <xdr:pic>
      <xdr:nvPicPr>
        <xdr:cNvPr id="936" name="Picture 935"/>
        <xdr:cNvPicPr>
          <a:picLocks noChangeAspect="1" noChangeArrowheads="1"/>
        </xdr:cNvPicPr>
      </xdr:nvPicPr>
      <xdr:blipFill>
        <a:blip xmlns:r="http://schemas.openxmlformats.org/officeDocument/2006/relationships" r:embed="rId935">
          <a:extLst>
            <a:ext uri="{28A0092B-C50C-407E-A947-70E740481C1C}">
              <a14:useLocalDpi xmlns:a14="http://schemas.microsoft.com/office/drawing/2010/main" val="0"/>
            </a:ext>
          </a:extLst>
        </a:blip>
        <a:srcRect/>
        <a:stretch>
          <a:fillRect/>
        </a:stretch>
      </xdr:blipFill>
      <xdr:spPr bwMode="auto">
        <a:xfrm>
          <a:off x="1228725" y="1765811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937</xdr:row>
      <xdr:rowOff>19050</xdr:rowOff>
    </xdr:from>
    <xdr:to>
      <xdr:col>2</xdr:col>
      <xdr:colOff>1733550</xdr:colOff>
      <xdr:row>937</xdr:row>
      <xdr:rowOff>1666875</xdr:rowOff>
    </xdr:to>
    <xdr:pic>
      <xdr:nvPicPr>
        <xdr:cNvPr id="937" name="Picture 936"/>
        <xdr:cNvPicPr>
          <a:picLocks noChangeAspect="1" noChangeArrowheads="1"/>
        </xdr:cNvPicPr>
      </xdr:nvPicPr>
      <xdr:blipFill>
        <a:blip xmlns:r="http://schemas.openxmlformats.org/officeDocument/2006/relationships" r:embed="rId936">
          <a:extLst>
            <a:ext uri="{28A0092B-C50C-407E-A947-70E740481C1C}">
              <a14:useLocalDpi xmlns:a14="http://schemas.microsoft.com/office/drawing/2010/main" val="0"/>
            </a:ext>
          </a:extLst>
        </a:blip>
        <a:srcRect/>
        <a:stretch>
          <a:fillRect/>
        </a:stretch>
      </xdr:blipFill>
      <xdr:spPr bwMode="auto">
        <a:xfrm>
          <a:off x="1228725" y="1767725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938</xdr:row>
      <xdr:rowOff>19050</xdr:rowOff>
    </xdr:from>
    <xdr:to>
      <xdr:col>2</xdr:col>
      <xdr:colOff>1733550</xdr:colOff>
      <xdr:row>938</xdr:row>
      <xdr:rowOff>1666875</xdr:rowOff>
    </xdr:to>
    <xdr:pic>
      <xdr:nvPicPr>
        <xdr:cNvPr id="938" name="Picture 937"/>
        <xdr:cNvPicPr>
          <a:picLocks noChangeAspect="1" noChangeArrowheads="1"/>
        </xdr:cNvPicPr>
      </xdr:nvPicPr>
      <xdr:blipFill>
        <a:blip xmlns:r="http://schemas.openxmlformats.org/officeDocument/2006/relationships" r:embed="rId937">
          <a:extLst>
            <a:ext uri="{28A0092B-C50C-407E-A947-70E740481C1C}">
              <a14:useLocalDpi xmlns:a14="http://schemas.microsoft.com/office/drawing/2010/main" val="0"/>
            </a:ext>
          </a:extLst>
        </a:blip>
        <a:srcRect/>
        <a:stretch>
          <a:fillRect/>
        </a:stretch>
      </xdr:blipFill>
      <xdr:spPr bwMode="auto">
        <a:xfrm>
          <a:off x="1228725" y="1769640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939</xdr:row>
      <xdr:rowOff>19050</xdr:rowOff>
    </xdr:from>
    <xdr:to>
      <xdr:col>2</xdr:col>
      <xdr:colOff>1733550</xdr:colOff>
      <xdr:row>939</xdr:row>
      <xdr:rowOff>1666875</xdr:rowOff>
    </xdr:to>
    <xdr:pic>
      <xdr:nvPicPr>
        <xdr:cNvPr id="939" name="Picture 938"/>
        <xdr:cNvPicPr>
          <a:picLocks noChangeAspect="1" noChangeArrowheads="1"/>
        </xdr:cNvPicPr>
      </xdr:nvPicPr>
      <xdr:blipFill>
        <a:blip xmlns:r="http://schemas.openxmlformats.org/officeDocument/2006/relationships" r:embed="rId938">
          <a:extLst>
            <a:ext uri="{28A0092B-C50C-407E-A947-70E740481C1C}">
              <a14:useLocalDpi xmlns:a14="http://schemas.microsoft.com/office/drawing/2010/main" val="0"/>
            </a:ext>
          </a:extLst>
        </a:blip>
        <a:srcRect/>
        <a:stretch>
          <a:fillRect/>
        </a:stretch>
      </xdr:blipFill>
      <xdr:spPr bwMode="auto">
        <a:xfrm>
          <a:off x="1228725" y="1771554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940</xdr:row>
      <xdr:rowOff>19050</xdr:rowOff>
    </xdr:from>
    <xdr:to>
      <xdr:col>2</xdr:col>
      <xdr:colOff>1733550</xdr:colOff>
      <xdr:row>940</xdr:row>
      <xdr:rowOff>1666875</xdr:rowOff>
    </xdr:to>
    <xdr:pic>
      <xdr:nvPicPr>
        <xdr:cNvPr id="940" name="Picture 939"/>
        <xdr:cNvPicPr>
          <a:picLocks noChangeAspect="1" noChangeArrowheads="1"/>
        </xdr:cNvPicPr>
      </xdr:nvPicPr>
      <xdr:blipFill>
        <a:blip xmlns:r="http://schemas.openxmlformats.org/officeDocument/2006/relationships" r:embed="rId939">
          <a:extLst>
            <a:ext uri="{28A0092B-C50C-407E-A947-70E740481C1C}">
              <a14:useLocalDpi xmlns:a14="http://schemas.microsoft.com/office/drawing/2010/main" val="0"/>
            </a:ext>
          </a:extLst>
        </a:blip>
        <a:srcRect/>
        <a:stretch>
          <a:fillRect/>
        </a:stretch>
      </xdr:blipFill>
      <xdr:spPr bwMode="auto">
        <a:xfrm>
          <a:off x="1228725" y="1773469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941</xdr:row>
      <xdr:rowOff>19050</xdr:rowOff>
    </xdr:from>
    <xdr:to>
      <xdr:col>2</xdr:col>
      <xdr:colOff>1733550</xdr:colOff>
      <xdr:row>941</xdr:row>
      <xdr:rowOff>1666875</xdr:rowOff>
    </xdr:to>
    <xdr:pic>
      <xdr:nvPicPr>
        <xdr:cNvPr id="941" name="Picture 940"/>
        <xdr:cNvPicPr>
          <a:picLocks noChangeAspect="1" noChangeArrowheads="1"/>
        </xdr:cNvPicPr>
      </xdr:nvPicPr>
      <xdr:blipFill>
        <a:blip xmlns:r="http://schemas.openxmlformats.org/officeDocument/2006/relationships" r:embed="rId940">
          <a:extLst>
            <a:ext uri="{28A0092B-C50C-407E-A947-70E740481C1C}">
              <a14:useLocalDpi xmlns:a14="http://schemas.microsoft.com/office/drawing/2010/main" val="0"/>
            </a:ext>
          </a:extLst>
        </a:blip>
        <a:srcRect/>
        <a:stretch>
          <a:fillRect/>
        </a:stretch>
      </xdr:blipFill>
      <xdr:spPr bwMode="auto">
        <a:xfrm>
          <a:off x="1228725" y="1775383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942</xdr:row>
      <xdr:rowOff>19050</xdr:rowOff>
    </xdr:from>
    <xdr:to>
      <xdr:col>2</xdr:col>
      <xdr:colOff>1733550</xdr:colOff>
      <xdr:row>942</xdr:row>
      <xdr:rowOff>1666875</xdr:rowOff>
    </xdr:to>
    <xdr:pic>
      <xdr:nvPicPr>
        <xdr:cNvPr id="942" name="Picture 941"/>
        <xdr:cNvPicPr>
          <a:picLocks noChangeAspect="1" noChangeArrowheads="1"/>
        </xdr:cNvPicPr>
      </xdr:nvPicPr>
      <xdr:blipFill>
        <a:blip xmlns:r="http://schemas.openxmlformats.org/officeDocument/2006/relationships" r:embed="rId941">
          <a:extLst>
            <a:ext uri="{28A0092B-C50C-407E-A947-70E740481C1C}">
              <a14:useLocalDpi xmlns:a14="http://schemas.microsoft.com/office/drawing/2010/main" val="0"/>
            </a:ext>
          </a:extLst>
        </a:blip>
        <a:srcRect/>
        <a:stretch>
          <a:fillRect/>
        </a:stretch>
      </xdr:blipFill>
      <xdr:spPr bwMode="auto">
        <a:xfrm>
          <a:off x="1228725" y="1777298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943</xdr:row>
      <xdr:rowOff>19050</xdr:rowOff>
    </xdr:from>
    <xdr:to>
      <xdr:col>2</xdr:col>
      <xdr:colOff>1733550</xdr:colOff>
      <xdr:row>943</xdr:row>
      <xdr:rowOff>1666875</xdr:rowOff>
    </xdr:to>
    <xdr:pic>
      <xdr:nvPicPr>
        <xdr:cNvPr id="943" name="Picture 942"/>
        <xdr:cNvPicPr>
          <a:picLocks noChangeAspect="1" noChangeArrowheads="1"/>
        </xdr:cNvPicPr>
      </xdr:nvPicPr>
      <xdr:blipFill>
        <a:blip xmlns:r="http://schemas.openxmlformats.org/officeDocument/2006/relationships" r:embed="rId942">
          <a:extLst>
            <a:ext uri="{28A0092B-C50C-407E-A947-70E740481C1C}">
              <a14:useLocalDpi xmlns:a14="http://schemas.microsoft.com/office/drawing/2010/main" val="0"/>
            </a:ext>
          </a:extLst>
        </a:blip>
        <a:srcRect/>
        <a:stretch>
          <a:fillRect/>
        </a:stretch>
      </xdr:blipFill>
      <xdr:spPr bwMode="auto">
        <a:xfrm>
          <a:off x="1228725" y="1779212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944</xdr:row>
      <xdr:rowOff>19050</xdr:rowOff>
    </xdr:from>
    <xdr:to>
      <xdr:col>2</xdr:col>
      <xdr:colOff>1733550</xdr:colOff>
      <xdr:row>944</xdr:row>
      <xdr:rowOff>1666875</xdr:rowOff>
    </xdr:to>
    <xdr:pic>
      <xdr:nvPicPr>
        <xdr:cNvPr id="944" name="Picture 943"/>
        <xdr:cNvPicPr>
          <a:picLocks noChangeAspect="1" noChangeArrowheads="1"/>
        </xdr:cNvPicPr>
      </xdr:nvPicPr>
      <xdr:blipFill>
        <a:blip xmlns:r="http://schemas.openxmlformats.org/officeDocument/2006/relationships" r:embed="rId943">
          <a:extLst>
            <a:ext uri="{28A0092B-C50C-407E-A947-70E740481C1C}">
              <a14:useLocalDpi xmlns:a14="http://schemas.microsoft.com/office/drawing/2010/main" val="0"/>
            </a:ext>
          </a:extLst>
        </a:blip>
        <a:srcRect/>
        <a:stretch>
          <a:fillRect/>
        </a:stretch>
      </xdr:blipFill>
      <xdr:spPr bwMode="auto">
        <a:xfrm>
          <a:off x="1228725" y="1781127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945</xdr:row>
      <xdr:rowOff>19050</xdr:rowOff>
    </xdr:from>
    <xdr:to>
      <xdr:col>2</xdr:col>
      <xdr:colOff>1733550</xdr:colOff>
      <xdr:row>945</xdr:row>
      <xdr:rowOff>1666875</xdr:rowOff>
    </xdr:to>
    <xdr:pic>
      <xdr:nvPicPr>
        <xdr:cNvPr id="945" name="Picture 944"/>
        <xdr:cNvPicPr>
          <a:picLocks noChangeAspect="1" noChangeArrowheads="1"/>
        </xdr:cNvPicPr>
      </xdr:nvPicPr>
      <xdr:blipFill>
        <a:blip xmlns:r="http://schemas.openxmlformats.org/officeDocument/2006/relationships" r:embed="rId944">
          <a:extLst>
            <a:ext uri="{28A0092B-C50C-407E-A947-70E740481C1C}">
              <a14:useLocalDpi xmlns:a14="http://schemas.microsoft.com/office/drawing/2010/main" val="0"/>
            </a:ext>
          </a:extLst>
        </a:blip>
        <a:srcRect/>
        <a:stretch>
          <a:fillRect/>
        </a:stretch>
      </xdr:blipFill>
      <xdr:spPr bwMode="auto">
        <a:xfrm>
          <a:off x="1228725" y="1783041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946</xdr:row>
      <xdr:rowOff>19050</xdr:rowOff>
    </xdr:from>
    <xdr:to>
      <xdr:col>2</xdr:col>
      <xdr:colOff>1733550</xdr:colOff>
      <xdr:row>946</xdr:row>
      <xdr:rowOff>1666875</xdr:rowOff>
    </xdr:to>
    <xdr:pic>
      <xdr:nvPicPr>
        <xdr:cNvPr id="946" name="Picture 945"/>
        <xdr:cNvPicPr>
          <a:picLocks noChangeAspect="1" noChangeArrowheads="1"/>
        </xdr:cNvPicPr>
      </xdr:nvPicPr>
      <xdr:blipFill>
        <a:blip xmlns:r="http://schemas.openxmlformats.org/officeDocument/2006/relationships" r:embed="rId945">
          <a:extLst>
            <a:ext uri="{28A0092B-C50C-407E-A947-70E740481C1C}">
              <a14:useLocalDpi xmlns:a14="http://schemas.microsoft.com/office/drawing/2010/main" val="0"/>
            </a:ext>
          </a:extLst>
        </a:blip>
        <a:srcRect/>
        <a:stretch>
          <a:fillRect/>
        </a:stretch>
      </xdr:blipFill>
      <xdr:spPr bwMode="auto">
        <a:xfrm>
          <a:off x="1228725" y="1784956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947</xdr:row>
      <xdr:rowOff>19050</xdr:rowOff>
    </xdr:from>
    <xdr:to>
      <xdr:col>2</xdr:col>
      <xdr:colOff>1733550</xdr:colOff>
      <xdr:row>947</xdr:row>
      <xdr:rowOff>1666875</xdr:rowOff>
    </xdr:to>
    <xdr:pic>
      <xdr:nvPicPr>
        <xdr:cNvPr id="947" name="Picture 946"/>
        <xdr:cNvPicPr>
          <a:picLocks noChangeAspect="1" noChangeArrowheads="1"/>
        </xdr:cNvPicPr>
      </xdr:nvPicPr>
      <xdr:blipFill>
        <a:blip xmlns:r="http://schemas.openxmlformats.org/officeDocument/2006/relationships" r:embed="rId946">
          <a:extLst>
            <a:ext uri="{28A0092B-C50C-407E-A947-70E740481C1C}">
              <a14:useLocalDpi xmlns:a14="http://schemas.microsoft.com/office/drawing/2010/main" val="0"/>
            </a:ext>
          </a:extLst>
        </a:blip>
        <a:srcRect/>
        <a:stretch>
          <a:fillRect/>
        </a:stretch>
      </xdr:blipFill>
      <xdr:spPr bwMode="auto">
        <a:xfrm>
          <a:off x="1228725" y="1786870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948</xdr:row>
      <xdr:rowOff>19050</xdr:rowOff>
    </xdr:from>
    <xdr:to>
      <xdr:col>2</xdr:col>
      <xdr:colOff>1733550</xdr:colOff>
      <xdr:row>948</xdr:row>
      <xdr:rowOff>1666875</xdr:rowOff>
    </xdr:to>
    <xdr:pic>
      <xdr:nvPicPr>
        <xdr:cNvPr id="948" name="Picture 947"/>
        <xdr:cNvPicPr>
          <a:picLocks noChangeAspect="1" noChangeArrowheads="1"/>
        </xdr:cNvPicPr>
      </xdr:nvPicPr>
      <xdr:blipFill>
        <a:blip xmlns:r="http://schemas.openxmlformats.org/officeDocument/2006/relationships" r:embed="rId947">
          <a:extLst>
            <a:ext uri="{28A0092B-C50C-407E-A947-70E740481C1C}">
              <a14:useLocalDpi xmlns:a14="http://schemas.microsoft.com/office/drawing/2010/main" val="0"/>
            </a:ext>
          </a:extLst>
        </a:blip>
        <a:srcRect/>
        <a:stretch>
          <a:fillRect/>
        </a:stretch>
      </xdr:blipFill>
      <xdr:spPr bwMode="auto">
        <a:xfrm>
          <a:off x="1228725" y="178878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949</xdr:row>
      <xdr:rowOff>19050</xdr:rowOff>
    </xdr:from>
    <xdr:to>
      <xdr:col>2</xdr:col>
      <xdr:colOff>1733550</xdr:colOff>
      <xdr:row>949</xdr:row>
      <xdr:rowOff>1666875</xdr:rowOff>
    </xdr:to>
    <xdr:pic>
      <xdr:nvPicPr>
        <xdr:cNvPr id="949" name="Picture 948"/>
        <xdr:cNvPicPr>
          <a:picLocks noChangeAspect="1" noChangeArrowheads="1"/>
        </xdr:cNvPicPr>
      </xdr:nvPicPr>
      <xdr:blipFill>
        <a:blip xmlns:r="http://schemas.openxmlformats.org/officeDocument/2006/relationships" r:embed="rId948">
          <a:extLst>
            <a:ext uri="{28A0092B-C50C-407E-A947-70E740481C1C}">
              <a14:useLocalDpi xmlns:a14="http://schemas.microsoft.com/office/drawing/2010/main" val="0"/>
            </a:ext>
          </a:extLst>
        </a:blip>
        <a:srcRect/>
        <a:stretch>
          <a:fillRect/>
        </a:stretch>
      </xdr:blipFill>
      <xdr:spPr bwMode="auto">
        <a:xfrm>
          <a:off x="1228725" y="1790700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950</xdr:row>
      <xdr:rowOff>19050</xdr:rowOff>
    </xdr:from>
    <xdr:to>
      <xdr:col>2</xdr:col>
      <xdr:colOff>1733550</xdr:colOff>
      <xdr:row>950</xdr:row>
      <xdr:rowOff>1666875</xdr:rowOff>
    </xdr:to>
    <xdr:pic>
      <xdr:nvPicPr>
        <xdr:cNvPr id="950" name="Picture 949"/>
        <xdr:cNvPicPr>
          <a:picLocks noChangeAspect="1" noChangeArrowheads="1"/>
        </xdr:cNvPicPr>
      </xdr:nvPicPr>
      <xdr:blipFill>
        <a:blip xmlns:r="http://schemas.openxmlformats.org/officeDocument/2006/relationships" r:embed="rId949">
          <a:extLst>
            <a:ext uri="{28A0092B-C50C-407E-A947-70E740481C1C}">
              <a14:useLocalDpi xmlns:a14="http://schemas.microsoft.com/office/drawing/2010/main" val="0"/>
            </a:ext>
          </a:extLst>
        </a:blip>
        <a:srcRect/>
        <a:stretch>
          <a:fillRect/>
        </a:stretch>
      </xdr:blipFill>
      <xdr:spPr bwMode="auto">
        <a:xfrm>
          <a:off x="1228725" y="1792614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951</xdr:row>
      <xdr:rowOff>19050</xdr:rowOff>
    </xdr:from>
    <xdr:to>
      <xdr:col>2</xdr:col>
      <xdr:colOff>1733550</xdr:colOff>
      <xdr:row>951</xdr:row>
      <xdr:rowOff>1666875</xdr:rowOff>
    </xdr:to>
    <xdr:pic>
      <xdr:nvPicPr>
        <xdr:cNvPr id="951" name="Picture 950"/>
        <xdr:cNvPicPr>
          <a:picLocks noChangeAspect="1" noChangeArrowheads="1"/>
        </xdr:cNvPicPr>
      </xdr:nvPicPr>
      <xdr:blipFill>
        <a:blip xmlns:r="http://schemas.openxmlformats.org/officeDocument/2006/relationships" r:embed="rId950">
          <a:extLst>
            <a:ext uri="{28A0092B-C50C-407E-A947-70E740481C1C}">
              <a14:useLocalDpi xmlns:a14="http://schemas.microsoft.com/office/drawing/2010/main" val="0"/>
            </a:ext>
          </a:extLst>
        </a:blip>
        <a:srcRect/>
        <a:stretch>
          <a:fillRect/>
        </a:stretch>
      </xdr:blipFill>
      <xdr:spPr bwMode="auto">
        <a:xfrm>
          <a:off x="1228725" y="1794529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952</xdr:row>
      <xdr:rowOff>19050</xdr:rowOff>
    </xdr:from>
    <xdr:to>
      <xdr:col>2</xdr:col>
      <xdr:colOff>1733550</xdr:colOff>
      <xdr:row>952</xdr:row>
      <xdr:rowOff>1666875</xdr:rowOff>
    </xdr:to>
    <xdr:pic>
      <xdr:nvPicPr>
        <xdr:cNvPr id="952" name="Picture 951"/>
        <xdr:cNvPicPr>
          <a:picLocks noChangeAspect="1" noChangeArrowheads="1"/>
        </xdr:cNvPicPr>
      </xdr:nvPicPr>
      <xdr:blipFill>
        <a:blip xmlns:r="http://schemas.openxmlformats.org/officeDocument/2006/relationships" r:embed="rId951">
          <a:extLst>
            <a:ext uri="{28A0092B-C50C-407E-A947-70E740481C1C}">
              <a14:useLocalDpi xmlns:a14="http://schemas.microsoft.com/office/drawing/2010/main" val="0"/>
            </a:ext>
          </a:extLst>
        </a:blip>
        <a:srcRect/>
        <a:stretch>
          <a:fillRect/>
        </a:stretch>
      </xdr:blipFill>
      <xdr:spPr bwMode="auto">
        <a:xfrm>
          <a:off x="1228725" y="1796443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953</xdr:row>
      <xdr:rowOff>19050</xdr:rowOff>
    </xdr:from>
    <xdr:to>
      <xdr:col>2</xdr:col>
      <xdr:colOff>1733550</xdr:colOff>
      <xdr:row>953</xdr:row>
      <xdr:rowOff>1666875</xdr:rowOff>
    </xdr:to>
    <xdr:pic>
      <xdr:nvPicPr>
        <xdr:cNvPr id="953" name="Picture 952"/>
        <xdr:cNvPicPr>
          <a:picLocks noChangeAspect="1" noChangeArrowheads="1"/>
        </xdr:cNvPicPr>
      </xdr:nvPicPr>
      <xdr:blipFill>
        <a:blip xmlns:r="http://schemas.openxmlformats.org/officeDocument/2006/relationships" r:embed="rId952">
          <a:extLst>
            <a:ext uri="{28A0092B-C50C-407E-A947-70E740481C1C}">
              <a14:useLocalDpi xmlns:a14="http://schemas.microsoft.com/office/drawing/2010/main" val="0"/>
            </a:ext>
          </a:extLst>
        </a:blip>
        <a:srcRect/>
        <a:stretch>
          <a:fillRect/>
        </a:stretch>
      </xdr:blipFill>
      <xdr:spPr bwMode="auto">
        <a:xfrm>
          <a:off x="1228725" y="1798358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954</xdr:row>
      <xdr:rowOff>19050</xdr:rowOff>
    </xdr:from>
    <xdr:to>
      <xdr:col>2</xdr:col>
      <xdr:colOff>1733550</xdr:colOff>
      <xdr:row>954</xdr:row>
      <xdr:rowOff>1666875</xdr:rowOff>
    </xdr:to>
    <xdr:pic>
      <xdr:nvPicPr>
        <xdr:cNvPr id="954" name="Picture 953"/>
        <xdr:cNvPicPr>
          <a:picLocks noChangeAspect="1" noChangeArrowheads="1"/>
        </xdr:cNvPicPr>
      </xdr:nvPicPr>
      <xdr:blipFill>
        <a:blip xmlns:r="http://schemas.openxmlformats.org/officeDocument/2006/relationships" r:embed="rId953">
          <a:extLst>
            <a:ext uri="{28A0092B-C50C-407E-A947-70E740481C1C}">
              <a14:useLocalDpi xmlns:a14="http://schemas.microsoft.com/office/drawing/2010/main" val="0"/>
            </a:ext>
          </a:extLst>
        </a:blip>
        <a:srcRect/>
        <a:stretch>
          <a:fillRect/>
        </a:stretch>
      </xdr:blipFill>
      <xdr:spPr bwMode="auto">
        <a:xfrm>
          <a:off x="1228725" y="1800272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955</xdr:row>
      <xdr:rowOff>19050</xdr:rowOff>
    </xdr:from>
    <xdr:to>
      <xdr:col>2</xdr:col>
      <xdr:colOff>1733550</xdr:colOff>
      <xdr:row>955</xdr:row>
      <xdr:rowOff>1666875</xdr:rowOff>
    </xdr:to>
    <xdr:pic>
      <xdr:nvPicPr>
        <xdr:cNvPr id="955" name="Picture 954"/>
        <xdr:cNvPicPr>
          <a:picLocks noChangeAspect="1" noChangeArrowheads="1"/>
        </xdr:cNvPicPr>
      </xdr:nvPicPr>
      <xdr:blipFill>
        <a:blip xmlns:r="http://schemas.openxmlformats.org/officeDocument/2006/relationships" r:embed="rId954">
          <a:extLst>
            <a:ext uri="{28A0092B-C50C-407E-A947-70E740481C1C}">
              <a14:useLocalDpi xmlns:a14="http://schemas.microsoft.com/office/drawing/2010/main" val="0"/>
            </a:ext>
          </a:extLst>
        </a:blip>
        <a:srcRect/>
        <a:stretch>
          <a:fillRect/>
        </a:stretch>
      </xdr:blipFill>
      <xdr:spPr bwMode="auto">
        <a:xfrm>
          <a:off x="1228725" y="1802187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956</xdr:row>
      <xdr:rowOff>19050</xdr:rowOff>
    </xdr:from>
    <xdr:to>
      <xdr:col>2</xdr:col>
      <xdr:colOff>1733550</xdr:colOff>
      <xdr:row>956</xdr:row>
      <xdr:rowOff>1666875</xdr:rowOff>
    </xdr:to>
    <xdr:pic>
      <xdr:nvPicPr>
        <xdr:cNvPr id="956" name="Picture 955"/>
        <xdr:cNvPicPr>
          <a:picLocks noChangeAspect="1" noChangeArrowheads="1"/>
        </xdr:cNvPicPr>
      </xdr:nvPicPr>
      <xdr:blipFill>
        <a:blip xmlns:r="http://schemas.openxmlformats.org/officeDocument/2006/relationships" r:embed="rId955">
          <a:extLst>
            <a:ext uri="{28A0092B-C50C-407E-A947-70E740481C1C}">
              <a14:useLocalDpi xmlns:a14="http://schemas.microsoft.com/office/drawing/2010/main" val="0"/>
            </a:ext>
          </a:extLst>
        </a:blip>
        <a:srcRect/>
        <a:stretch>
          <a:fillRect/>
        </a:stretch>
      </xdr:blipFill>
      <xdr:spPr bwMode="auto">
        <a:xfrm>
          <a:off x="1228725" y="1804101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957</xdr:row>
      <xdr:rowOff>19050</xdr:rowOff>
    </xdr:from>
    <xdr:to>
      <xdr:col>2</xdr:col>
      <xdr:colOff>1733550</xdr:colOff>
      <xdr:row>957</xdr:row>
      <xdr:rowOff>1666875</xdr:rowOff>
    </xdr:to>
    <xdr:pic>
      <xdr:nvPicPr>
        <xdr:cNvPr id="957" name="Picture 956"/>
        <xdr:cNvPicPr>
          <a:picLocks noChangeAspect="1" noChangeArrowheads="1"/>
        </xdr:cNvPicPr>
      </xdr:nvPicPr>
      <xdr:blipFill>
        <a:blip xmlns:r="http://schemas.openxmlformats.org/officeDocument/2006/relationships" r:embed="rId956">
          <a:extLst>
            <a:ext uri="{28A0092B-C50C-407E-A947-70E740481C1C}">
              <a14:useLocalDpi xmlns:a14="http://schemas.microsoft.com/office/drawing/2010/main" val="0"/>
            </a:ext>
          </a:extLst>
        </a:blip>
        <a:srcRect/>
        <a:stretch>
          <a:fillRect/>
        </a:stretch>
      </xdr:blipFill>
      <xdr:spPr bwMode="auto">
        <a:xfrm>
          <a:off x="1228725" y="1806016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958</xdr:row>
      <xdr:rowOff>19050</xdr:rowOff>
    </xdr:from>
    <xdr:to>
      <xdr:col>2</xdr:col>
      <xdr:colOff>1733550</xdr:colOff>
      <xdr:row>958</xdr:row>
      <xdr:rowOff>1666875</xdr:rowOff>
    </xdr:to>
    <xdr:pic>
      <xdr:nvPicPr>
        <xdr:cNvPr id="958" name="Picture 957"/>
        <xdr:cNvPicPr>
          <a:picLocks noChangeAspect="1" noChangeArrowheads="1"/>
        </xdr:cNvPicPr>
      </xdr:nvPicPr>
      <xdr:blipFill>
        <a:blip xmlns:r="http://schemas.openxmlformats.org/officeDocument/2006/relationships" r:embed="rId957">
          <a:extLst>
            <a:ext uri="{28A0092B-C50C-407E-A947-70E740481C1C}">
              <a14:useLocalDpi xmlns:a14="http://schemas.microsoft.com/office/drawing/2010/main" val="0"/>
            </a:ext>
          </a:extLst>
        </a:blip>
        <a:srcRect/>
        <a:stretch>
          <a:fillRect/>
        </a:stretch>
      </xdr:blipFill>
      <xdr:spPr bwMode="auto">
        <a:xfrm>
          <a:off x="1228725" y="180793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959</xdr:row>
      <xdr:rowOff>19050</xdr:rowOff>
    </xdr:from>
    <xdr:to>
      <xdr:col>2</xdr:col>
      <xdr:colOff>1733550</xdr:colOff>
      <xdr:row>959</xdr:row>
      <xdr:rowOff>1666875</xdr:rowOff>
    </xdr:to>
    <xdr:pic>
      <xdr:nvPicPr>
        <xdr:cNvPr id="959" name="Picture 958"/>
        <xdr:cNvPicPr>
          <a:picLocks noChangeAspect="1" noChangeArrowheads="1"/>
        </xdr:cNvPicPr>
      </xdr:nvPicPr>
      <xdr:blipFill>
        <a:blip xmlns:r="http://schemas.openxmlformats.org/officeDocument/2006/relationships" r:embed="rId958">
          <a:extLst>
            <a:ext uri="{28A0092B-C50C-407E-A947-70E740481C1C}">
              <a14:useLocalDpi xmlns:a14="http://schemas.microsoft.com/office/drawing/2010/main" val="0"/>
            </a:ext>
          </a:extLst>
        </a:blip>
        <a:srcRect/>
        <a:stretch>
          <a:fillRect/>
        </a:stretch>
      </xdr:blipFill>
      <xdr:spPr bwMode="auto">
        <a:xfrm>
          <a:off x="1228725" y="180984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960</xdr:row>
      <xdr:rowOff>19050</xdr:rowOff>
    </xdr:from>
    <xdr:to>
      <xdr:col>2</xdr:col>
      <xdr:colOff>1733550</xdr:colOff>
      <xdr:row>960</xdr:row>
      <xdr:rowOff>1666875</xdr:rowOff>
    </xdr:to>
    <xdr:pic>
      <xdr:nvPicPr>
        <xdr:cNvPr id="960" name="Picture 959"/>
        <xdr:cNvPicPr>
          <a:picLocks noChangeAspect="1" noChangeArrowheads="1"/>
        </xdr:cNvPicPr>
      </xdr:nvPicPr>
      <xdr:blipFill>
        <a:blip xmlns:r="http://schemas.openxmlformats.org/officeDocument/2006/relationships" r:embed="rId959">
          <a:extLst>
            <a:ext uri="{28A0092B-C50C-407E-A947-70E740481C1C}">
              <a14:useLocalDpi xmlns:a14="http://schemas.microsoft.com/office/drawing/2010/main" val="0"/>
            </a:ext>
          </a:extLst>
        </a:blip>
        <a:srcRect/>
        <a:stretch>
          <a:fillRect/>
        </a:stretch>
      </xdr:blipFill>
      <xdr:spPr bwMode="auto">
        <a:xfrm>
          <a:off x="1228725" y="1811759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961</xdr:row>
      <xdr:rowOff>19050</xdr:rowOff>
    </xdr:from>
    <xdr:to>
      <xdr:col>2</xdr:col>
      <xdr:colOff>1733550</xdr:colOff>
      <xdr:row>961</xdr:row>
      <xdr:rowOff>1666875</xdr:rowOff>
    </xdr:to>
    <xdr:pic>
      <xdr:nvPicPr>
        <xdr:cNvPr id="961" name="Picture 960"/>
        <xdr:cNvPicPr>
          <a:picLocks noChangeAspect="1" noChangeArrowheads="1"/>
        </xdr:cNvPicPr>
      </xdr:nvPicPr>
      <xdr:blipFill>
        <a:blip xmlns:r="http://schemas.openxmlformats.org/officeDocument/2006/relationships" r:embed="rId960">
          <a:extLst>
            <a:ext uri="{28A0092B-C50C-407E-A947-70E740481C1C}">
              <a14:useLocalDpi xmlns:a14="http://schemas.microsoft.com/office/drawing/2010/main" val="0"/>
            </a:ext>
          </a:extLst>
        </a:blip>
        <a:srcRect/>
        <a:stretch>
          <a:fillRect/>
        </a:stretch>
      </xdr:blipFill>
      <xdr:spPr bwMode="auto">
        <a:xfrm>
          <a:off x="1228725" y="1813674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962</xdr:row>
      <xdr:rowOff>19050</xdr:rowOff>
    </xdr:from>
    <xdr:to>
      <xdr:col>2</xdr:col>
      <xdr:colOff>1733550</xdr:colOff>
      <xdr:row>962</xdr:row>
      <xdr:rowOff>1666875</xdr:rowOff>
    </xdr:to>
    <xdr:pic>
      <xdr:nvPicPr>
        <xdr:cNvPr id="962" name="Picture 961"/>
        <xdr:cNvPicPr>
          <a:picLocks noChangeAspect="1" noChangeArrowheads="1"/>
        </xdr:cNvPicPr>
      </xdr:nvPicPr>
      <xdr:blipFill>
        <a:blip xmlns:r="http://schemas.openxmlformats.org/officeDocument/2006/relationships" r:embed="rId961">
          <a:extLst>
            <a:ext uri="{28A0092B-C50C-407E-A947-70E740481C1C}">
              <a14:useLocalDpi xmlns:a14="http://schemas.microsoft.com/office/drawing/2010/main" val="0"/>
            </a:ext>
          </a:extLst>
        </a:blip>
        <a:srcRect/>
        <a:stretch>
          <a:fillRect/>
        </a:stretch>
      </xdr:blipFill>
      <xdr:spPr bwMode="auto">
        <a:xfrm>
          <a:off x="1228725" y="1815588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963</xdr:row>
      <xdr:rowOff>19050</xdr:rowOff>
    </xdr:from>
    <xdr:to>
      <xdr:col>2</xdr:col>
      <xdr:colOff>1733550</xdr:colOff>
      <xdr:row>963</xdr:row>
      <xdr:rowOff>1666875</xdr:rowOff>
    </xdr:to>
    <xdr:pic>
      <xdr:nvPicPr>
        <xdr:cNvPr id="963" name="Picture 962"/>
        <xdr:cNvPicPr>
          <a:picLocks noChangeAspect="1" noChangeArrowheads="1"/>
        </xdr:cNvPicPr>
      </xdr:nvPicPr>
      <xdr:blipFill>
        <a:blip xmlns:r="http://schemas.openxmlformats.org/officeDocument/2006/relationships" r:embed="rId962">
          <a:extLst>
            <a:ext uri="{28A0092B-C50C-407E-A947-70E740481C1C}">
              <a14:useLocalDpi xmlns:a14="http://schemas.microsoft.com/office/drawing/2010/main" val="0"/>
            </a:ext>
          </a:extLst>
        </a:blip>
        <a:srcRect/>
        <a:stretch>
          <a:fillRect/>
        </a:stretch>
      </xdr:blipFill>
      <xdr:spPr bwMode="auto">
        <a:xfrm>
          <a:off x="1228725" y="1817503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964</xdr:row>
      <xdr:rowOff>19050</xdr:rowOff>
    </xdr:from>
    <xdr:to>
      <xdr:col>2</xdr:col>
      <xdr:colOff>1733550</xdr:colOff>
      <xdr:row>964</xdr:row>
      <xdr:rowOff>1666875</xdr:rowOff>
    </xdr:to>
    <xdr:pic>
      <xdr:nvPicPr>
        <xdr:cNvPr id="964" name="Picture 963"/>
        <xdr:cNvPicPr>
          <a:picLocks noChangeAspect="1" noChangeArrowheads="1"/>
        </xdr:cNvPicPr>
      </xdr:nvPicPr>
      <xdr:blipFill>
        <a:blip xmlns:r="http://schemas.openxmlformats.org/officeDocument/2006/relationships" r:embed="rId963">
          <a:extLst>
            <a:ext uri="{28A0092B-C50C-407E-A947-70E740481C1C}">
              <a14:useLocalDpi xmlns:a14="http://schemas.microsoft.com/office/drawing/2010/main" val="0"/>
            </a:ext>
          </a:extLst>
        </a:blip>
        <a:srcRect/>
        <a:stretch>
          <a:fillRect/>
        </a:stretch>
      </xdr:blipFill>
      <xdr:spPr bwMode="auto">
        <a:xfrm>
          <a:off x="1228725" y="1819417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965</xdr:row>
      <xdr:rowOff>19050</xdr:rowOff>
    </xdr:from>
    <xdr:to>
      <xdr:col>2</xdr:col>
      <xdr:colOff>1733550</xdr:colOff>
      <xdr:row>965</xdr:row>
      <xdr:rowOff>1666875</xdr:rowOff>
    </xdr:to>
    <xdr:pic>
      <xdr:nvPicPr>
        <xdr:cNvPr id="965" name="Picture 964"/>
        <xdr:cNvPicPr>
          <a:picLocks noChangeAspect="1" noChangeArrowheads="1"/>
        </xdr:cNvPicPr>
      </xdr:nvPicPr>
      <xdr:blipFill>
        <a:blip xmlns:r="http://schemas.openxmlformats.org/officeDocument/2006/relationships" r:embed="rId964">
          <a:extLst>
            <a:ext uri="{28A0092B-C50C-407E-A947-70E740481C1C}">
              <a14:useLocalDpi xmlns:a14="http://schemas.microsoft.com/office/drawing/2010/main" val="0"/>
            </a:ext>
          </a:extLst>
        </a:blip>
        <a:srcRect/>
        <a:stretch>
          <a:fillRect/>
        </a:stretch>
      </xdr:blipFill>
      <xdr:spPr bwMode="auto">
        <a:xfrm>
          <a:off x="1228725" y="182133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966</xdr:row>
      <xdr:rowOff>19050</xdr:rowOff>
    </xdr:from>
    <xdr:to>
      <xdr:col>2</xdr:col>
      <xdr:colOff>1733550</xdr:colOff>
      <xdr:row>966</xdr:row>
      <xdr:rowOff>1666875</xdr:rowOff>
    </xdr:to>
    <xdr:pic>
      <xdr:nvPicPr>
        <xdr:cNvPr id="966" name="Picture 965"/>
        <xdr:cNvPicPr>
          <a:picLocks noChangeAspect="1" noChangeArrowheads="1"/>
        </xdr:cNvPicPr>
      </xdr:nvPicPr>
      <xdr:blipFill>
        <a:blip xmlns:r="http://schemas.openxmlformats.org/officeDocument/2006/relationships" r:embed="rId965">
          <a:extLst>
            <a:ext uri="{28A0092B-C50C-407E-A947-70E740481C1C}">
              <a14:useLocalDpi xmlns:a14="http://schemas.microsoft.com/office/drawing/2010/main" val="0"/>
            </a:ext>
          </a:extLst>
        </a:blip>
        <a:srcRect/>
        <a:stretch>
          <a:fillRect/>
        </a:stretch>
      </xdr:blipFill>
      <xdr:spPr bwMode="auto">
        <a:xfrm>
          <a:off x="1228725" y="1823246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967</xdr:row>
      <xdr:rowOff>19050</xdr:rowOff>
    </xdr:from>
    <xdr:to>
      <xdr:col>2</xdr:col>
      <xdr:colOff>1733550</xdr:colOff>
      <xdr:row>967</xdr:row>
      <xdr:rowOff>1666875</xdr:rowOff>
    </xdr:to>
    <xdr:pic>
      <xdr:nvPicPr>
        <xdr:cNvPr id="967" name="Picture 966"/>
        <xdr:cNvPicPr>
          <a:picLocks noChangeAspect="1" noChangeArrowheads="1"/>
        </xdr:cNvPicPr>
      </xdr:nvPicPr>
      <xdr:blipFill>
        <a:blip xmlns:r="http://schemas.openxmlformats.org/officeDocument/2006/relationships" r:embed="rId966">
          <a:extLst>
            <a:ext uri="{28A0092B-C50C-407E-A947-70E740481C1C}">
              <a14:useLocalDpi xmlns:a14="http://schemas.microsoft.com/office/drawing/2010/main" val="0"/>
            </a:ext>
          </a:extLst>
        </a:blip>
        <a:srcRect/>
        <a:stretch>
          <a:fillRect/>
        </a:stretch>
      </xdr:blipFill>
      <xdr:spPr bwMode="auto">
        <a:xfrm>
          <a:off x="1228725" y="1825161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968</xdr:row>
      <xdr:rowOff>19050</xdr:rowOff>
    </xdr:from>
    <xdr:to>
      <xdr:col>2</xdr:col>
      <xdr:colOff>1733550</xdr:colOff>
      <xdr:row>968</xdr:row>
      <xdr:rowOff>1666875</xdr:rowOff>
    </xdr:to>
    <xdr:pic>
      <xdr:nvPicPr>
        <xdr:cNvPr id="968" name="Picture 967"/>
        <xdr:cNvPicPr>
          <a:picLocks noChangeAspect="1" noChangeArrowheads="1"/>
        </xdr:cNvPicPr>
      </xdr:nvPicPr>
      <xdr:blipFill>
        <a:blip xmlns:r="http://schemas.openxmlformats.org/officeDocument/2006/relationships" r:embed="rId967">
          <a:extLst>
            <a:ext uri="{28A0092B-C50C-407E-A947-70E740481C1C}">
              <a14:useLocalDpi xmlns:a14="http://schemas.microsoft.com/office/drawing/2010/main" val="0"/>
            </a:ext>
          </a:extLst>
        </a:blip>
        <a:srcRect/>
        <a:stretch>
          <a:fillRect/>
        </a:stretch>
      </xdr:blipFill>
      <xdr:spPr bwMode="auto">
        <a:xfrm>
          <a:off x="1228725" y="1827075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969</xdr:row>
      <xdr:rowOff>19050</xdr:rowOff>
    </xdr:from>
    <xdr:to>
      <xdr:col>2</xdr:col>
      <xdr:colOff>1733550</xdr:colOff>
      <xdr:row>969</xdr:row>
      <xdr:rowOff>1666875</xdr:rowOff>
    </xdr:to>
    <xdr:pic>
      <xdr:nvPicPr>
        <xdr:cNvPr id="969" name="Picture 968"/>
        <xdr:cNvPicPr>
          <a:picLocks noChangeAspect="1" noChangeArrowheads="1"/>
        </xdr:cNvPicPr>
      </xdr:nvPicPr>
      <xdr:blipFill>
        <a:blip xmlns:r="http://schemas.openxmlformats.org/officeDocument/2006/relationships" r:embed="rId968">
          <a:extLst>
            <a:ext uri="{28A0092B-C50C-407E-A947-70E740481C1C}">
              <a14:useLocalDpi xmlns:a14="http://schemas.microsoft.com/office/drawing/2010/main" val="0"/>
            </a:ext>
          </a:extLst>
        </a:blip>
        <a:srcRect/>
        <a:stretch>
          <a:fillRect/>
        </a:stretch>
      </xdr:blipFill>
      <xdr:spPr bwMode="auto">
        <a:xfrm>
          <a:off x="1228725" y="1828990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970</xdr:row>
      <xdr:rowOff>19050</xdr:rowOff>
    </xdr:from>
    <xdr:to>
      <xdr:col>2</xdr:col>
      <xdr:colOff>1733550</xdr:colOff>
      <xdr:row>970</xdr:row>
      <xdr:rowOff>1666875</xdr:rowOff>
    </xdr:to>
    <xdr:pic>
      <xdr:nvPicPr>
        <xdr:cNvPr id="970" name="Picture 969"/>
        <xdr:cNvPicPr>
          <a:picLocks noChangeAspect="1" noChangeArrowheads="1"/>
        </xdr:cNvPicPr>
      </xdr:nvPicPr>
      <xdr:blipFill>
        <a:blip xmlns:r="http://schemas.openxmlformats.org/officeDocument/2006/relationships" r:embed="rId969">
          <a:extLst>
            <a:ext uri="{28A0092B-C50C-407E-A947-70E740481C1C}">
              <a14:useLocalDpi xmlns:a14="http://schemas.microsoft.com/office/drawing/2010/main" val="0"/>
            </a:ext>
          </a:extLst>
        </a:blip>
        <a:srcRect/>
        <a:stretch>
          <a:fillRect/>
        </a:stretch>
      </xdr:blipFill>
      <xdr:spPr bwMode="auto">
        <a:xfrm>
          <a:off x="1228725" y="1830905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971</xdr:row>
      <xdr:rowOff>19050</xdr:rowOff>
    </xdr:from>
    <xdr:to>
      <xdr:col>2</xdr:col>
      <xdr:colOff>1733550</xdr:colOff>
      <xdr:row>971</xdr:row>
      <xdr:rowOff>1666875</xdr:rowOff>
    </xdr:to>
    <xdr:pic>
      <xdr:nvPicPr>
        <xdr:cNvPr id="971" name="Picture 970"/>
        <xdr:cNvPicPr>
          <a:picLocks noChangeAspect="1" noChangeArrowheads="1"/>
        </xdr:cNvPicPr>
      </xdr:nvPicPr>
      <xdr:blipFill>
        <a:blip xmlns:r="http://schemas.openxmlformats.org/officeDocument/2006/relationships" r:embed="rId970">
          <a:extLst>
            <a:ext uri="{28A0092B-C50C-407E-A947-70E740481C1C}">
              <a14:useLocalDpi xmlns:a14="http://schemas.microsoft.com/office/drawing/2010/main" val="0"/>
            </a:ext>
          </a:extLst>
        </a:blip>
        <a:srcRect/>
        <a:stretch>
          <a:fillRect/>
        </a:stretch>
      </xdr:blipFill>
      <xdr:spPr bwMode="auto">
        <a:xfrm>
          <a:off x="1228725" y="1832819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972</xdr:row>
      <xdr:rowOff>19050</xdr:rowOff>
    </xdr:from>
    <xdr:to>
      <xdr:col>2</xdr:col>
      <xdr:colOff>1733550</xdr:colOff>
      <xdr:row>972</xdr:row>
      <xdr:rowOff>1666875</xdr:rowOff>
    </xdr:to>
    <xdr:pic>
      <xdr:nvPicPr>
        <xdr:cNvPr id="972" name="Picture 971"/>
        <xdr:cNvPicPr>
          <a:picLocks noChangeAspect="1" noChangeArrowheads="1"/>
        </xdr:cNvPicPr>
      </xdr:nvPicPr>
      <xdr:blipFill>
        <a:blip xmlns:r="http://schemas.openxmlformats.org/officeDocument/2006/relationships" r:embed="rId971">
          <a:extLst>
            <a:ext uri="{28A0092B-C50C-407E-A947-70E740481C1C}">
              <a14:useLocalDpi xmlns:a14="http://schemas.microsoft.com/office/drawing/2010/main" val="0"/>
            </a:ext>
          </a:extLst>
        </a:blip>
        <a:srcRect/>
        <a:stretch>
          <a:fillRect/>
        </a:stretch>
      </xdr:blipFill>
      <xdr:spPr bwMode="auto">
        <a:xfrm>
          <a:off x="1228725" y="1834734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973</xdr:row>
      <xdr:rowOff>19050</xdr:rowOff>
    </xdr:from>
    <xdr:to>
      <xdr:col>2</xdr:col>
      <xdr:colOff>1733550</xdr:colOff>
      <xdr:row>973</xdr:row>
      <xdr:rowOff>1666875</xdr:rowOff>
    </xdr:to>
    <xdr:pic>
      <xdr:nvPicPr>
        <xdr:cNvPr id="973" name="Picture 972"/>
        <xdr:cNvPicPr>
          <a:picLocks noChangeAspect="1" noChangeArrowheads="1"/>
        </xdr:cNvPicPr>
      </xdr:nvPicPr>
      <xdr:blipFill>
        <a:blip xmlns:r="http://schemas.openxmlformats.org/officeDocument/2006/relationships" r:embed="rId972">
          <a:extLst>
            <a:ext uri="{28A0092B-C50C-407E-A947-70E740481C1C}">
              <a14:useLocalDpi xmlns:a14="http://schemas.microsoft.com/office/drawing/2010/main" val="0"/>
            </a:ext>
          </a:extLst>
        </a:blip>
        <a:srcRect/>
        <a:stretch>
          <a:fillRect/>
        </a:stretch>
      </xdr:blipFill>
      <xdr:spPr bwMode="auto">
        <a:xfrm>
          <a:off x="1228725" y="183664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974</xdr:row>
      <xdr:rowOff>19050</xdr:rowOff>
    </xdr:from>
    <xdr:to>
      <xdr:col>2</xdr:col>
      <xdr:colOff>1733550</xdr:colOff>
      <xdr:row>974</xdr:row>
      <xdr:rowOff>1666875</xdr:rowOff>
    </xdr:to>
    <xdr:pic>
      <xdr:nvPicPr>
        <xdr:cNvPr id="974" name="Picture 973"/>
        <xdr:cNvPicPr>
          <a:picLocks noChangeAspect="1" noChangeArrowheads="1"/>
        </xdr:cNvPicPr>
      </xdr:nvPicPr>
      <xdr:blipFill>
        <a:blip xmlns:r="http://schemas.openxmlformats.org/officeDocument/2006/relationships" r:embed="rId973">
          <a:extLst>
            <a:ext uri="{28A0092B-C50C-407E-A947-70E740481C1C}">
              <a14:useLocalDpi xmlns:a14="http://schemas.microsoft.com/office/drawing/2010/main" val="0"/>
            </a:ext>
          </a:extLst>
        </a:blip>
        <a:srcRect/>
        <a:stretch>
          <a:fillRect/>
        </a:stretch>
      </xdr:blipFill>
      <xdr:spPr bwMode="auto">
        <a:xfrm>
          <a:off x="1228725" y="1838563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975</xdr:row>
      <xdr:rowOff>19050</xdr:rowOff>
    </xdr:from>
    <xdr:to>
      <xdr:col>2</xdr:col>
      <xdr:colOff>1733550</xdr:colOff>
      <xdr:row>975</xdr:row>
      <xdr:rowOff>1666875</xdr:rowOff>
    </xdr:to>
    <xdr:pic>
      <xdr:nvPicPr>
        <xdr:cNvPr id="975" name="Picture 974"/>
        <xdr:cNvPicPr>
          <a:picLocks noChangeAspect="1" noChangeArrowheads="1"/>
        </xdr:cNvPicPr>
      </xdr:nvPicPr>
      <xdr:blipFill>
        <a:blip xmlns:r="http://schemas.openxmlformats.org/officeDocument/2006/relationships" r:embed="rId974">
          <a:extLst>
            <a:ext uri="{28A0092B-C50C-407E-A947-70E740481C1C}">
              <a14:useLocalDpi xmlns:a14="http://schemas.microsoft.com/office/drawing/2010/main" val="0"/>
            </a:ext>
          </a:extLst>
        </a:blip>
        <a:srcRect/>
        <a:stretch>
          <a:fillRect/>
        </a:stretch>
      </xdr:blipFill>
      <xdr:spPr bwMode="auto">
        <a:xfrm>
          <a:off x="1228725" y="1840477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976</xdr:row>
      <xdr:rowOff>19050</xdr:rowOff>
    </xdr:from>
    <xdr:to>
      <xdr:col>2</xdr:col>
      <xdr:colOff>1733550</xdr:colOff>
      <xdr:row>976</xdr:row>
      <xdr:rowOff>1666875</xdr:rowOff>
    </xdr:to>
    <xdr:pic>
      <xdr:nvPicPr>
        <xdr:cNvPr id="976" name="Picture 975"/>
        <xdr:cNvPicPr>
          <a:picLocks noChangeAspect="1" noChangeArrowheads="1"/>
        </xdr:cNvPicPr>
      </xdr:nvPicPr>
      <xdr:blipFill>
        <a:blip xmlns:r="http://schemas.openxmlformats.org/officeDocument/2006/relationships" r:embed="rId975">
          <a:extLst>
            <a:ext uri="{28A0092B-C50C-407E-A947-70E740481C1C}">
              <a14:useLocalDpi xmlns:a14="http://schemas.microsoft.com/office/drawing/2010/main" val="0"/>
            </a:ext>
          </a:extLst>
        </a:blip>
        <a:srcRect/>
        <a:stretch>
          <a:fillRect/>
        </a:stretch>
      </xdr:blipFill>
      <xdr:spPr bwMode="auto">
        <a:xfrm>
          <a:off x="1228725" y="1842392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977</xdr:row>
      <xdr:rowOff>19050</xdr:rowOff>
    </xdr:from>
    <xdr:to>
      <xdr:col>2</xdr:col>
      <xdr:colOff>1733550</xdr:colOff>
      <xdr:row>977</xdr:row>
      <xdr:rowOff>1666875</xdr:rowOff>
    </xdr:to>
    <xdr:pic>
      <xdr:nvPicPr>
        <xdr:cNvPr id="977" name="Picture 976"/>
        <xdr:cNvPicPr>
          <a:picLocks noChangeAspect="1" noChangeArrowheads="1"/>
        </xdr:cNvPicPr>
      </xdr:nvPicPr>
      <xdr:blipFill>
        <a:blip xmlns:r="http://schemas.openxmlformats.org/officeDocument/2006/relationships" r:embed="rId976">
          <a:extLst>
            <a:ext uri="{28A0092B-C50C-407E-A947-70E740481C1C}">
              <a14:useLocalDpi xmlns:a14="http://schemas.microsoft.com/office/drawing/2010/main" val="0"/>
            </a:ext>
          </a:extLst>
        </a:blip>
        <a:srcRect/>
        <a:stretch>
          <a:fillRect/>
        </a:stretch>
      </xdr:blipFill>
      <xdr:spPr bwMode="auto">
        <a:xfrm>
          <a:off x="1228725" y="1844306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978</xdr:row>
      <xdr:rowOff>19050</xdr:rowOff>
    </xdr:from>
    <xdr:to>
      <xdr:col>2</xdr:col>
      <xdr:colOff>1733550</xdr:colOff>
      <xdr:row>978</xdr:row>
      <xdr:rowOff>1666875</xdr:rowOff>
    </xdr:to>
    <xdr:pic>
      <xdr:nvPicPr>
        <xdr:cNvPr id="978" name="Picture 977"/>
        <xdr:cNvPicPr>
          <a:picLocks noChangeAspect="1" noChangeArrowheads="1"/>
        </xdr:cNvPicPr>
      </xdr:nvPicPr>
      <xdr:blipFill>
        <a:blip xmlns:r="http://schemas.openxmlformats.org/officeDocument/2006/relationships" r:embed="rId977">
          <a:extLst>
            <a:ext uri="{28A0092B-C50C-407E-A947-70E740481C1C}">
              <a14:useLocalDpi xmlns:a14="http://schemas.microsoft.com/office/drawing/2010/main" val="0"/>
            </a:ext>
          </a:extLst>
        </a:blip>
        <a:srcRect/>
        <a:stretch>
          <a:fillRect/>
        </a:stretch>
      </xdr:blipFill>
      <xdr:spPr bwMode="auto">
        <a:xfrm>
          <a:off x="1228725" y="1846221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979</xdr:row>
      <xdr:rowOff>19050</xdr:rowOff>
    </xdr:from>
    <xdr:to>
      <xdr:col>2</xdr:col>
      <xdr:colOff>1733550</xdr:colOff>
      <xdr:row>979</xdr:row>
      <xdr:rowOff>1666875</xdr:rowOff>
    </xdr:to>
    <xdr:pic>
      <xdr:nvPicPr>
        <xdr:cNvPr id="979" name="Picture 978"/>
        <xdr:cNvPicPr>
          <a:picLocks noChangeAspect="1" noChangeArrowheads="1"/>
        </xdr:cNvPicPr>
      </xdr:nvPicPr>
      <xdr:blipFill>
        <a:blip xmlns:r="http://schemas.openxmlformats.org/officeDocument/2006/relationships" r:embed="rId978">
          <a:extLst>
            <a:ext uri="{28A0092B-C50C-407E-A947-70E740481C1C}">
              <a14:useLocalDpi xmlns:a14="http://schemas.microsoft.com/office/drawing/2010/main" val="0"/>
            </a:ext>
          </a:extLst>
        </a:blip>
        <a:srcRect/>
        <a:stretch>
          <a:fillRect/>
        </a:stretch>
      </xdr:blipFill>
      <xdr:spPr bwMode="auto">
        <a:xfrm>
          <a:off x="1228725" y="1848135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980</xdr:row>
      <xdr:rowOff>19050</xdr:rowOff>
    </xdr:from>
    <xdr:to>
      <xdr:col>2</xdr:col>
      <xdr:colOff>1733550</xdr:colOff>
      <xdr:row>980</xdr:row>
      <xdr:rowOff>1666875</xdr:rowOff>
    </xdr:to>
    <xdr:pic>
      <xdr:nvPicPr>
        <xdr:cNvPr id="980" name="Picture 979"/>
        <xdr:cNvPicPr>
          <a:picLocks noChangeAspect="1" noChangeArrowheads="1"/>
        </xdr:cNvPicPr>
      </xdr:nvPicPr>
      <xdr:blipFill>
        <a:blip xmlns:r="http://schemas.openxmlformats.org/officeDocument/2006/relationships" r:embed="rId979">
          <a:extLst>
            <a:ext uri="{28A0092B-C50C-407E-A947-70E740481C1C}">
              <a14:useLocalDpi xmlns:a14="http://schemas.microsoft.com/office/drawing/2010/main" val="0"/>
            </a:ext>
          </a:extLst>
        </a:blip>
        <a:srcRect/>
        <a:stretch>
          <a:fillRect/>
        </a:stretch>
      </xdr:blipFill>
      <xdr:spPr bwMode="auto">
        <a:xfrm>
          <a:off x="1228725" y="1850050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981</xdr:row>
      <xdr:rowOff>19050</xdr:rowOff>
    </xdr:from>
    <xdr:to>
      <xdr:col>2</xdr:col>
      <xdr:colOff>1733550</xdr:colOff>
      <xdr:row>981</xdr:row>
      <xdr:rowOff>1666875</xdr:rowOff>
    </xdr:to>
    <xdr:pic>
      <xdr:nvPicPr>
        <xdr:cNvPr id="981" name="Picture 980"/>
        <xdr:cNvPicPr>
          <a:picLocks noChangeAspect="1" noChangeArrowheads="1"/>
        </xdr:cNvPicPr>
      </xdr:nvPicPr>
      <xdr:blipFill>
        <a:blip xmlns:r="http://schemas.openxmlformats.org/officeDocument/2006/relationships" r:embed="rId980">
          <a:extLst>
            <a:ext uri="{28A0092B-C50C-407E-A947-70E740481C1C}">
              <a14:useLocalDpi xmlns:a14="http://schemas.microsoft.com/office/drawing/2010/main" val="0"/>
            </a:ext>
          </a:extLst>
        </a:blip>
        <a:srcRect/>
        <a:stretch>
          <a:fillRect/>
        </a:stretch>
      </xdr:blipFill>
      <xdr:spPr bwMode="auto">
        <a:xfrm>
          <a:off x="1228725" y="1851964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982</xdr:row>
      <xdr:rowOff>19050</xdr:rowOff>
    </xdr:from>
    <xdr:to>
      <xdr:col>2</xdr:col>
      <xdr:colOff>1733550</xdr:colOff>
      <xdr:row>982</xdr:row>
      <xdr:rowOff>1666875</xdr:rowOff>
    </xdr:to>
    <xdr:pic>
      <xdr:nvPicPr>
        <xdr:cNvPr id="982" name="Picture 981"/>
        <xdr:cNvPicPr>
          <a:picLocks noChangeAspect="1" noChangeArrowheads="1"/>
        </xdr:cNvPicPr>
      </xdr:nvPicPr>
      <xdr:blipFill>
        <a:blip xmlns:r="http://schemas.openxmlformats.org/officeDocument/2006/relationships" r:embed="rId981">
          <a:extLst>
            <a:ext uri="{28A0092B-C50C-407E-A947-70E740481C1C}">
              <a14:useLocalDpi xmlns:a14="http://schemas.microsoft.com/office/drawing/2010/main" val="0"/>
            </a:ext>
          </a:extLst>
        </a:blip>
        <a:srcRect/>
        <a:stretch>
          <a:fillRect/>
        </a:stretch>
      </xdr:blipFill>
      <xdr:spPr bwMode="auto">
        <a:xfrm>
          <a:off x="1228725" y="1853879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983</xdr:row>
      <xdr:rowOff>19050</xdr:rowOff>
    </xdr:from>
    <xdr:to>
      <xdr:col>2</xdr:col>
      <xdr:colOff>1733550</xdr:colOff>
      <xdr:row>983</xdr:row>
      <xdr:rowOff>1666875</xdr:rowOff>
    </xdr:to>
    <xdr:pic>
      <xdr:nvPicPr>
        <xdr:cNvPr id="983" name="Picture 982"/>
        <xdr:cNvPicPr>
          <a:picLocks noChangeAspect="1" noChangeArrowheads="1"/>
        </xdr:cNvPicPr>
      </xdr:nvPicPr>
      <xdr:blipFill>
        <a:blip xmlns:r="http://schemas.openxmlformats.org/officeDocument/2006/relationships" r:embed="rId982">
          <a:extLst>
            <a:ext uri="{28A0092B-C50C-407E-A947-70E740481C1C}">
              <a14:useLocalDpi xmlns:a14="http://schemas.microsoft.com/office/drawing/2010/main" val="0"/>
            </a:ext>
          </a:extLst>
        </a:blip>
        <a:srcRect/>
        <a:stretch>
          <a:fillRect/>
        </a:stretch>
      </xdr:blipFill>
      <xdr:spPr bwMode="auto">
        <a:xfrm>
          <a:off x="1228725" y="185579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984</xdr:row>
      <xdr:rowOff>19050</xdr:rowOff>
    </xdr:from>
    <xdr:to>
      <xdr:col>2</xdr:col>
      <xdr:colOff>1733550</xdr:colOff>
      <xdr:row>984</xdr:row>
      <xdr:rowOff>1666875</xdr:rowOff>
    </xdr:to>
    <xdr:pic>
      <xdr:nvPicPr>
        <xdr:cNvPr id="984" name="Picture 983"/>
        <xdr:cNvPicPr>
          <a:picLocks noChangeAspect="1" noChangeArrowheads="1"/>
        </xdr:cNvPicPr>
      </xdr:nvPicPr>
      <xdr:blipFill>
        <a:blip xmlns:r="http://schemas.openxmlformats.org/officeDocument/2006/relationships" r:embed="rId983">
          <a:extLst>
            <a:ext uri="{28A0092B-C50C-407E-A947-70E740481C1C}">
              <a14:useLocalDpi xmlns:a14="http://schemas.microsoft.com/office/drawing/2010/main" val="0"/>
            </a:ext>
          </a:extLst>
        </a:blip>
        <a:srcRect/>
        <a:stretch>
          <a:fillRect/>
        </a:stretch>
      </xdr:blipFill>
      <xdr:spPr bwMode="auto">
        <a:xfrm>
          <a:off x="1228725" y="1857708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985</xdr:row>
      <xdr:rowOff>19050</xdr:rowOff>
    </xdr:from>
    <xdr:to>
      <xdr:col>2</xdr:col>
      <xdr:colOff>1733550</xdr:colOff>
      <xdr:row>985</xdr:row>
      <xdr:rowOff>1666875</xdr:rowOff>
    </xdr:to>
    <xdr:pic>
      <xdr:nvPicPr>
        <xdr:cNvPr id="985" name="Picture 984"/>
        <xdr:cNvPicPr>
          <a:picLocks noChangeAspect="1" noChangeArrowheads="1"/>
        </xdr:cNvPicPr>
      </xdr:nvPicPr>
      <xdr:blipFill>
        <a:blip xmlns:r="http://schemas.openxmlformats.org/officeDocument/2006/relationships" r:embed="rId984">
          <a:extLst>
            <a:ext uri="{28A0092B-C50C-407E-A947-70E740481C1C}">
              <a14:useLocalDpi xmlns:a14="http://schemas.microsoft.com/office/drawing/2010/main" val="0"/>
            </a:ext>
          </a:extLst>
        </a:blip>
        <a:srcRect/>
        <a:stretch>
          <a:fillRect/>
        </a:stretch>
      </xdr:blipFill>
      <xdr:spPr bwMode="auto">
        <a:xfrm>
          <a:off x="1228725" y="185962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986</xdr:row>
      <xdr:rowOff>19050</xdr:rowOff>
    </xdr:from>
    <xdr:to>
      <xdr:col>2</xdr:col>
      <xdr:colOff>1733550</xdr:colOff>
      <xdr:row>986</xdr:row>
      <xdr:rowOff>1666875</xdr:rowOff>
    </xdr:to>
    <xdr:pic>
      <xdr:nvPicPr>
        <xdr:cNvPr id="986" name="Picture 985"/>
        <xdr:cNvPicPr>
          <a:picLocks noChangeAspect="1" noChangeArrowheads="1"/>
        </xdr:cNvPicPr>
      </xdr:nvPicPr>
      <xdr:blipFill>
        <a:blip xmlns:r="http://schemas.openxmlformats.org/officeDocument/2006/relationships" r:embed="rId985">
          <a:extLst>
            <a:ext uri="{28A0092B-C50C-407E-A947-70E740481C1C}">
              <a14:useLocalDpi xmlns:a14="http://schemas.microsoft.com/office/drawing/2010/main" val="0"/>
            </a:ext>
          </a:extLst>
        </a:blip>
        <a:srcRect/>
        <a:stretch>
          <a:fillRect/>
        </a:stretch>
      </xdr:blipFill>
      <xdr:spPr bwMode="auto">
        <a:xfrm>
          <a:off x="1228725" y="186153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987</xdr:row>
      <xdr:rowOff>19050</xdr:rowOff>
    </xdr:from>
    <xdr:to>
      <xdr:col>2</xdr:col>
      <xdr:colOff>1733550</xdr:colOff>
      <xdr:row>987</xdr:row>
      <xdr:rowOff>1666875</xdr:rowOff>
    </xdr:to>
    <xdr:pic>
      <xdr:nvPicPr>
        <xdr:cNvPr id="987" name="Picture 986"/>
        <xdr:cNvPicPr>
          <a:picLocks noChangeAspect="1" noChangeArrowheads="1"/>
        </xdr:cNvPicPr>
      </xdr:nvPicPr>
      <xdr:blipFill>
        <a:blip xmlns:r="http://schemas.openxmlformats.org/officeDocument/2006/relationships" r:embed="rId986">
          <a:extLst>
            <a:ext uri="{28A0092B-C50C-407E-A947-70E740481C1C}">
              <a14:useLocalDpi xmlns:a14="http://schemas.microsoft.com/office/drawing/2010/main" val="0"/>
            </a:ext>
          </a:extLst>
        </a:blip>
        <a:srcRect/>
        <a:stretch>
          <a:fillRect/>
        </a:stretch>
      </xdr:blipFill>
      <xdr:spPr bwMode="auto">
        <a:xfrm>
          <a:off x="1228725" y="1863451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988</xdr:row>
      <xdr:rowOff>19050</xdr:rowOff>
    </xdr:from>
    <xdr:to>
      <xdr:col>2</xdr:col>
      <xdr:colOff>1733550</xdr:colOff>
      <xdr:row>988</xdr:row>
      <xdr:rowOff>1666875</xdr:rowOff>
    </xdr:to>
    <xdr:pic>
      <xdr:nvPicPr>
        <xdr:cNvPr id="988" name="Picture 987"/>
        <xdr:cNvPicPr>
          <a:picLocks noChangeAspect="1" noChangeArrowheads="1"/>
        </xdr:cNvPicPr>
      </xdr:nvPicPr>
      <xdr:blipFill>
        <a:blip xmlns:r="http://schemas.openxmlformats.org/officeDocument/2006/relationships" r:embed="rId987">
          <a:extLst>
            <a:ext uri="{28A0092B-C50C-407E-A947-70E740481C1C}">
              <a14:useLocalDpi xmlns:a14="http://schemas.microsoft.com/office/drawing/2010/main" val="0"/>
            </a:ext>
          </a:extLst>
        </a:blip>
        <a:srcRect/>
        <a:stretch>
          <a:fillRect/>
        </a:stretch>
      </xdr:blipFill>
      <xdr:spPr bwMode="auto">
        <a:xfrm>
          <a:off x="1228725" y="1865366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989</xdr:row>
      <xdr:rowOff>19050</xdr:rowOff>
    </xdr:from>
    <xdr:to>
      <xdr:col>2</xdr:col>
      <xdr:colOff>1733550</xdr:colOff>
      <xdr:row>989</xdr:row>
      <xdr:rowOff>1666875</xdr:rowOff>
    </xdr:to>
    <xdr:pic>
      <xdr:nvPicPr>
        <xdr:cNvPr id="989" name="Picture 988"/>
        <xdr:cNvPicPr>
          <a:picLocks noChangeAspect="1" noChangeArrowheads="1"/>
        </xdr:cNvPicPr>
      </xdr:nvPicPr>
      <xdr:blipFill>
        <a:blip xmlns:r="http://schemas.openxmlformats.org/officeDocument/2006/relationships" r:embed="rId988">
          <a:extLst>
            <a:ext uri="{28A0092B-C50C-407E-A947-70E740481C1C}">
              <a14:useLocalDpi xmlns:a14="http://schemas.microsoft.com/office/drawing/2010/main" val="0"/>
            </a:ext>
          </a:extLst>
        </a:blip>
        <a:srcRect/>
        <a:stretch>
          <a:fillRect/>
        </a:stretch>
      </xdr:blipFill>
      <xdr:spPr bwMode="auto">
        <a:xfrm>
          <a:off x="1228725" y="1867281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990</xdr:row>
      <xdr:rowOff>19050</xdr:rowOff>
    </xdr:from>
    <xdr:to>
      <xdr:col>2</xdr:col>
      <xdr:colOff>1733550</xdr:colOff>
      <xdr:row>990</xdr:row>
      <xdr:rowOff>1666875</xdr:rowOff>
    </xdr:to>
    <xdr:pic>
      <xdr:nvPicPr>
        <xdr:cNvPr id="990" name="Picture 989"/>
        <xdr:cNvPicPr>
          <a:picLocks noChangeAspect="1" noChangeArrowheads="1"/>
        </xdr:cNvPicPr>
      </xdr:nvPicPr>
      <xdr:blipFill>
        <a:blip xmlns:r="http://schemas.openxmlformats.org/officeDocument/2006/relationships" r:embed="rId989">
          <a:extLst>
            <a:ext uri="{28A0092B-C50C-407E-A947-70E740481C1C}">
              <a14:useLocalDpi xmlns:a14="http://schemas.microsoft.com/office/drawing/2010/main" val="0"/>
            </a:ext>
          </a:extLst>
        </a:blip>
        <a:srcRect/>
        <a:stretch>
          <a:fillRect/>
        </a:stretch>
      </xdr:blipFill>
      <xdr:spPr bwMode="auto">
        <a:xfrm>
          <a:off x="1228725" y="1869195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991</xdr:row>
      <xdr:rowOff>19050</xdr:rowOff>
    </xdr:from>
    <xdr:to>
      <xdr:col>2</xdr:col>
      <xdr:colOff>1733550</xdr:colOff>
      <xdr:row>991</xdr:row>
      <xdr:rowOff>1666875</xdr:rowOff>
    </xdr:to>
    <xdr:pic>
      <xdr:nvPicPr>
        <xdr:cNvPr id="991" name="Picture 990"/>
        <xdr:cNvPicPr>
          <a:picLocks noChangeAspect="1" noChangeArrowheads="1"/>
        </xdr:cNvPicPr>
      </xdr:nvPicPr>
      <xdr:blipFill>
        <a:blip xmlns:r="http://schemas.openxmlformats.org/officeDocument/2006/relationships" r:embed="rId990">
          <a:extLst>
            <a:ext uri="{28A0092B-C50C-407E-A947-70E740481C1C}">
              <a14:useLocalDpi xmlns:a14="http://schemas.microsoft.com/office/drawing/2010/main" val="0"/>
            </a:ext>
          </a:extLst>
        </a:blip>
        <a:srcRect/>
        <a:stretch>
          <a:fillRect/>
        </a:stretch>
      </xdr:blipFill>
      <xdr:spPr bwMode="auto">
        <a:xfrm>
          <a:off x="1228725" y="1871110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992</xdr:row>
      <xdr:rowOff>19050</xdr:rowOff>
    </xdr:from>
    <xdr:to>
      <xdr:col>2</xdr:col>
      <xdr:colOff>1733550</xdr:colOff>
      <xdr:row>992</xdr:row>
      <xdr:rowOff>1666875</xdr:rowOff>
    </xdr:to>
    <xdr:pic>
      <xdr:nvPicPr>
        <xdr:cNvPr id="992" name="Picture 991"/>
        <xdr:cNvPicPr>
          <a:picLocks noChangeAspect="1" noChangeArrowheads="1"/>
        </xdr:cNvPicPr>
      </xdr:nvPicPr>
      <xdr:blipFill>
        <a:blip xmlns:r="http://schemas.openxmlformats.org/officeDocument/2006/relationships" r:embed="rId991">
          <a:extLst>
            <a:ext uri="{28A0092B-C50C-407E-A947-70E740481C1C}">
              <a14:useLocalDpi xmlns:a14="http://schemas.microsoft.com/office/drawing/2010/main" val="0"/>
            </a:ext>
          </a:extLst>
        </a:blip>
        <a:srcRect/>
        <a:stretch>
          <a:fillRect/>
        </a:stretch>
      </xdr:blipFill>
      <xdr:spPr bwMode="auto">
        <a:xfrm>
          <a:off x="1228725" y="1873024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993</xdr:row>
      <xdr:rowOff>19050</xdr:rowOff>
    </xdr:from>
    <xdr:to>
      <xdr:col>2</xdr:col>
      <xdr:colOff>1733550</xdr:colOff>
      <xdr:row>993</xdr:row>
      <xdr:rowOff>1666875</xdr:rowOff>
    </xdr:to>
    <xdr:pic>
      <xdr:nvPicPr>
        <xdr:cNvPr id="993" name="Picture 992"/>
        <xdr:cNvPicPr>
          <a:picLocks noChangeAspect="1" noChangeArrowheads="1"/>
        </xdr:cNvPicPr>
      </xdr:nvPicPr>
      <xdr:blipFill>
        <a:blip xmlns:r="http://schemas.openxmlformats.org/officeDocument/2006/relationships" r:embed="rId992">
          <a:extLst>
            <a:ext uri="{28A0092B-C50C-407E-A947-70E740481C1C}">
              <a14:useLocalDpi xmlns:a14="http://schemas.microsoft.com/office/drawing/2010/main" val="0"/>
            </a:ext>
          </a:extLst>
        </a:blip>
        <a:srcRect/>
        <a:stretch>
          <a:fillRect/>
        </a:stretch>
      </xdr:blipFill>
      <xdr:spPr bwMode="auto">
        <a:xfrm>
          <a:off x="1228725" y="1874939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994</xdr:row>
      <xdr:rowOff>19050</xdr:rowOff>
    </xdr:from>
    <xdr:to>
      <xdr:col>2</xdr:col>
      <xdr:colOff>1733550</xdr:colOff>
      <xdr:row>994</xdr:row>
      <xdr:rowOff>1666875</xdr:rowOff>
    </xdr:to>
    <xdr:pic>
      <xdr:nvPicPr>
        <xdr:cNvPr id="994" name="Picture 993"/>
        <xdr:cNvPicPr>
          <a:picLocks noChangeAspect="1" noChangeArrowheads="1"/>
        </xdr:cNvPicPr>
      </xdr:nvPicPr>
      <xdr:blipFill>
        <a:blip xmlns:r="http://schemas.openxmlformats.org/officeDocument/2006/relationships" r:embed="rId993">
          <a:extLst>
            <a:ext uri="{28A0092B-C50C-407E-A947-70E740481C1C}">
              <a14:useLocalDpi xmlns:a14="http://schemas.microsoft.com/office/drawing/2010/main" val="0"/>
            </a:ext>
          </a:extLst>
        </a:blip>
        <a:srcRect/>
        <a:stretch>
          <a:fillRect/>
        </a:stretch>
      </xdr:blipFill>
      <xdr:spPr bwMode="auto">
        <a:xfrm>
          <a:off x="1228725" y="1876853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995</xdr:row>
      <xdr:rowOff>19050</xdr:rowOff>
    </xdr:from>
    <xdr:to>
      <xdr:col>2</xdr:col>
      <xdr:colOff>1733550</xdr:colOff>
      <xdr:row>995</xdr:row>
      <xdr:rowOff>1666875</xdr:rowOff>
    </xdr:to>
    <xdr:pic>
      <xdr:nvPicPr>
        <xdr:cNvPr id="995" name="Picture 994"/>
        <xdr:cNvPicPr>
          <a:picLocks noChangeAspect="1" noChangeArrowheads="1"/>
        </xdr:cNvPicPr>
      </xdr:nvPicPr>
      <xdr:blipFill>
        <a:blip xmlns:r="http://schemas.openxmlformats.org/officeDocument/2006/relationships" r:embed="rId994">
          <a:extLst>
            <a:ext uri="{28A0092B-C50C-407E-A947-70E740481C1C}">
              <a14:useLocalDpi xmlns:a14="http://schemas.microsoft.com/office/drawing/2010/main" val="0"/>
            </a:ext>
          </a:extLst>
        </a:blip>
        <a:srcRect/>
        <a:stretch>
          <a:fillRect/>
        </a:stretch>
      </xdr:blipFill>
      <xdr:spPr bwMode="auto">
        <a:xfrm>
          <a:off x="1228725" y="187876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996</xdr:row>
      <xdr:rowOff>19050</xdr:rowOff>
    </xdr:from>
    <xdr:to>
      <xdr:col>2</xdr:col>
      <xdr:colOff>1733550</xdr:colOff>
      <xdr:row>996</xdr:row>
      <xdr:rowOff>1666875</xdr:rowOff>
    </xdr:to>
    <xdr:pic>
      <xdr:nvPicPr>
        <xdr:cNvPr id="996" name="Picture 995"/>
        <xdr:cNvPicPr>
          <a:picLocks noChangeAspect="1" noChangeArrowheads="1"/>
        </xdr:cNvPicPr>
      </xdr:nvPicPr>
      <xdr:blipFill>
        <a:blip xmlns:r="http://schemas.openxmlformats.org/officeDocument/2006/relationships" r:embed="rId995">
          <a:extLst>
            <a:ext uri="{28A0092B-C50C-407E-A947-70E740481C1C}">
              <a14:useLocalDpi xmlns:a14="http://schemas.microsoft.com/office/drawing/2010/main" val="0"/>
            </a:ext>
          </a:extLst>
        </a:blip>
        <a:srcRect/>
        <a:stretch>
          <a:fillRect/>
        </a:stretch>
      </xdr:blipFill>
      <xdr:spPr bwMode="auto">
        <a:xfrm>
          <a:off x="1228725" y="1880682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997</xdr:row>
      <xdr:rowOff>19050</xdr:rowOff>
    </xdr:from>
    <xdr:to>
      <xdr:col>2</xdr:col>
      <xdr:colOff>1733550</xdr:colOff>
      <xdr:row>997</xdr:row>
      <xdr:rowOff>1666875</xdr:rowOff>
    </xdr:to>
    <xdr:pic>
      <xdr:nvPicPr>
        <xdr:cNvPr id="997" name="Picture 996"/>
        <xdr:cNvPicPr>
          <a:picLocks noChangeAspect="1" noChangeArrowheads="1"/>
        </xdr:cNvPicPr>
      </xdr:nvPicPr>
      <xdr:blipFill>
        <a:blip xmlns:r="http://schemas.openxmlformats.org/officeDocument/2006/relationships" r:embed="rId996">
          <a:extLst>
            <a:ext uri="{28A0092B-C50C-407E-A947-70E740481C1C}">
              <a14:useLocalDpi xmlns:a14="http://schemas.microsoft.com/office/drawing/2010/main" val="0"/>
            </a:ext>
          </a:extLst>
        </a:blip>
        <a:srcRect/>
        <a:stretch>
          <a:fillRect/>
        </a:stretch>
      </xdr:blipFill>
      <xdr:spPr bwMode="auto">
        <a:xfrm>
          <a:off x="1228725" y="1882597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998</xdr:row>
      <xdr:rowOff>19050</xdr:rowOff>
    </xdr:from>
    <xdr:to>
      <xdr:col>2</xdr:col>
      <xdr:colOff>1733550</xdr:colOff>
      <xdr:row>998</xdr:row>
      <xdr:rowOff>1666875</xdr:rowOff>
    </xdr:to>
    <xdr:pic>
      <xdr:nvPicPr>
        <xdr:cNvPr id="998" name="Picture 997"/>
        <xdr:cNvPicPr>
          <a:picLocks noChangeAspect="1" noChangeArrowheads="1"/>
        </xdr:cNvPicPr>
      </xdr:nvPicPr>
      <xdr:blipFill>
        <a:blip xmlns:r="http://schemas.openxmlformats.org/officeDocument/2006/relationships" r:embed="rId997">
          <a:extLst>
            <a:ext uri="{28A0092B-C50C-407E-A947-70E740481C1C}">
              <a14:useLocalDpi xmlns:a14="http://schemas.microsoft.com/office/drawing/2010/main" val="0"/>
            </a:ext>
          </a:extLst>
        </a:blip>
        <a:srcRect/>
        <a:stretch>
          <a:fillRect/>
        </a:stretch>
      </xdr:blipFill>
      <xdr:spPr bwMode="auto">
        <a:xfrm>
          <a:off x="1228725" y="1884511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999</xdr:row>
      <xdr:rowOff>19050</xdr:rowOff>
    </xdr:from>
    <xdr:to>
      <xdr:col>2</xdr:col>
      <xdr:colOff>1733550</xdr:colOff>
      <xdr:row>999</xdr:row>
      <xdr:rowOff>1666875</xdr:rowOff>
    </xdr:to>
    <xdr:pic>
      <xdr:nvPicPr>
        <xdr:cNvPr id="999" name="Picture 998"/>
        <xdr:cNvPicPr>
          <a:picLocks noChangeAspect="1" noChangeArrowheads="1"/>
        </xdr:cNvPicPr>
      </xdr:nvPicPr>
      <xdr:blipFill>
        <a:blip xmlns:r="http://schemas.openxmlformats.org/officeDocument/2006/relationships" r:embed="rId998">
          <a:extLst>
            <a:ext uri="{28A0092B-C50C-407E-A947-70E740481C1C}">
              <a14:useLocalDpi xmlns:a14="http://schemas.microsoft.com/office/drawing/2010/main" val="0"/>
            </a:ext>
          </a:extLst>
        </a:blip>
        <a:srcRect/>
        <a:stretch>
          <a:fillRect/>
        </a:stretch>
      </xdr:blipFill>
      <xdr:spPr bwMode="auto">
        <a:xfrm>
          <a:off x="1228725" y="1886426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1000</xdr:row>
      <xdr:rowOff>19050</xdr:rowOff>
    </xdr:from>
    <xdr:to>
      <xdr:col>2</xdr:col>
      <xdr:colOff>1733550</xdr:colOff>
      <xdr:row>1000</xdr:row>
      <xdr:rowOff>1666875</xdr:rowOff>
    </xdr:to>
    <xdr:pic>
      <xdr:nvPicPr>
        <xdr:cNvPr id="1000" name="Picture 999"/>
        <xdr:cNvPicPr>
          <a:picLocks noChangeAspect="1" noChangeArrowheads="1"/>
        </xdr:cNvPicPr>
      </xdr:nvPicPr>
      <xdr:blipFill>
        <a:blip xmlns:r="http://schemas.openxmlformats.org/officeDocument/2006/relationships" r:embed="rId999">
          <a:extLst>
            <a:ext uri="{28A0092B-C50C-407E-A947-70E740481C1C}">
              <a14:useLocalDpi xmlns:a14="http://schemas.microsoft.com/office/drawing/2010/main" val="0"/>
            </a:ext>
          </a:extLst>
        </a:blip>
        <a:srcRect/>
        <a:stretch>
          <a:fillRect/>
        </a:stretch>
      </xdr:blipFill>
      <xdr:spPr bwMode="auto">
        <a:xfrm>
          <a:off x="1228725" y="1888340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1001</xdr:row>
      <xdr:rowOff>19050</xdr:rowOff>
    </xdr:from>
    <xdr:to>
      <xdr:col>2</xdr:col>
      <xdr:colOff>1733550</xdr:colOff>
      <xdr:row>1001</xdr:row>
      <xdr:rowOff>1666875</xdr:rowOff>
    </xdr:to>
    <xdr:pic>
      <xdr:nvPicPr>
        <xdr:cNvPr id="1001" name="Picture 1000"/>
        <xdr:cNvPicPr>
          <a:picLocks noChangeAspect="1" noChangeArrowheads="1"/>
        </xdr:cNvPicPr>
      </xdr:nvPicPr>
      <xdr:blipFill>
        <a:blip xmlns:r="http://schemas.openxmlformats.org/officeDocument/2006/relationships" r:embed="rId1000">
          <a:extLst>
            <a:ext uri="{28A0092B-C50C-407E-A947-70E740481C1C}">
              <a14:useLocalDpi xmlns:a14="http://schemas.microsoft.com/office/drawing/2010/main" val="0"/>
            </a:ext>
          </a:extLst>
        </a:blip>
        <a:srcRect/>
        <a:stretch>
          <a:fillRect/>
        </a:stretch>
      </xdr:blipFill>
      <xdr:spPr bwMode="auto">
        <a:xfrm>
          <a:off x="1228725" y="1890255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1002</xdr:row>
      <xdr:rowOff>19050</xdr:rowOff>
    </xdr:from>
    <xdr:to>
      <xdr:col>2</xdr:col>
      <xdr:colOff>1733550</xdr:colOff>
      <xdr:row>1002</xdr:row>
      <xdr:rowOff>1666875</xdr:rowOff>
    </xdr:to>
    <xdr:pic>
      <xdr:nvPicPr>
        <xdr:cNvPr id="1002" name="Picture 1001"/>
        <xdr:cNvPicPr>
          <a:picLocks noChangeAspect="1" noChangeArrowheads="1"/>
        </xdr:cNvPicPr>
      </xdr:nvPicPr>
      <xdr:blipFill>
        <a:blip xmlns:r="http://schemas.openxmlformats.org/officeDocument/2006/relationships" r:embed="rId1001">
          <a:extLst>
            <a:ext uri="{28A0092B-C50C-407E-A947-70E740481C1C}">
              <a14:useLocalDpi xmlns:a14="http://schemas.microsoft.com/office/drawing/2010/main" val="0"/>
            </a:ext>
          </a:extLst>
        </a:blip>
        <a:srcRect/>
        <a:stretch>
          <a:fillRect/>
        </a:stretch>
      </xdr:blipFill>
      <xdr:spPr bwMode="auto">
        <a:xfrm>
          <a:off x="1228725" y="1892169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1003</xdr:row>
      <xdr:rowOff>19050</xdr:rowOff>
    </xdr:from>
    <xdr:to>
      <xdr:col>2</xdr:col>
      <xdr:colOff>1733550</xdr:colOff>
      <xdr:row>1003</xdr:row>
      <xdr:rowOff>1666875</xdr:rowOff>
    </xdr:to>
    <xdr:pic>
      <xdr:nvPicPr>
        <xdr:cNvPr id="1003" name="Picture 1002"/>
        <xdr:cNvPicPr>
          <a:picLocks noChangeAspect="1" noChangeArrowheads="1"/>
        </xdr:cNvPicPr>
      </xdr:nvPicPr>
      <xdr:blipFill>
        <a:blip xmlns:r="http://schemas.openxmlformats.org/officeDocument/2006/relationships" r:embed="rId1002">
          <a:extLst>
            <a:ext uri="{28A0092B-C50C-407E-A947-70E740481C1C}">
              <a14:useLocalDpi xmlns:a14="http://schemas.microsoft.com/office/drawing/2010/main" val="0"/>
            </a:ext>
          </a:extLst>
        </a:blip>
        <a:srcRect/>
        <a:stretch>
          <a:fillRect/>
        </a:stretch>
      </xdr:blipFill>
      <xdr:spPr bwMode="auto">
        <a:xfrm>
          <a:off x="1228725" y="1894084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1004</xdr:row>
      <xdr:rowOff>19050</xdr:rowOff>
    </xdr:from>
    <xdr:to>
      <xdr:col>2</xdr:col>
      <xdr:colOff>1733550</xdr:colOff>
      <xdr:row>1004</xdr:row>
      <xdr:rowOff>1666875</xdr:rowOff>
    </xdr:to>
    <xdr:pic>
      <xdr:nvPicPr>
        <xdr:cNvPr id="1004" name="Picture 1003"/>
        <xdr:cNvPicPr>
          <a:picLocks noChangeAspect="1" noChangeArrowheads="1"/>
        </xdr:cNvPicPr>
      </xdr:nvPicPr>
      <xdr:blipFill>
        <a:blip xmlns:r="http://schemas.openxmlformats.org/officeDocument/2006/relationships" r:embed="rId1003">
          <a:extLst>
            <a:ext uri="{28A0092B-C50C-407E-A947-70E740481C1C}">
              <a14:useLocalDpi xmlns:a14="http://schemas.microsoft.com/office/drawing/2010/main" val="0"/>
            </a:ext>
          </a:extLst>
        </a:blip>
        <a:srcRect/>
        <a:stretch>
          <a:fillRect/>
        </a:stretch>
      </xdr:blipFill>
      <xdr:spPr bwMode="auto">
        <a:xfrm>
          <a:off x="1228725" y="1895998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1005</xdr:row>
      <xdr:rowOff>19050</xdr:rowOff>
    </xdr:from>
    <xdr:to>
      <xdr:col>2</xdr:col>
      <xdr:colOff>1733550</xdr:colOff>
      <xdr:row>1005</xdr:row>
      <xdr:rowOff>1666875</xdr:rowOff>
    </xdr:to>
    <xdr:pic>
      <xdr:nvPicPr>
        <xdr:cNvPr id="1005" name="Picture 1004"/>
        <xdr:cNvPicPr>
          <a:picLocks noChangeAspect="1" noChangeArrowheads="1"/>
        </xdr:cNvPicPr>
      </xdr:nvPicPr>
      <xdr:blipFill>
        <a:blip xmlns:r="http://schemas.openxmlformats.org/officeDocument/2006/relationships" r:embed="rId1004">
          <a:extLst>
            <a:ext uri="{28A0092B-C50C-407E-A947-70E740481C1C}">
              <a14:useLocalDpi xmlns:a14="http://schemas.microsoft.com/office/drawing/2010/main" val="0"/>
            </a:ext>
          </a:extLst>
        </a:blip>
        <a:srcRect/>
        <a:stretch>
          <a:fillRect/>
        </a:stretch>
      </xdr:blipFill>
      <xdr:spPr bwMode="auto">
        <a:xfrm>
          <a:off x="1228725" y="1897913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1006</xdr:row>
      <xdr:rowOff>19050</xdr:rowOff>
    </xdr:from>
    <xdr:to>
      <xdr:col>2</xdr:col>
      <xdr:colOff>1733550</xdr:colOff>
      <xdr:row>1006</xdr:row>
      <xdr:rowOff>1666875</xdr:rowOff>
    </xdr:to>
    <xdr:pic>
      <xdr:nvPicPr>
        <xdr:cNvPr id="1006" name="Picture 1005"/>
        <xdr:cNvPicPr>
          <a:picLocks noChangeAspect="1" noChangeArrowheads="1"/>
        </xdr:cNvPicPr>
      </xdr:nvPicPr>
      <xdr:blipFill>
        <a:blip xmlns:r="http://schemas.openxmlformats.org/officeDocument/2006/relationships" r:embed="rId1005">
          <a:extLst>
            <a:ext uri="{28A0092B-C50C-407E-A947-70E740481C1C}">
              <a14:useLocalDpi xmlns:a14="http://schemas.microsoft.com/office/drawing/2010/main" val="0"/>
            </a:ext>
          </a:extLst>
        </a:blip>
        <a:srcRect/>
        <a:stretch>
          <a:fillRect/>
        </a:stretch>
      </xdr:blipFill>
      <xdr:spPr bwMode="auto">
        <a:xfrm>
          <a:off x="1228725" y="1899827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1007</xdr:row>
      <xdr:rowOff>19050</xdr:rowOff>
    </xdr:from>
    <xdr:to>
      <xdr:col>2</xdr:col>
      <xdr:colOff>1733550</xdr:colOff>
      <xdr:row>1007</xdr:row>
      <xdr:rowOff>1666875</xdr:rowOff>
    </xdr:to>
    <xdr:pic>
      <xdr:nvPicPr>
        <xdr:cNvPr id="1007" name="Picture 1006"/>
        <xdr:cNvPicPr>
          <a:picLocks noChangeAspect="1" noChangeArrowheads="1"/>
        </xdr:cNvPicPr>
      </xdr:nvPicPr>
      <xdr:blipFill>
        <a:blip xmlns:r="http://schemas.openxmlformats.org/officeDocument/2006/relationships" r:embed="rId1006">
          <a:extLst>
            <a:ext uri="{28A0092B-C50C-407E-A947-70E740481C1C}">
              <a14:useLocalDpi xmlns:a14="http://schemas.microsoft.com/office/drawing/2010/main" val="0"/>
            </a:ext>
          </a:extLst>
        </a:blip>
        <a:srcRect/>
        <a:stretch>
          <a:fillRect/>
        </a:stretch>
      </xdr:blipFill>
      <xdr:spPr bwMode="auto">
        <a:xfrm>
          <a:off x="1228725" y="1901742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1008</xdr:row>
      <xdr:rowOff>19050</xdr:rowOff>
    </xdr:from>
    <xdr:to>
      <xdr:col>2</xdr:col>
      <xdr:colOff>1733550</xdr:colOff>
      <xdr:row>1008</xdr:row>
      <xdr:rowOff>1666875</xdr:rowOff>
    </xdr:to>
    <xdr:pic>
      <xdr:nvPicPr>
        <xdr:cNvPr id="1008" name="Picture 1007"/>
        <xdr:cNvPicPr>
          <a:picLocks noChangeAspect="1" noChangeArrowheads="1"/>
        </xdr:cNvPicPr>
      </xdr:nvPicPr>
      <xdr:blipFill>
        <a:blip xmlns:r="http://schemas.openxmlformats.org/officeDocument/2006/relationships" r:embed="rId1007">
          <a:extLst>
            <a:ext uri="{28A0092B-C50C-407E-A947-70E740481C1C}">
              <a14:useLocalDpi xmlns:a14="http://schemas.microsoft.com/office/drawing/2010/main" val="0"/>
            </a:ext>
          </a:extLst>
        </a:blip>
        <a:srcRect/>
        <a:stretch>
          <a:fillRect/>
        </a:stretch>
      </xdr:blipFill>
      <xdr:spPr bwMode="auto">
        <a:xfrm>
          <a:off x="1228725" y="1903656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1009</xdr:row>
      <xdr:rowOff>19050</xdr:rowOff>
    </xdr:from>
    <xdr:to>
      <xdr:col>2</xdr:col>
      <xdr:colOff>1733550</xdr:colOff>
      <xdr:row>1009</xdr:row>
      <xdr:rowOff>1666875</xdr:rowOff>
    </xdr:to>
    <xdr:pic>
      <xdr:nvPicPr>
        <xdr:cNvPr id="1009" name="Picture 1008"/>
        <xdr:cNvPicPr>
          <a:picLocks noChangeAspect="1" noChangeArrowheads="1"/>
        </xdr:cNvPicPr>
      </xdr:nvPicPr>
      <xdr:blipFill>
        <a:blip xmlns:r="http://schemas.openxmlformats.org/officeDocument/2006/relationships" r:embed="rId1008">
          <a:extLst>
            <a:ext uri="{28A0092B-C50C-407E-A947-70E740481C1C}">
              <a14:useLocalDpi xmlns:a14="http://schemas.microsoft.com/office/drawing/2010/main" val="0"/>
            </a:ext>
          </a:extLst>
        </a:blip>
        <a:srcRect/>
        <a:stretch>
          <a:fillRect/>
        </a:stretch>
      </xdr:blipFill>
      <xdr:spPr bwMode="auto">
        <a:xfrm>
          <a:off x="1228725" y="190557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1010</xdr:row>
      <xdr:rowOff>19050</xdr:rowOff>
    </xdr:from>
    <xdr:to>
      <xdr:col>2</xdr:col>
      <xdr:colOff>1733550</xdr:colOff>
      <xdr:row>1010</xdr:row>
      <xdr:rowOff>1666875</xdr:rowOff>
    </xdr:to>
    <xdr:pic>
      <xdr:nvPicPr>
        <xdr:cNvPr id="1010" name="Picture 1009"/>
        <xdr:cNvPicPr>
          <a:picLocks noChangeAspect="1" noChangeArrowheads="1"/>
        </xdr:cNvPicPr>
      </xdr:nvPicPr>
      <xdr:blipFill>
        <a:blip xmlns:r="http://schemas.openxmlformats.org/officeDocument/2006/relationships" r:embed="rId1009">
          <a:extLst>
            <a:ext uri="{28A0092B-C50C-407E-A947-70E740481C1C}">
              <a14:useLocalDpi xmlns:a14="http://schemas.microsoft.com/office/drawing/2010/main" val="0"/>
            </a:ext>
          </a:extLst>
        </a:blip>
        <a:srcRect/>
        <a:stretch>
          <a:fillRect/>
        </a:stretch>
      </xdr:blipFill>
      <xdr:spPr bwMode="auto">
        <a:xfrm>
          <a:off x="1228725" y="190748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1011</xdr:row>
      <xdr:rowOff>19050</xdr:rowOff>
    </xdr:from>
    <xdr:to>
      <xdr:col>2</xdr:col>
      <xdr:colOff>1733550</xdr:colOff>
      <xdr:row>1011</xdr:row>
      <xdr:rowOff>1666875</xdr:rowOff>
    </xdr:to>
    <xdr:pic>
      <xdr:nvPicPr>
        <xdr:cNvPr id="1011" name="Picture 1010"/>
        <xdr:cNvPicPr>
          <a:picLocks noChangeAspect="1" noChangeArrowheads="1"/>
        </xdr:cNvPicPr>
      </xdr:nvPicPr>
      <xdr:blipFill>
        <a:blip xmlns:r="http://schemas.openxmlformats.org/officeDocument/2006/relationships" r:embed="rId1010">
          <a:extLst>
            <a:ext uri="{28A0092B-C50C-407E-A947-70E740481C1C}">
              <a14:useLocalDpi xmlns:a14="http://schemas.microsoft.com/office/drawing/2010/main" val="0"/>
            </a:ext>
          </a:extLst>
        </a:blip>
        <a:srcRect/>
        <a:stretch>
          <a:fillRect/>
        </a:stretch>
      </xdr:blipFill>
      <xdr:spPr bwMode="auto">
        <a:xfrm>
          <a:off x="1228725" y="190940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1012</xdr:row>
      <xdr:rowOff>19050</xdr:rowOff>
    </xdr:from>
    <xdr:to>
      <xdr:col>2</xdr:col>
      <xdr:colOff>1733550</xdr:colOff>
      <xdr:row>1012</xdr:row>
      <xdr:rowOff>1666875</xdr:rowOff>
    </xdr:to>
    <xdr:pic>
      <xdr:nvPicPr>
        <xdr:cNvPr id="1012" name="Picture 1011"/>
        <xdr:cNvPicPr>
          <a:picLocks noChangeAspect="1" noChangeArrowheads="1"/>
        </xdr:cNvPicPr>
      </xdr:nvPicPr>
      <xdr:blipFill>
        <a:blip xmlns:r="http://schemas.openxmlformats.org/officeDocument/2006/relationships" r:embed="rId1011">
          <a:extLst>
            <a:ext uri="{28A0092B-C50C-407E-A947-70E740481C1C}">
              <a14:useLocalDpi xmlns:a14="http://schemas.microsoft.com/office/drawing/2010/main" val="0"/>
            </a:ext>
          </a:extLst>
        </a:blip>
        <a:srcRect/>
        <a:stretch>
          <a:fillRect/>
        </a:stretch>
      </xdr:blipFill>
      <xdr:spPr bwMode="auto">
        <a:xfrm>
          <a:off x="1228725" y="191131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1013</xdr:row>
      <xdr:rowOff>19050</xdr:rowOff>
    </xdr:from>
    <xdr:to>
      <xdr:col>2</xdr:col>
      <xdr:colOff>1733550</xdr:colOff>
      <xdr:row>1013</xdr:row>
      <xdr:rowOff>1666875</xdr:rowOff>
    </xdr:to>
    <xdr:pic>
      <xdr:nvPicPr>
        <xdr:cNvPr id="1013" name="Picture 1012"/>
        <xdr:cNvPicPr>
          <a:picLocks noChangeAspect="1" noChangeArrowheads="1"/>
        </xdr:cNvPicPr>
      </xdr:nvPicPr>
      <xdr:blipFill>
        <a:blip xmlns:r="http://schemas.openxmlformats.org/officeDocument/2006/relationships" r:embed="rId1012">
          <a:extLst>
            <a:ext uri="{28A0092B-C50C-407E-A947-70E740481C1C}">
              <a14:useLocalDpi xmlns:a14="http://schemas.microsoft.com/office/drawing/2010/main" val="0"/>
            </a:ext>
          </a:extLst>
        </a:blip>
        <a:srcRect/>
        <a:stretch>
          <a:fillRect/>
        </a:stretch>
      </xdr:blipFill>
      <xdr:spPr bwMode="auto">
        <a:xfrm>
          <a:off x="1228725" y="191322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1014</xdr:row>
      <xdr:rowOff>19050</xdr:rowOff>
    </xdr:from>
    <xdr:to>
      <xdr:col>2</xdr:col>
      <xdr:colOff>1733550</xdr:colOff>
      <xdr:row>1014</xdr:row>
      <xdr:rowOff>1666875</xdr:rowOff>
    </xdr:to>
    <xdr:pic>
      <xdr:nvPicPr>
        <xdr:cNvPr id="1014" name="Picture 1013"/>
        <xdr:cNvPicPr>
          <a:picLocks noChangeAspect="1" noChangeArrowheads="1"/>
        </xdr:cNvPicPr>
      </xdr:nvPicPr>
      <xdr:blipFill>
        <a:blip xmlns:r="http://schemas.openxmlformats.org/officeDocument/2006/relationships" r:embed="rId1013">
          <a:extLst>
            <a:ext uri="{28A0092B-C50C-407E-A947-70E740481C1C}">
              <a14:useLocalDpi xmlns:a14="http://schemas.microsoft.com/office/drawing/2010/main" val="0"/>
            </a:ext>
          </a:extLst>
        </a:blip>
        <a:srcRect/>
        <a:stretch>
          <a:fillRect/>
        </a:stretch>
      </xdr:blipFill>
      <xdr:spPr bwMode="auto">
        <a:xfrm>
          <a:off x="1228725" y="191514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1015</xdr:row>
      <xdr:rowOff>19050</xdr:rowOff>
    </xdr:from>
    <xdr:to>
      <xdr:col>2</xdr:col>
      <xdr:colOff>1733550</xdr:colOff>
      <xdr:row>1015</xdr:row>
      <xdr:rowOff>1666875</xdr:rowOff>
    </xdr:to>
    <xdr:pic>
      <xdr:nvPicPr>
        <xdr:cNvPr id="1015" name="Picture 1014"/>
        <xdr:cNvPicPr>
          <a:picLocks noChangeAspect="1" noChangeArrowheads="1"/>
        </xdr:cNvPicPr>
      </xdr:nvPicPr>
      <xdr:blipFill>
        <a:blip xmlns:r="http://schemas.openxmlformats.org/officeDocument/2006/relationships" r:embed="rId1014">
          <a:extLst>
            <a:ext uri="{28A0092B-C50C-407E-A947-70E740481C1C}">
              <a14:useLocalDpi xmlns:a14="http://schemas.microsoft.com/office/drawing/2010/main" val="0"/>
            </a:ext>
          </a:extLst>
        </a:blip>
        <a:srcRect/>
        <a:stretch>
          <a:fillRect/>
        </a:stretch>
      </xdr:blipFill>
      <xdr:spPr bwMode="auto">
        <a:xfrm>
          <a:off x="1228725" y="191705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1016</xdr:row>
      <xdr:rowOff>19050</xdr:rowOff>
    </xdr:from>
    <xdr:to>
      <xdr:col>2</xdr:col>
      <xdr:colOff>1733550</xdr:colOff>
      <xdr:row>1016</xdr:row>
      <xdr:rowOff>1666875</xdr:rowOff>
    </xdr:to>
    <xdr:pic>
      <xdr:nvPicPr>
        <xdr:cNvPr id="1016" name="Picture 1015"/>
        <xdr:cNvPicPr>
          <a:picLocks noChangeAspect="1" noChangeArrowheads="1"/>
        </xdr:cNvPicPr>
      </xdr:nvPicPr>
      <xdr:blipFill>
        <a:blip xmlns:r="http://schemas.openxmlformats.org/officeDocument/2006/relationships" r:embed="rId1015">
          <a:extLst>
            <a:ext uri="{28A0092B-C50C-407E-A947-70E740481C1C}">
              <a14:useLocalDpi xmlns:a14="http://schemas.microsoft.com/office/drawing/2010/main" val="0"/>
            </a:ext>
          </a:extLst>
        </a:blip>
        <a:srcRect/>
        <a:stretch>
          <a:fillRect/>
        </a:stretch>
      </xdr:blipFill>
      <xdr:spPr bwMode="auto">
        <a:xfrm>
          <a:off x="1228725" y="191897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1017</xdr:row>
      <xdr:rowOff>19050</xdr:rowOff>
    </xdr:from>
    <xdr:to>
      <xdr:col>2</xdr:col>
      <xdr:colOff>1733550</xdr:colOff>
      <xdr:row>1017</xdr:row>
      <xdr:rowOff>1666875</xdr:rowOff>
    </xdr:to>
    <xdr:pic>
      <xdr:nvPicPr>
        <xdr:cNvPr id="1017" name="Picture 1016"/>
        <xdr:cNvPicPr>
          <a:picLocks noChangeAspect="1" noChangeArrowheads="1"/>
        </xdr:cNvPicPr>
      </xdr:nvPicPr>
      <xdr:blipFill>
        <a:blip xmlns:r="http://schemas.openxmlformats.org/officeDocument/2006/relationships" r:embed="rId1016">
          <a:extLst>
            <a:ext uri="{28A0092B-C50C-407E-A947-70E740481C1C}">
              <a14:useLocalDpi xmlns:a14="http://schemas.microsoft.com/office/drawing/2010/main" val="0"/>
            </a:ext>
          </a:extLst>
        </a:blip>
        <a:srcRect/>
        <a:stretch>
          <a:fillRect/>
        </a:stretch>
      </xdr:blipFill>
      <xdr:spPr bwMode="auto">
        <a:xfrm>
          <a:off x="1228725" y="192088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1018</xdr:row>
      <xdr:rowOff>19050</xdr:rowOff>
    </xdr:from>
    <xdr:to>
      <xdr:col>2</xdr:col>
      <xdr:colOff>1733550</xdr:colOff>
      <xdr:row>1018</xdr:row>
      <xdr:rowOff>1666875</xdr:rowOff>
    </xdr:to>
    <xdr:pic>
      <xdr:nvPicPr>
        <xdr:cNvPr id="1018" name="Picture 1017"/>
        <xdr:cNvPicPr>
          <a:picLocks noChangeAspect="1" noChangeArrowheads="1"/>
        </xdr:cNvPicPr>
      </xdr:nvPicPr>
      <xdr:blipFill>
        <a:blip xmlns:r="http://schemas.openxmlformats.org/officeDocument/2006/relationships" r:embed="rId1017">
          <a:extLst>
            <a:ext uri="{28A0092B-C50C-407E-A947-70E740481C1C}">
              <a14:useLocalDpi xmlns:a14="http://schemas.microsoft.com/office/drawing/2010/main" val="0"/>
            </a:ext>
          </a:extLst>
        </a:blip>
        <a:srcRect/>
        <a:stretch>
          <a:fillRect/>
        </a:stretch>
      </xdr:blipFill>
      <xdr:spPr bwMode="auto">
        <a:xfrm>
          <a:off x="1228725" y="192280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1019</xdr:row>
      <xdr:rowOff>19050</xdr:rowOff>
    </xdr:from>
    <xdr:to>
      <xdr:col>2</xdr:col>
      <xdr:colOff>1733550</xdr:colOff>
      <xdr:row>1019</xdr:row>
      <xdr:rowOff>1666875</xdr:rowOff>
    </xdr:to>
    <xdr:pic>
      <xdr:nvPicPr>
        <xdr:cNvPr id="1019" name="Picture 1018"/>
        <xdr:cNvPicPr>
          <a:picLocks noChangeAspect="1" noChangeArrowheads="1"/>
        </xdr:cNvPicPr>
      </xdr:nvPicPr>
      <xdr:blipFill>
        <a:blip xmlns:r="http://schemas.openxmlformats.org/officeDocument/2006/relationships" r:embed="rId1018">
          <a:extLst>
            <a:ext uri="{28A0092B-C50C-407E-A947-70E740481C1C}">
              <a14:useLocalDpi xmlns:a14="http://schemas.microsoft.com/office/drawing/2010/main" val="0"/>
            </a:ext>
          </a:extLst>
        </a:blip>
        <a:srcRect/>
        <a:stretch>
          <a:fillRect/>
        </a:stretch>
      </xdr:blipFill>
      <xdr:spPr bwMode="auto">
        <a:xfrm>
          <a:off x="1228725" y="192471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1020</xdr:row>
      <xdr:rowOff>19050</xdr:rowOff>
    </xdr:from>
    <xdr:to>
      <xdr:col>2</xdr:col>
      <xdr:colOff>1733550</xdr:colOff>
      <xdr:row>1020</xdr:row>
      <xdr:rowOff>1666875</xdr:rowOff>
    </xdr:to>
    <xdr:pic>
      <xdr:nvPicPr>
        <xdr:cNvPr id="1020" name="Picture 1019"/>
        <xdr:cNvPicPr>
          <a:picLocks noChangeAspect="1" noChangeArrowheads="1"/>
        </xdr:cNvPicPr>
      </xdr:nvPicPr>
      <xdr:blipFill>
        <a:blip xmlns:r="http://schemas.openxmlformats.org/officeDocument/2006/relationships" r:embed="rId1019">
          <a:extLst>
            <a:ext uri="{28A0092B-C50C-407E-A947-70E740481C1C}">
              <a14:useLocalDpi xmlns:a14="http://schemas.microsoft.com/office/drawing/2010/main" val="0"/>
            </a:ext>
          </a:extLst>
        </a:blip>
        <a:srcRect/>
        <a:stretch>
          <a:fillRect/>
        </a:stretch>
      </xdr:blipFill>
      <xdr:spPr bwMode="auto">
        <a:xfrm>
          <a:off x="1228725" y="192663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1021</xdr:row>
      <xdr:rowOff>19050</xdr:rowOff>
    </xdr:from>
    <xdr:to>
      <xdr:col>2</xdr:col>
      <xdr:colOff>1733550</xdr:colOff>
      <xdr:row>1021</xdr:row>
      <xdr:rowOff>1666875</xdr:rowOff>
    </xdr:to>
    <xdr:pic>
      <xdr:nvPicPr>
        <xdr:cNvPr id="1021" name="Picture 1020"/>
        <xdr:cNvPicPr>
          <a:picLocks noChangeAspect="1" noChangeArrowheads="1"/>
        </xdr:cNvPicPr>
      </xdr:nvPicPr>
      <xdr:blipFill>
        <a:blip xmlns:r="http://schemas.openxmlformats.org/officeDocument/2006/relationships" r:embed="rId1020">
          <a:extLst>
            <a:ext uri="{28A0092B-C50C-407E-A947-70E740481C1C}">
              <a14:useLocalDpi xmlns:a14="http://schemas.microsoft.com/office/drawing/2010/main" val="0"/>
            </a:ext>
          </a:extLst>
        </a:blip>
        <a:srcRect/>
        <a:stretch>
          <a:fillRect/>
        </a:stretch>
      </xdr:blipFill>
      <xdr:spPr bwMode="auto">
        <a:xfrm>
          <a:off x="1228725" y="192854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1022</xdr:row>
      <xdr:rowOff>19050</xdr:rowOff>
    </xdr:from>
    <xdr:to>
      <xdr:col>2</xdr:col>
      <xdr:colOff>1733550</xdr:colOff>
      <xdr:row>1022</xdr:row>
      <xdr:rowOff>1666875</xdr:rowOff>
    </xdr:to>
    <xdr:pic>
      <xdr:nvPicPr>
        <xdr:cNvPr id="1022" name="Picture 1021"/>
        <xdr:cNvPicPr>
          <a:picLocks noChangeAspect="1" noChangeArrowheads="1"/>
        </xdr:cNvPicPr>
      </xdr:nvPicPr>
      <xdr:blipFill>
        <a:blip xmlns:r="http://schemas.openxmlformats.org/officeDocument/2006/relationships" r:embed="rId1021">
          <a:extLst>
            <a:ext uri="{28A0092B-C50C-407E-A947-70E740481C1C}">
              <a14:useLocalDpi xmlns:a14="http://schemas.microsoft.com/office/drawing/2010/main" val="0"/>
            </a:ext>
          </a:extLst>
        </a:blip>
        <a:srcRect/>
        <a:stretch>
          <a:fillRect/>
        </a:stretch>
      </xdr:blipFill>
      <xdr:spPr bwMode="auto">
        <a:xfrm>
          <a:off x="1228725" y="193046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1023</xdr:row>
      <xdr:rowOff>19050</xdr:rowOff>
    </xdr:from>
    <xdr:to>
      <xdr:col>2</xdr:col>
      <xdr:colOff>1733550</xdr:colOff>
      <xdr:row>1023</xdr:row>
      <xdr:rowOff>1666875</xdr:rowOff>
    </xdr:to>
    <xdr:pic>
      <xdr:nvPicPr>
        <xdr:cNvPr id="1023" name="Picture 1022"/>
        <xdr:cNvPicPr>
          <a:picLocks noChangeAspect="1" noChangeArrowheads="1"/>
        </xdr:cNvPicPr>
      </xdr:nvPicPr>
      <xdr:blipFill>
        <a:blip xmlns:r="http://schemas.openxmlformats.org/officeDocument/2006/relationships" r:embed="rId1022">
          <a:extLst>
            <a:ext uri="{28A0092B-C50C-407E-A947-70E740481C1C}">
              <a14:useLocalDpi xmlns:a14="http://schemas.microsoft.com/office/drawing/2010/main" val="0"/>
            </a:ext>
          </a:extLst>
        </a:blip>
        <a:srcRect/>
        <a:stretch>
          <a:fillRect/>
        </a:stretch>
      </xdr:blipFill>
      <xdr:spPr bwMode="auto">
        <a:xfrm>
          <a:off x="1228725" y="193237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1024</xdr:row>
      <xdr:rowOff>19050</xdr:rowOff>
    </xdr:from>
    <xdr:to>
      <xdr:col>2</xdr:col>
      <xdr:colOff>1733550</xdr:colOff>
      <xdr:row>1024</xdr:row>
      <xdr:rowOff>1666875</xdr:rowOff>
    </xdr:to>
    <xdr:pic>
      <xdr:nvPicPr>
        <xdr:cNvPr id="1024" name="Picture 1023"/>
        <xdr:cNvPicPr>
          <a:picLocks noChangeAspect="1" noChangeArrowheads="1"/>
        </xdr:cNvPicPr>
      </xdr:nvPicPr>
      <xdr:blipFill>
        <a:blip xmlns:r="http://schemas.openxmlformats.org/officeDocument/2006/relationships" r:embed="rId1023">
          <a:extLst>
            <a:ext uri="{28A0092B-C50C-407E-A947-70E740481C1C}">
              <a14:useLocalDpi xmlns:a14="http://schemas.microsoft.com/office/drawing/2010/main" val="0"/>
            </a:ext>
          </a:extLst>
        </a:blip>
        <a:srcRect/>
        <a:stretch>
          <a:fillRect/>
        </a:stretch>
      </xdr:blipFill>
      <xdr:spPr bwMode="auto">
        <a:xfrm>
          <a:off x="1228725" y="193428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1025</xdr:row>
      <xdr:rowOff>19050</xdr:rowOff>
    </xdr:from>
    <xdr:to>
      <xdr:col>2</xdr:col>
      <xdr:colOff>1733550</xdr:colOff>
      <xdr:row>1025</xdr:row>
      <xdr:rowOff>1666875</xdr:rowOff>
    </xdr:to>
    <xdr:pic>
      <xdr:nvPicPr>
        <xdr:cNvPr id="1025" name="Picture 1024"/>
        <xdr:cNvPicPr>
          <a:picLocks noChangeAspect="1" noChangeArrowheads="1"/>
        </xdr:cNvPicPr>
      </xdr:nvPicPr>
      <xdr:blipFill>
        <a:blip xmlns:r="http://schemas.openxmlformats.org/officeDocument/2006/relationships" r:embed="rId1024">
          <a:extLst>
            <a:ext uri="{28A0092B-C50C-407E-A947-70E740481C1C}">
              <a14:useLocalDpi xmlns:a14="http://schemas.microsoft.com/office/drawing/2010/main" val="0"/>
            </a:ext>
          </a:extLst>
        </a:blip>
        <a:srcRect/>
        <a:stretch>
          <a:fillRect/>
        </a:stretch>
      </xdr:blipFill>
      <xdr:spPr bwMode="auto">
        <a:xfrm>
          <a:off x="1228725" y="193620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1026</xdr:row>
      <xdr:rowOff>19050</xdr:rowOff>
    </xdr:from>
    <xdr:to>
      <xdr:col>2</xdr:col>
      <xdr:colOff>1733550</xdr:colOff>
      <xdr:row>1026</xdr:row>
      <xdr:rowOff>1666875</xdr:rowOff>
    </xdr:to>
    <xdr:pic>
      <xdr:nvPicPr>
        <xdr:cNvPr id="1026" name="Picture 1025"/>
        <xdr:cNvPicPr>
          <a:picLocks noChangeAspect="1" noChangeArrowheads="1"/>
        </xdr:cNvPicPr>
      </xdr:nvPicPr>
      <xdr:blipFill>
        <a:blip xmlns:r="http://schemas.openxmlformats.org/officeDocument/2006/relationships" r:embed="rId1025">
          <a:extLst>
            <a:ext uri="{28A0092B-C50C-407E-A947-70E740481C1C}">
              <a14:useLocalDpi xmlns:a14="http://schemas.microsoft.com/office/drawing/2010/main" val="0"/>
            </a:ext>
          </a:extLst>
        </a:blip>
        <a:srcRect/>
        <a:stretch>
          <a:fillRect/>
        </a:stretch>
      </xdr:blipFill>
      <xdr:spPr bwMode="auto">
        <a:xfrm>
          <a:off x="1228725" y="193811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1027</xdr:row>
      <xdr:rowOff>19050</xdr:rowOff>
    </xdr:from>
    <xdr:to>
      <xdr:col>2</xdr:col>
      <xdr:colOff>1733550</xdr:colOff>
      <xdr:row>1027</xdr:row>
      <xdr:rowOff>1666875</xdr:rowOff>
    </xdr:to>
    <xdr:pic>
      <xdr:nvPicPr>
        <xdr:cNvPr id="1027" name="Picture 1026"/>
        <xdr:cNvPicPr>
          <a:picLocks noChangeAspect="1" noChangeArrowheads="1"/>
        </xdr:cNvPicPr>
      </xdr:nvPicPr>
      <xdr:blipFill>
        <a:blip xmlns:r="http://schemas.openxmlformats.org/officeDocument/2006/relationships" r:embed="rId1026">
          <a:extLst>
            <a:ext uri="{28A0092B-C50C-407E-A947-70E740481C1C}">
              <a14:useLocalDpi xmlns:a14="http://schemas.microsoft.com/office/drawing/2010/main" val="0"/>
            </a:ext>
          </a:extLst>
        </a:blip>
        <a:srcRect/>
        <a:stretch>
          <a:fillRect/>
        </a:stretch>
      </xdr:blipFill>
      <xdr:spPr bwMode="auto">
        <a:xfrm>
          <a:off x="1228725" y="194003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1028</xdr:row>
      <xdr:rowOff>19050</xdr:rowOff>
    </xdr:from>
    <xdr:to>
      <xdr:col>2</xdr:col>
      <xdr:colOff>1733550</xdr:colOff>
      <xdr:row>1028</xdr:row>
      <xdr:rowOff>1666875</xdr:rowOff>
    </xdr:to>
    <xdr:pic>
      <xdr:nvPicPr>
        <xdr:cNvPr id="1028" name="Picture 1027"/>
        <xdr:cNvPicPr>
          <a:picLocks noChangeAspect="1" noChangeArrowheads="1"/>
        </xdr:cNvPicPr>
      </xdr:nvPicPr>
      <xdr:blipFill>
        <a:blip xmlns:r="http://schemas.openxmlformats.org/officeDocument/2006/relationships" r:embed="rId1027">
          <a:extLst>
            <a:ext uri="{28A0092B-C50C-407E-A947-70E740481C1C}">
              <a14:useLocalDpi xmlns:a14="http://schemas.microsoft.com/office/drawing/2010/main" val="0"/>
            </a:ext>
          </a:extLst>
        </a:blip>
        <a:srcRect/>
        <a:stretch>
          <a:fillRect/>
        </a:stretch>
      </xdr:blipFill>
      <xdr:spPr bwMode="auto">
        <a:xfrm>
          <a:off x="1228725" y="194194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1029</xdr:row>
      <xdr:rowOff>19050</xdr:rowOff>
    </xdr:from>
    <xdr:to>
      <xdr:col>2</xdr:col>
      <xdr:colOff>1733550</xdr:colOff>
      <xdr:row>1029</xdr:row>
      <xdr:rowOff>1666875</xdr:rowOff>
    </xdr:to>
    <xdr:pic>
      <xdr:nvPicPr>
        <xdr:cNvPr id="1029" name="Picture 1028"/>
        <xdr:cNvPicPr>
          <a:picLocks noChangeAspect="1" noChangeArrowheads="1"/>
        </xdr:cNvPicPr>
      </xdr:nvPicPr>
      <xdr:blipFill>
        <a:blip xmlns:r="http://schemas.openxmlformats.org/officeDocument/2006/relationships" r:embed="rId1028">
          <a:extLst>
            <a:ext uri="{28A0092B-C50C-407E-A947-70E740481C1C}">
              <a14:useLocalDpi xmlns:a14="http://schemas.microsoft.com/office/drawing/2010/main" val="0"/>
            </a:ext>
          </a:extLst>
        </a:blip>
        <a:srcRect/>
        <a:stretch>
          <a:fillRect/>
        </a:stretch>
      </xdr:blipFill>
      <xdr:spPr bwMode="auto">
        <a:xfrm>
          <a:off x="1228725" y="194386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1030</xdr:row>
      <xdr:rowOff>19050</xdr:rowOff>
    </xdr:from>
    <xdr:to>
      <xdr:col>2</xdr:col>
      <xdr:colOff>1733550</xdr:colOff>
      <xdr:row>1030</xdr:row>
      <xdr:rowOff>1666875</xdr:rowOff>
    </xdr:to>
    <xdr:pic>
      <xdr:nvPicPr>
        <xdr:cNvPr id="1030" name="Picture 1029"/>
        <xdr:cNvPicPr>
          <a:picLocks noChangeAspect="1" noChangeArrowheads="1"/>
        </xdr:cNvPicPr>
      </xdr:nvPicPr>
      <xdr:blipFill>
        <a:blip xmlns:r="http://schemas.openxmlformats.org/officeDocument/2006/relationships" r:embed="rId1029">
          <a:extLst>
            <a:ext uri="{28A0092B-C50C-407E-A947-70E740481C1C}">
              <a14:useLocalDpi xmlns:a14="http://schemas.microsoft.com/office/drawing/2010/main" val="0"/>
            </a:ext>
          </a:extLst>
        </a:blip>
        <a:srcRect/>
        <a:stretch>
          <a:fillRect/>
        </a:stretch>
      </xdr:blipFill>
      <xdr:spPr bwMode="auto">
        <a:xfrm>
          <a:off x="1228725" y="194577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1031</xdr:row>
      <xdr:rowOff>19050</xdr:rowOff>
    </xdr:from>
    <xdr:to>
      <xdr:col>2</xdr:col>
      <xdr:colOff>1733550</xdr:colOff>
      <xdr:row>1031</xdr:row>
      <xdr:rowOff>1666875</xdr:rowOff>
    </xdr:to>
    <xdr:pic>
      <xdr:nvPicPr>
        <xdr:cNvPr id="1031" name="Picture 1030"/>
        <xdr:cNvPicPr>
          <a:picLocks noChangeAspect="1" noChangeArrowheads="1"/>
        </xdr:cNvPicPr>
      </xdr:nvPicPr>
      <xdr:blipFill>
        <a:blip xmlns:r="http://schemas.openxmlformats.org/officeDocument/2006/relationships" r:embed="rId1030">
          <a:extLst>
            <a:ext uri="{28A0092B-C50C-407E-A947-70E740481C1C}">
              <a14:useLocalDpi xmlns:a14="http://schemas.microsoft.com/office/drawing/2010/main" val="0"/>
            </a:ext>
          </a:extLst>
        </a:blip>
        <a:srcRect/>
        <a:stretch>
          <a:fillRect/>
        </a:stretch>
      </xdr:blipFill>
      <xdr:spPr bwMode="auto">
        <a:xfrm>
          <a:off x="1228725" y="194769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1032</xdr:row>
      <xdr:rowOff>19050</xdr:rowOff>
    </xdr:from>
    <xdr:to>
      <xdr:col>2</xdr:col>
      <xdr:colOff>1733550</xdr:colOff>
      <xdr:row>1032</xdr:row>
      <xdr:rowOff>1666875</xdr:rowOff>
    </xdr:to>
    <xdr:pic>
      <xdr:nvPicPr>
        <xdr:cNvPr id="1032" name="Picture 1031"/>
        <xdr:cNvPicPr>
          <a:picLocks noChangeAspect="1" noChangeArrowheads="1"/>
        </xdr:cNvPicPr>
      </xdr:nvPicPr>
      <xdr:blipFill>
        <a:blip xmlns:r="http://schemas.openxmlformats.org/officeDocument/2006/relationships" r:embed="rId1031">
          <a:extLst>
            <a:ext uri="{28A0092B-C50C-407E-A947-70E740481C1C}">
              <a14:useLocalDpi xmlns:a14="http://schemas.microsoft.com/office/drawing/2010/main" val="0"/>
            </a:ext>
          </a:extLst>
        </a:blip>
        <a:srcRect/>
        <a:stretch>
          <a:fillRect/>
        </a:stretch>
      </xdr:blipFill>
      <xdr:spPr bwMode="auto">
        <a:xfrm>
          <a:off x="1228725" y="194960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1033</xdr:row>
      <xdr:rowOff>19050</xdr:rowOff>
    </xdr:from>
    <xdr:to>
      <xdr:col>2</xdr:col>
      <xdr:colOff>1733550</xdr:colOff>
      <xdr:row>1033</xdr:row>
      <xdr:rowOff>1666875</xdr:rowOff>
    </xdr:to>
    <xdr:pic>
      <xdr:nvPicPr>
        <xdr:cNvPr id="1033" name="Picture 1032"/>
        <xdr:cNvPicPr>
          <a:picLocks noChangeAspect="1" noChangeArrowheads="1"/>
        </xdr:cNvPicPr>
      </xdr:nvPicPr>
      <xdr:blipFill>
        <a:blip xmlns:r="http://schemas.openxmlformats.org/officeDocument/2006/relationships" r:embed="rId1032">
          <a:extLst>
            <a:ext uri="{28A0092B-C50C-407E-A947-70E740481C1C}">
              <a14:useLocalDpi xmlns:a14="http://schemas.microsoft.com/office/drawing/2010/main" val="0"/>
            </a:ext>
          </a:extLst>
        </a:blip>
        <a:srcRect/>
        <a:stretch>
          <a:fillRect/>
        </a:stretch>
      </xdr:blipFill>
      <xdr:spPr bwMode="auto">
        <a:xfrm>
          <a:off x="1228725" y="195152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1034</xdr:row>
      <xdr:rowOff>19050</xdr:rowOff>
    </xdr:from>
    <xdr:to>
      <xdr:col>2</xdr:col>
      <xdr:colOff>1733550</xdr:colOff>
      <xdr:row>1034</xdr:row>
      <xdr:rowOff>1666875</xdr:rowOff>
    </xdr:to>
    <xdr:pic>
      <xdr:nvPicPr>
        <xdr:cNvPr id="1034" name="Picture 1033"/>
        <xdr:cNvPicPr>
          <a:picLocks noChangeAspect="1" noChangeArrowheads="1"/>
        </xdr:cNvPicPr>
      </xdr:nvPicPr>
      <xdr:blipFill>
        <a:blip xmlns:r="http://schemas.openxmlformats.org/officeDocument/2006/relationships" r:embed="rId1033">
          <a:extLst>
            <a:ext uri="{28A0092B-C50C-407E-A947-70E740481C1C}">
              <a14:useLocalDpi xmlns:a14="http://schemas.microsoft.com/office/drawing/2010/main" val="0"/>
            </a:ext>
          </a:extLst>
        </a:blip>
        <a:srcRect/>
        <a:stretch>
          <a:fillRect/>
        </a:stretch>
      </xdr:blipFill>
      <xdr:spPr bwMode="auto">
        <a:xfrm>
          <a:off x="1228725" y="195343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1035</xdr:row>
      <xdr:rowOff>19050</xdr:rowOff>
    </xdr:from>
    <xdr:to>
      <xdr:col>2</xdr:col>
      <xdr:colOff>1733550</xdr:colOff>
      <xdr:row>1035</xdr:row>
      <xdr:rowOff>1666875</xdr:rowOff>
    </xdr:to>
    <xdr:pic>
      <xdr:nvPicPr>
        <xdr:cNvPr id="1035" name="Picture 1034"/>
        <xdr:cNvPicPr>
          <a:picLocks noChangeAspect="1" noChangeArrowheads="1"/>
        </xdr:cNvPicPr>
      </xdr:nvPicPr>
      <xdr:blipFill>
        <a:blip xmlns:r="http://schemas.openxmlformats.org/officeDocument/2006/relationships" r:embed="rId1034">
          <a:extLst>
            <a:ext uri="{28A0092B-C50C-407E-A947-70E740481C1C}">
              <a14:useLocalDpi xmlns:a14="http://schemas.microsoft.com/office/drawing/2010/main" val="0"/>
            </a:ext>
          </a:extLst>
        </a:blip>
        <a:srcRect/>
        <a:stretch>
          <a:fillRect/>
        </a:stretch>
      </xdr:blipFill>
      <xdr:spPr bwMode="auto">
        <a:xfrm>
          <a:off x="1228725" y="195534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1036</xdr:row>
      <xdr:rowOff>19050</xdr:rowOff>
    </xdr:from>
    <xdr:to>
      <xdr:col>2</xdr:col>
      <xdr:colOff>1733550</xdr:colOff>
      <xdr:row>1036</xdr:row>
      <xdr:rowOff>1666875</xdr:rowOff>
    </xdr:to>
    <xdr:pic>
      <xdr:nvPicPr>
        <xdr:cNvPr id="1036" name="Picture 1035"/>
        <xdr:cNvPicPr>
          <a:picLocks noChangeAspect="1" noChangeArrowheads="1"/>
        </xdr:cNvPicPr>
      </xdr:nvPicPr>
      <xdr:blipFill>
        <a:blip xmlns:r="http://schemas.openxmlformats.org/officeDocument/2006/relationships" r:embed="rId1035">
          <a:extLst>
            <a:ext uri="{28A0092B-C50C-407E-A947-70E740481C1C}">
              <a14:useLocalDpi xmlns:a14="http://schemas.microsoft.com/office/drawing/2010/main" val="0"/>
            </a:ext>
          </a:extLst>
        </a:blip>
        <a:srcRect/>
        <a:stretch>
          <a:fillRect/>
        </a:stretch>
      </xdr:blipFill>
      <xdr:spPr bwMode="auto">
        <a:xfrm>
          <a:off x="1228725" y="195726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1037</xdr:row>
      <xdr:rowOff>19050</xdr:rowOff>
    </xdr:from>
    <xdr:to>
      <xdr:col>2</xdr:col>
      <xdr:colOff>1733550</xdr:colOff>
      <xdr:row>1037</xdr:row>
      <xdr:rowOff>1666875</xdr:rowOff>
    </xdr:to>
    <xdr:pic>
      <xdr:nvPicPr>
        <xdr:cNvPr id="1037" name="Picture 1036"/>
        <xdr:cNvPicPr>
          <a:picLocks noChangeAspect="1" noChangeArrowheads="1"/>
        </xdr:cNvPicPr>
      </xdr:nvPicPr>
      <xdr:blipFill>
        <a:blip xmlns:r="http://schemas.openxmlformats.org/officeDocument/2006/relationships" r:embed="rId1036">
          <a:extLst>
            <a:ext uri="{28A0092B-C50C-407E-A947-70E740481C1C}">
              <a14:useLocalDpi xmlns:a14="http://schemas.microsoft.com/office/drawing/2010/main" val="0"/>
            </a:ext>
          </a:extLst>
        </a:blip>
        <a:srcRect/>
        <a:stretch>
          <a:fillRect/>
        </a:stretch>
      </xdr:blipFill>
      <xdr:spPr bwMode="auto">
        <a:xfrm>
          <a:off x="1228725" y="1959178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1038</xdr:row>
      <xdr:rowOff>19050</xdr:rowOff>
    </xdr:from>
    <xdr:to>
      <xdr:col>2</xdr:col>
      <xdr:colOff>1733550</xdr:colOff>
      <xdr:row>1038</xdr:row>
      <xdr:rowOff>1666875</xdr:rowOff>
    </xdr:to>
    <xdr:pic>
      <xdr:nvPicPr>
        <xdr:cNvPr id="1038" name="Picture 1037"/>
        <xdr:cNvPicPr>
          <a:picLocks noChangeAspect="1" noChangeArrowheads="1"/>
        </xdr:cNvPicPr>
      </xdr:nvPicPr>
      <xdr:blipFill>
        <a:blip xmlns:r="http://schemas.openxmlformats.org/officeDocument/2006/relationships" r:embed="rId1037">
          <a:extLst>
            <a:ext uri="{28A0092B-C50C-407E-A947-70E740481C1C}">
              <a14:useLocalDpi xmlns:a14="http://schemas.microsoft.com/office/drawing/2010/main" val="0"/>
            </a:ext>
          </a:extLst>
        </a:blip>
        <a:srcRect/>
        <a:stretch>
          <a:fillRect/>
        </a:stretch>
      </xdr:blipFill>
      <xdr:spPr bwMode="auto">
        <a:xfrm>
          <a:off x="1228725" y="196109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1039</xdr:row>
      <xdr:rowOff>19050</xdr:rowOff>
    </xdr:from>
    <xdr:to>
      <xdr:col>2</xdr:col>
      <xdr:colOff>1733550</xdr:colOff>
      <xdr:row>1039</xdr:row>
      <xdr:rowOff>1666875</xdr:rowOff>
    </xdr:to>
    <xdr:pic>
      <xdr:nvPicPr>
        <xdr:cNvPr id="1039" name="Picture 1038"/>
        <xdr:cNvPicPr>
          <a:picLocks noChangeAspect="1" noChangeArrowheads="1"/>
        </xdr:cNvPicPr>
      </xdr:nvPicPr>
      <xdr:blipFill>
        <a:blip xmlns:r="http://schemas.openxmlformats.org/officeDocument/2006/relationships" r:embed="rId1038">
          <a:extLst>
            <a:ext uri="{28A0092B-C50C-407E-A947-70E740481C1C}">
              <a14:useLocalDpi xmlns:a14="http://schemas.microsoft.com/office/drawing/2010/main" val="0"/>
            </a:ext>
          </a:extLst>
        </a:blip>
        <a:srcRect/>
        <a:stretch>
          <a:fillRect/>
        </a:stretch>
      </xdr:blipFill>
      <xdr:spPr bwMode="auto">
        <a:xfrm>
          <a:off x="1228725" y="1963007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1040</xdr:row>
      <xdr:rowOff>19050</xdr:rowOff>
    </xdr:from>
    <xdr:to>
      <xdr:col>2</xdr:col>
      <xdr:colOff>1733550</xdr:colOff>
      <xdr:row>1040</xdr:row>
      <xdr:rowOff>1666875</xdr:rowOff>
    </xdr:to>
    <xdr:pic>
      <xdr:nvPicPr>
        <xdr:cNvPr id="1040" name="Picture 1039"/>
        <xdr:cNvPicPr>
          <a:picLocks noChangeAspect="1" noChangeArrowheads="1"/>
        </xdr:cNvPicPr>
      </xdr:nvPicPr>
      <xdr:blipFill>
        <a:blip xmlns:r="http://schemas.openxmlformats.org/officeDocument/2006/relationships" r:embed="rId1039">
          <a:extLst>
            <a:ext uri="{28A0092B-C50C-407E-A947-70E740481C1C}">
              <a14:useLocalDpi xmlns:a14="http://schemas.microsoft.com/office/drawing/2010/main" val="0"/>
            </a:ext>
          </a:extLst>
        </a:blip>
        <a:srcRect/>
        <a:stretch>
          <a:fillRect/>
        </a:stretch>
      </xdr:blipFill>
      <xdr:spPr bwMode="auto">
        <a:xfrm>
          <a:off x="1228725" y="1964921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1041</xdr:row>
      <xdr:rowOff>19050</xdr:rowOff>
    </xdr:from>
    <xdr:to>
      <xdr:col>2</xdr:col>
      <xdr:colOff>1733550</xdr:colOff>
      <xdr:row>1041</xdr:row>
      <xdr:rowOff>1666875</xdr:rowOff>
    </xdr:to>
    <xdr:pic>
      <xdr:nvPicPr>
        <xdr:cNvPr id="1041" name="Picture 1040"/>
        <xdr:cNvPicPr>
          <a:picLocks noChangeAspect="1" noChangeArrowheads="1"/>
        </xdr:cNvPicPr>
      </xdr:nvPicPr>
      <xdr:blipFill>
        <a:blip xmlns:r="http://schemas.openxmlformats.org/officeDocument/2006/relationships" r:embed="rId1040">
          <a:extLst>
            <a:ext uri="{28A0092B-C50C-407E-A947-70E740481C1C}">
              <a14:useLocalDpi xmlns:a14="http://schemas.microsoft.com/office/drawing/2010/main" val="0"/>
            </a:ext>
          </a:extLst>
        </a:blip>
        <a:srcRect/>
        <a:stretch>
          <a:fillRect/>
        </a:stretch>
      </xdr:blipFill>
      <xdr:spPr bwMode="auto">
        <a:xfrm>
          <a:off x="1228725" y="1966836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1042</xdr:row>
      <xdr:rowOff>19050</xdr:rowOff>
    </xdr:from>
    <xdr:to>
      <xdr:col>2</xdr:col>
      <xdr:colOff>1733550</xdr:colOff>
      <xdr:row>1042</xdr:row>
      <xdr:rowOff>1647825</xdr:rowOff>
    </xdr:to>
    <xdr:pic>
      <xdr:nvPicPr>
        <xdr:cNvPr id="1042" name="Picture 1041"/>
        <xdr:cNvPicPr>
          <a:picLocks noChangeAspect="1" noChangeArrowheads="1"/>
        </xdr:cNvPicPr>
      </xdr:nvPicPr>
      <xdr:blipFill>
        <a:blip xmlns:r="http://schemas.openxmlformats.org/officeDocument/2006/relationships" r:embed="rId1041">
          <a:extLst>
            <a:ext uri="{28A0092B-C50C-407E-A947-70E740481C1C}">
              <a14:useLocalDpi xmlns:a14="http://schemas.microsoft.com/office/drawing/2010/main" val="0"/>
            </a:ext>
          </a:extLst>
        </a:blip>
        <a:srcRect/>
        <a:stretch>
          <a:fillRect/>
        </a:stretch>
      </xdr:blipFill>
      <xdr:spPr bwMode="auto">
        <a:xfrm>
          <a:off x="1228725" y="1968750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1043</xdr:row>
      <xdr:rowOff>19050</xdr:rowOff>
    </xdr:from>
    <xdr:to>
      <xdr:col>2</xdr:col>
      <xdr:colOff>1733550</xdr:colOff>
      <xdr:row>1043</xdr:row>
      <xdr:rowOff>1666875</xdr:rowOff>
    </xdr:to>
    <xdr:pic>
      <xdr:nvPicPr>
        <xdr:cNvPr id="1043" name="Picture 1042"/>
        <xdr:cNvPicPr>
          <a:picLocks noChangeAspect="1" noChangeArrowheads="1"/>
        </xdr:cNvPicPr>
      </xdr:nvPicPr>
      <xdr:blipFill>
        <a:blip xmlns:r="http://schemas.openxmlformats.org/officeDocument/2006/relationships" r:embed="rId1042">
          <a:extLst>
            <a:ext uri="{28A0092B-C50C-407E-A947-70E740481C1C}">
              <a14:useLocalDpi xmlns:a14="http://schemas.microsoft.com/office/drawing/2010/main" val="0"/>
            </a:ext>
          </a:extLst>
        </a:blip>
        <a:srcRect/>
        <a:stretch>
          <a:fillRect/>
        </a:stretch>
      </xdr:blipFill>
      <xdr:spPr bwMode="auto">
        <a:xfrm>
          <a:off x="1228725" y="1970646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1044</xdr:row>
      <xdr:rowOff>19050</xdr:rowOff>
    </xdr:from>
    <xdr:to>
      <xdr:col>2</xdr:col>
      <xdr:colOff>1733550</xdr:colOff>
      <xdr:row>1044</xdr:row>
      <xdr:rowOff>1666875</xdr:rowOff>
    </xdr:to>
    <xdr:pic>
      <xdr:nvPicPr>
        <xdr:cNvPr id="1044" name="Picture 1043"/>
        <xdr:cNvPicPr>
          <a:picLocks noChangeAspect="1" noChangeArrowheads="1"/>
        </xdr:cNvPicPr>
      </xdr:nvPicPr>
      <xdr:blipFill>
        <a:blip xmlns:r="http://schemas.openxmlformats.org/officeDocument/2006/relationships" r:embed="rId1043">
          <a:extLst>
            <a:ext uri="{28A0092B-C50C-407E-A947-70E740481C1C}">
              <a14:useLocalDpi xmlns:a14="http://schemas.microsoft.com/office/drawing/2010/main" val="0"/>
            </a:ext>
          </a:extLst>
        </a:blip>
        <a:srcRect/>
        <a:stretch>
          <a:fillRect/>
        </a:stretch>
      </xdr:blipFill>
      <xdr:spPr bwMode="auto">
        <a:xfrm>
          <a:off x="1228725" y="1972560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1045</xdr:row>
      <xdr:rowOff>19050</xdr:rowOff>
    </xdr:from>
    <xdr:to>
      <xdr:col>2</xdr:col>
      <xdr:colOff>1733550</xdr:colOff>
      <xdr:row>1045</xdr:row>
      <xdr:rowOff>1666875</xdr:rowOff>
    </xdr:to>
    <xdr:pic>
      <xdr:nvPicPr>
        <xdr:cNvPr id="1045" name="Picture 1044"/>
        <xdr:cNvPicPr>
          <a:picLocks noChangeAspect="1" noChangeArrowheads="1"/>
        </xdr:cNvPicPr>
      </xdr:nvPicPr>
      <xdr:blipFill>
        <a:blip xmlns:r="http://schemas.openxmlformats.org/officeDocument/2006/relationships" r:embed="rId1044">
          <a:extLst>
            <a:ext uri="{28A0092B-C50C-407E-A947-70E740481C1C}">
              <a14:useLocalDpi xmlns:a14="http://schemas.microsoft.com/office/drawing/2010/main" val="0"/>
            </a:ext>
          </a:extLst>
        </a:blip>
        <a:srcRect/>
        <a:stretch>
          <a:fillRect/>
        </a:stretch>
      </xdr:blipFill>
      <xdr:spPr bwMode="auto">
        <a:xfrm>
          <a:off x="1228725" y="1974475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1046</xdr:row>
      <xdr:rowOff>19050</xdr:rowOff>
    </xdr:from>
    <xdr:to>
      <xdr:col>2</xdr:col>
      <xdr:colOff>1733550</xdr:colOff>
      <xdr:row>1046</xdr:row>
      <xdr:rowOff>1666875</xdr:rowOff>
    </xdr:to>
    <xdr:pic>
      <xdr:nvPicPr>
        <xdr:cNvPr id="1046" name="Picture 1045"/>
        <xdr:cNvPicPr>
          <a:picLocks noChangeAspect="1" noChangeArrowheads="1"/>
        </xdr:cNvPicPr>
      </xdr:nvPicPr>
      <xdr:blipFill>
        <a:blip xmlns:r="http://schemas.openxmlformats.org/officeDocument/2006/relationships" r:embed="rId1045">
          <a:extLst>
            <a:ext uri="{28A0092B-C50C-407E-A947-70E740481C1C}">
              <a14:useLocalDpi xmlns:a14="http://schemas.microsoft.com/office/drawing/2010/main" val="0"/>
            </a:ext>
          </a:extLst>
        </a:blip>
        <a:srcRect/>
        <a:stretch>
          <a:fillRect/>
        </a:stretch>
      </xdr:blipFill>
      <xdr:spPr bwMode="auto">
        <a:xfrm>
          <a:off x="1228725" y="1976389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1047</xdr:row>
      <xdr:rowOff>19050</xdr:rowOff>
    </xdr:from>
    <xdr:to>
      <xdr:col>2</xdr:col>
      <xdr:colOff>1733550</xdr:colOff>
      <xdr:row>1047</xdr:row>
      <xdr:rowOff>1666875</xdr:rowOff>
    </xdr:to>
    <xdr:pic>
      <xdr:nvPicPr>
        <xdr:cNvPr id="1047" name="Picture 1046"/>
        <xdr:cNvPicPr>
          <a:picLocks noChangeAspect="1" noChangeArrowheads="1"/>
        </xdr:cNvPicPr>
      </xdr:nvPicPr>
      <xdr:blipFill>
        <a:blip xmlns:r="http://schemas.openxmlformats.org/officeDocument/2006/relationships" r:embed="rId1046">
          <a:extLst>
            <a:ext uri="{28A0092B-C50C-407E-A947-70E740481C1C}">
              <a14:useLocalDpi xmlns:a14="http://schemas.microsoft.com/office/drawing/2010/main" val="0"/>
            </a:ext>
          </a:extLst>
        </a:blip>
        <a:srcRect/>
        <a:stretch>
          <a:fillRect/>
        </a:stretch>
      </xdr:blipFill>
      <xdr:spPr bwMode="auto">
        <a:xfrm>
          <a:off x="1228725" y="1978304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1048</xdr:row>
      <xdr:rowOff>19050</xdr:rowOff>
    </xdr:from>
    <xdr:to>
      <xdr:col>2</xdr:col>
      <xdr:colOff>1733550</xdr:colOff>
      <xdr:row>1048</xdr:row>
      <xdr:rowOff>1666875</xdr:rowOff>
    </xdr:to>
    <xdr:pic>
      <xdr:nvPicPr>
        <xdr:cNvPr id="1048" name="Picture 1047"/>
        <xdr:cNvPicPr>
          <a:picLocks noChangeAspect="1" noChangeArrowheads="1"/>
        </xdr:cNvPicPr>
      </xdr:nvPicPr>
      <xdr:blipFill>
        <a:blip xmlns:r="http://schemas.openxmlformats.org/officeDocument/2006/relationships" r:embed="rId1047">
          <a:extLst>
            <a:ext uri="{28A0092B-C50C-407E-A947-70E740481C1C}">
              <a14:useLocalDpi xmlns:a14="http://schemas.microsoft.com/office/drawing/2010/main" val="0"/>
            </a:ext>
          </a:extLst>
        </a:blip>
        <a:srcRect/>
        <a:stretch>
          <a:fillRect/>
        </a:stretch>
      </xdr:blipFill>
      <xdr:spPr bwMode="auto">
        <a:xfrm>
          <a:off x="1228725" y="1980218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1049</xdr:row>
      <xdr:rowOff>19050</xdr:rowOff>
    </xdr:from>
    <xdr:to>
      <xdr:col>2</xdr:col>
      <xdr:colOff>1733550</xdr:colOff>
      <xdr:row>1049</xdr:row>
      <xdr:rowOff>1666875</xdr:rowOff>
    </xdr:to>
    <xdr:pic>
      <xdr:nvPicPr>
        <xdr:cNvPr id="1049" name="Picture 1048"/>
        <xdr:cNvPicPr>
          <a:picLocks noChangeAspect="1" noChangeArrowheads="1"/>
        </xdr:cNvPicPr>
      </xdr:nvPicPr>
      <xdr:blipFill>
        <a:blip xmlns:r="http://schemas.openxmlformats.org/officeDocument/2006/relationships" r:embed="rId1048">
          <a:extLst>
            <a:ext uri="{28A0092B-C50C-407E-A947-70E740481C1C}">
              <a14:useLocalDpi xmlns:a14="http://schemas.microsoft.com/office/drawing/2010/main" val="0"/>
            </a:ext>
          </a:extLst>
        </a:blip>
        <a:srcRect/>
        <a:stretch>
          <a:fillRect/>
        </a:stretch>
      </xdr:blipFill>
      <xdr:spPr bwMode="auto">
        <a:xfrm>
          <a:off x="1228725" y="1982133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1050</xdr:row>
      <xdr:rowOff>19050</xdr:rowOff>
    </xdr:from>
    <xdr:to>
      <xdr:col>2</xdr:col>
      <xdr:colOff>1733550</xdr:colOff>
      <xdr:row>1050</xdr:row>
      <xdr:rowOff>1666875</xdr:rowOff>
    </xdr:to>
    <xdr:pic>
      <xdr:nvPicPr>
        <xdr:cNvPr id="1050" name="Picture 1049"/>
        <xdr:cNvPicPr>
          <a:picLocks noChangeAspect="1" noChangeArrowheads="1"/>
        </xdr:cNvPicPr>
      </xdr:nvPicPr>
      <xdr:blipFill>
        <a:blip xmlns:r="http://schemas.openxmlformats.org/officeDocument/2006/relationships" r:embed="rId1049">
          <a:extLst>
            <a:ext uri="{28A0092B-C50C-407E-A947-70E740481C1C}">
              <a14:useLocalDpi xmlns:a14="http://schemas.microsoft.com/office/drawing/2010/main" val="0"/>
            </a:ext>
          </a:extLst>
        </a:blip>
        <a:srcRect/>
        <a:stretch>
          <a:fillRect/>
        </a:stretch>
      </xdr:blipFill>
      <xdr:spPr bwMode="auto">
        <a:xfrm>
          <a:off x="1228725" y="1984047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1051</xdr:row>
      <xdr:rowOff>19050</xdr:rowOff>
    </xdr:from>
    <xdr:to>
      <xdr:col>2</xdr:col>
      <xdr:colOff>1733550</xdr:colOff>
      <xdr:row>1051</xdr:row>
      <xdr:rowOff>1666875</xdr:rowOff>
    </xdr:to>
    <xdr:pic>
      <xdr:nvPicPr>
        <xdr:cNvPr id="1051" name="Picture 1050"/>
        <xdr:cNvPicPr>
          <a:picLocks noChangeAspect="1" noChangeArrowheads="1"/>
        </xdr:cNvPicPr>
      </xdr:nvPicPr>
      <xdr:blipFill>
        <a:blip xmlns:r="http://schemas.openxmlformats.org/officeDocument/2006/relationships" r:embed="rId1050">
          <a:extLst>
            <a:ext uri="{28A0092B-C50C-407E-A947-70E740481C1C}">
              <a14:useLocalDpi xmlns:a14="http://schemas.microsoft.com/office/drawing/2010/main" val="0"/>
            </a:ext>
          </a:extLst>
        </a:blip>
        <a:srcRect/>
        <a:stretch>
          <a:fillRect/>
        </a:stretch>
      </xdr:blipFill>
      <xdr:spPr bwMode="auto">
        <a:xfrm>
          <a:off x="1228725" y="1985962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1052</xdr:row>
      <xdr:rowOff>19050</xdr:rowOff>
    </xdr:from>
    <xdr:to>
      <xdr:col>2</xdr:col>
      <xdr:colOff>1733550</xdr:colOff>
      <xdr:row>1052</xdr:row>
      <xdr:rowOff>1666875</xdr:rowOff>
    </xdr:to>
    <xdr:pic>
      <xdr:nvPicPr>
        <xdr:cNvPr id="1052" name="Picture 1051"/>
        <xdr:cNvPicPr>
          <a:picLocks noChangeAspect="1" noChangeArrowheads="1"/>
        </xdr:cNvPicPr>
      </xdr:nvPicPr>
      <xdr:blipFill>
        <a:blip xmlns:r="http://schemas.openxmlformats.org/officeDocument/2006/relationships" r:embed="rId1051">
          <a:extLst>
            <a:ext uri="{28A0092B-C50C-407E-A947-70E740481C1C}">
              <a14:useLocalDpi xmlns:a14="http://schemas.microsoft.com/office/drawing/2010/main" val="0"/>
            </a:ext>
          </a:extLst>
        </a:blip>
        <a:srcRect/>
        <a:stretch>
          <a:fillRect/>
        </a:stretch>
      </xdr:blipFill>
      <xdr:spPr bwMode="auto">
        <a:xfrm>
          <a:off x="1228725" y="1987877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1053</xdr:row>
      <xdr:rowOff>19050</xdr:rowOff>
    </xdr:from>
    <xdr:to>
      <xdr:col>2</xdr:col>
      <xdr:colOff>1733550</xdr:colOff>
      <xdr:row>1053</xdr:row>
      <xdr:rowOff>1666875</xdr:rowOff>
    </xdr:to>
    <xdr:pic>
      <xdr:nvPicPr>
        <xdr:cNvPr id="1053" name="Picture 1052"/>
        <xdr:cNvPicPr>
          <a:picLocks noChangeAspect="1" noChangeArrowheads="1"/>
        </xdr:cNvPicPr>
      </xdr:nvPicPr>
      <xdr:blipFill>
        <a:blip xmlns:r="http://schemas.openxmlformats.org/officeDocument/2006/relationships" r:embed="rId1052">
          <a:extLst>
            <a:ext uri="{28A0092B-C50C-407E-A947-70E740481C1C}">
              <a14:useLocalDpi xmlns:a14="http://schemas.microsoft.com/office/drawing/2010/main" val="0"/>
            </a:ext>
          </a:extLst>
        </a:blip>
        <a:srcRect/>
        <a:stretch>
          <a:fillRect/>
        </a:stretch>
      </xdr:blipFill>
      <xdr:spPr bwMode="auto">
        <a:xfrm>
          <a:off x="1228725" y="1989791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1054</xdr:row>
      <xdr:rowOff>19050</xdr:rowOff>
    </xdr:from>
    <xdr:to>
      <xdr:col>2</xdr:col>
      <xdr:colOff>1733550</xdr:colOff>
      <xdr:row>1054</xdr:row>
      <xdr:rowOff>1666875</xdr:rowOff>
    </xdr:to>
    <xdr:pic>
      <xdr:nvPicPr>
        <xdr:cNvPr id="1054" name="Picture 1053"/>
        <xdr:cNvPicPr>
          <a:picLocks noChangeAspect="1" noChangeArrowheads="1"/>
        </xdr:cNvPicPr>
      </xdr:nvPicPr>
      <xdr:blipFill>
        <a:blip xmlns:r="http://schemas.openxmlformats.org/officeDocument/2006/relationships" r:embed="rId1053">
          <a:extLst>
            <a:ext uri="{28A0092B-C50C-407E-A947-70E740481C1C}">
              <a14:useLocalDpi xmlns:a14="http://schemas.microsoft.com/office/drawing/2010/main" val="0"/>
            </a:ext>
          </a:extLst>
        </a:blip>
        <a:srcRect/>
        <a:stretch>
          <a:fillRect/>
        </a:stretch>
      </xdr:blipFill>
      <xdr:spPr bwMode="auto">
        <a:xfrm>
          <a:off x="1228725" y="1991706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1055</xdr:row>
      <xdr:rowOff>19050</xdr:rowOff>
    </xdr:from>
    <xdr:to>
      <xdr:col>2</xdr:col>
      <xdr:colOff>1733550</xdr:colOff>
      <xdr:row>1055</xdr:row>
      <xdr:rowOff>1666875</xdr:rowOff>
    </xdr:to>
    <xdr:pic>
      <xdr:nvPicPr>
        <xdr:cNvPr id="1055" name="Picture 1054"/>
        <xdr:cNvPicPr>
          <a:picLocks noChangeAspect="1" noChangeArrowheads="1"/>
        </xdr:cNvPicPr>
      </xdr:nvPicPr>
      <xdr:blipFill>
        <a:blip xmlns:r="http://schemas.openxmlformats.org/officeDocument/2006/relationships" r:embed="rId1054">
          <a:extLst>
            <a:ext uri="{28A0092B-C50C-407E-A947-70E740481C1C}">
              <a14:useLocalDpi xmlns:a14="http://schemas.microsoft.com/office/drawing/2010/main" val="0"/>
            </a:ext>
          </a:extLst>
        </a:blip>
        <a:srcRect/>
        <a:stretch>
          <a:fillRect/>
        </a:stretch>
      </xdr:blipFill>
      <xdr:spPr bwMode="auto">
        <a:xfrm>
          <a:off x="1228725" y="1993620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1056</xdr:row>
      <xdr:rowOff>19050</xdr:rowOff>
    </xdr:from>
    <xdr:to>
      <xdr:col>2</xdr:col>
      <xdr:colOff>1733550</xdr:colOff>
      <xdr:row>1056</xdr:row>
      <xdr:rowOff>1666875</xdr:rowOff>
    </xdr:to>
    <xdr:pic>
      <xdr:nvPicPr>
        <xdr:cNvPr id="1056" name="Picture 1055"/>
        <xdr:cNvPicPr>
          <a:picLocks noChangeAspect="1" noChangeArrowheads="1"/>
        </xdr:cNvPicPr>
      </xdr:nvPicPr>
      <xdr:blipFill>
        <a:blip xmlns:r="http://schemas.openxmlformats.org/officeDocument/2006/relationships" r:embed="rId1055">
          <a:extLst>
            <a:ext uri="{28A0092B-C50C-407E-A947-70E740481C1C}">
              <a14:useLocalDpi xmlns:a14="http://schemas.microsoft.com/office/drawing/2010/main" val="0"/>
            </a:ext>
          </a:extLst>
        </a:blip>
        <a:srcRect/>
        <a:stretch>
          <a:fillRect/>
        </a:stretch>
      </xdr:blipFill>
      <xdr:spPr bwMode="auto">
        <a:xfrm>
          <a:off x="1228725" y="1995535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1057</xdr:row>
      <xdr:rowOff>19050</xdr:rowOff>
    </xdr:from>
    <xdr:to>
      <xdr:col>2</xdr:col>
      <xdr:colOff>1733550</xdr:colOff>
      <xdr:row>1057</xdr:row>
      <xdr:rowOff>1666875</xdr:rowOff>
    </xdr:to>
    <xdr:pic>
      <xdr:nvPicPr>
        <xdr:cNvPr id="1057" name="Picture 1056"/>
        <xdr:cNvPicPr>
          <a:picLocks noChangeAspect="1" noChangeArrowheads="1"/>
        </xdr:cNvPicPr>
      </xdr:nvPicPr>
      <xdr:blipFill>
        <a:blip xmlns:r="http://schemas.openxmlformats.org/officeDocument/2006/relationships" r:embed="rId1056">
          <a:extLst>
            <a:ext uri="{28A0092B-C50C-407E-A947-70E740481C1C}">
              <a14:useLocalDpi xmlns:a14="http://schemas.microsoft.com/office/drawing/2010/main" val="0"/>
            </a:ext>
          </a:extLst>
        </a:blip>
        <a:srcRect/>
        <a:stretch>
          <a:fillRect/>
        </a:stretch>
      </xdr:blipFill>
      <xdr:spPr bwMode="auto">
        <a:xfrm>
          <a:off x="1228725" y="1997449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1058</xdr:row>
      <xdr:rowOff>19050</xdr:rowOff>
    </xdr:from>
    <xdr:to>
      <xdr:col>2</xdr:col>
      <xdr:colOff>1733550</xdr:colOff>
      <xdr:row>1058</xdr:row>
      <xdr:rowOff>1666875</xdr:rowOff>
    </xdr:to>
    <xdr:pic>
      <xdr:nvPicPr>
        <xdr:cNvPr id="1058" name="Picture 1057"/>
        <xdr:cNvPicPr>
          <a:picLocks noChangeAspect="1" noChangeArrowheads="1"/>
        </xdr:cNvPicPr>
      </xdr:nvPicPr>
      <xdr:blipFill>
        <a:blip xmlns:r="http://schemas.openxmlformats.org/officeDocument/2006/relationships" r:embed="rId1057">
          <a:extLst>
            <a:ext uri="{28A0092B-C50C-407E-A947-70E740481C1C}">
              <a14:useLocalDpi xmlns:a14="http://schemas.microsoft.com/office/drawing/2010/main" val="0"/>
            </a:ext>
          </a:extLst>
        </a:blip>
        <a:srcRect/>
        <a:stretch>
          <a:fillRect/>
        </a:stretch>
      </xdr:blipFill>
      <xdr:spPr bwMode="auto">
        <a:xfrm>
          <a:off x="1228725" y="1999364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1059</xdr:row>
      <xdr:rowOff>19050</xdr:rowOff>
    </xdr:from>
    <xdr:to>
      <xdr:col>2</xdr:col>
      <xdr:colOff>1733550</xdr:colOff>
      <xdr:row>1059</xdr:row>
      <xdr:rowOff>1666875</xdr:rowOff>
    </xdr:to>
    <xdr:pic>
      <xdr:nvPicPr>
        <xdr:cNvPr id="1059" name="Picture 1058"/>
        <xdr:cNvPicPr>
          <a:picLocks noChangeAspect="1" noChangeArrowheads="1"/>
        </xdr:cNvPicPr>
      </xdr:nvPicPr>
      <xdr:blipFill>
        <a:blip xmlns:r="http://schemas.openxmlformats.org/officeDocument/2006/relationships" r:embed="rId1058">
          <a:extLst>
            <a:ext uri="{28A0092B-C50C-407E-A947-70E740481C1C}">
              <a14:useLocalDpi xmlns:a14="http://schemas.microsoft.com/office/drawing/2010/main" val="0"/>
            </a:ext>
          </a:extLst>
        </a:blip>
        <a:srcRect/>
        <a:stretch>
          <a:fillRect/>
        </a:stretch>
      </xdr:blipFill>
      <xdr:spPr bwMode="auto">
        <a:xfrm>
          <a:off x="1228725" y="200127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1060</xdr:row>
      <xdr:rowOff>19050</xdr:rowOff>
    </xdr:from>
    <xdr:to>
      <xdr:col>2</xdr:col>
      <xdr:colOff>1733550</xdr:colOff>
      <xdr:row>1060</xdr:row>
      <xdr:rowOff>1666875</xdr:rowOff>
    </xdr:to>
    <xdr:pic>
      <xdr:nvPicPr>
        <xdr:cNvPr id="1060" name="Picture 1059"/>
        <xdr:cNvPicPr>
          <a:picLocks noChangeAspect="1" noChangeArrowheads="1"/>
        </xdr:cNvPicPr>
      </xdr:nvPicPr>
      <xdr:blipFill>
        <a:blip xmlns:r="http://schemas.openxmlformats.org/officeDocument/2006/relationships" r:embed="rId1059">
          <a:extLst>
            <a:ext uri="{28A0092B-C50C-407E-A947-70E740481C1C}">
              <a14:useLocalDpi xmlns:a14="http://schemas.microsoft.com/office/drawing/2010/main" val="0"/>
            </a:ext>
          </a:extLst>
        </a:blip>
        <a:srcRect/>
        <a:stretch>
          <a:fillRect/>
        </a:stretch>
      </xdr:blipFill>
      <xdr:spPr bwMode="auto">
        <a:xfrm>
          <a:off x="1228725" y="2003193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1061</xdr:row>
      <xdr:rowOff>19050</xdr:rowOff>
    </xdr:from>
    <xdr:to>
      <xdr:col>2</xdr:col>
      <xdr:colOff>1733550</xdr:colOff>
      <xdr:row>1061</xdr:row>
      <xdr:rowOff>1666875</xdr:rowOff>
    </xdr:to>
    <xdr:pic>
      <xdr:nvPicPr>
        <xdr:cNvPr id="1061" name="Picture 1060"/>
        <xdr:cNvPicPr>
          <a:picLocks noChangeAspect="1" noChangeArrowheads="1"/>
        </xdr:cNvPicPr>
      </xdr:nvPicPr>
      <xdr:blipFill>
        <a:blip xmlns:r="http://schemas.openxmlformats.org/officeDocument/2006/relationships" r:embed="rId1060">
          <a:extLst>
            <a:ext uri="{28A0092B-C50C-407E-A947-70E740481C1C}">
              <a14:useLocalDpi xmlns:a14="http://schemas.microsoft.com/office/drawing/2010/main" val="0"/>
            </a:ext>
          </a:extLst>
        </a:blip>
        <a:srcRect/>
        <a:stretch>
          <a:fillRect/>
        </a:stretch>
      </xdr:blipFill>
      <xdr:spPr bwMode="auto">
        <a:xfrm>
          <a:off x="1228725" y="2005107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1062</xdr:row>
      <xdr:rowOff>19050</xdr:rowOff>
    </xdr:from>
    <xdr:to>
      <xdr:col>2</xdr:col>
      <xdr:colOff>1733550</xdr:colOff>
      <xdr:row>1062</xdr:row>
      <xdr:rowOff>1666875</xdr:rowOff>
    </xdr:to>
    <xdr:pic>
      <xdr:nvPicPr>
        <xdr:cNvPr id="1062" name="Picture 1061"/>
        <xdr:cNvPicPr>
          <a:picLocks noChangeAspect="1" noChangeArrowheads="1"/>
        </xdr:cNvPicPr>
      </xdr:nvPicPr>
      <xdr:blipFill>
        <a:blip xmlns:r="http://schemas.openxmlformats.org/officeDocument/2006/relationships" r:embed="rId1061">
          <a:extLst>
            <a:ext uri="{28A0092B-C50C-407E-A947-70E740481C1C}">
              <a14:useLocalDpi xmlns:a14="http://schemas.microsoft.com/office/drawing/2010/main" val="0"/>
            </a:ext>
          </a:extLst>
        </a:blip>
        <a:srcRect/>
        <a:stretch>
          <a:fillRect/>
        </a:stretch>
      </xdr:blipFill>
      <xdr:spPr bwMode="auto">
        <a:xfrm>
          <a:off x="1228725" y="2007022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1063</xdr:row>
      <xdr:rowOff>19050</xdr:rowOff>
    </xdr:from>
    <xdr:to>
      <xdr:col>2</xdr:col>
      <xdr:colOff>1733550</xdr:colOff>
      <xdr:row>1063</xdr:row>
      <xdr:rowOff>1666875</xdr:rowOff>
    </xdr:to>
    <xdr:pic>
      <xdr:nvPicPr>
        <xdr:cNvPr id="1063" name="Picture 1062"/>
        <xdr:cNvPicPr>
          <a:picLocks noChangeAspect="1" noChangeArrowheads="1"/>
        </xdr:cNvPicPr>
      </xdr:nvPicPr>
      <xdr:blipFill>
        <a:blip xmlns:r="http://schemas.openxmlformats.org/officeDocument/2006/relationships" r:embed="rId1062">
          <a:extLst>
            <a:ext uri="{28A0092B-C50C-407E-A947-70E740481C1C}">
              <a14:useLocalDpi xmlns:a14="http://schemas.microsoft.com/office/drawing/2010/main" val="0"/>
            </a:ext>
          </a:extLst>
        </a:blip>
        <a:srcRect/>
        <a:stretch>
          <a:fillRect/>
        </a:stretch>
      </xdr:blipFill>
      <xdr:spPr bwMode="auto">
        <a:xfrm>
          <a:off x="1228725" y="200893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1064</xdr:row>
      <xdr:rowOff>19050</xdr:rowOff>
    </xdr:from>
    <xdr:to>
      <xdr:col>2</xdr:col>
      <xdr:colOff>1733550</xdr:colOff>
      <xdr:row>1064</xdr:row>
      <xdr:rowOff>1666875</xdr:rowOff>
    </xdr:to>
    <xdr:pic>
      <xdr:nvPicPr>
        <xdr:cNvPr id="1064" name="Picture 1063"/>
        <xdr:cNvPicPr>
          <a:picLocks noChangeAspect="1" noChangeArrowheads="1"/>
        </xdr:cNvPicPr>
      </xdr:nvPicPr>
      <xdr:blipFill>
        <a:blip xmlns:r="http://schemas.openxmlformats.org/officeDocument/2006/relationships" r:embed="rId1063">
          <a:extLst>
            <a:ext uri="{28A0092B-C50C-407E-A947-70E740481C1C}">
              <a14:useLocalDpi xmlns:a14="http://schemas.microsoft.com/office/drawing/2010/main" val="0"/>
            </a:ext>
          </a:extLst>
        </a:blip>
        <a:srcRect/>
        <a:stretch>
          <a:fillRect/>
        </a:stretch>
      </xdr:blipFill>
      <xdr:spPr bwMode="auto">
        <a:xfrm>
          <a:off x="1228725" y="2010851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1065</xdr:row>
      <xdr:rowOff>19050</xdr:rowOff>
    </xdr:from>
    <xdr:to>
      <xdr:col>2</xdr:col>
      <xdr:colOff>1733550</xdr:colOff>
      <xdr:row>1065</xdr:row>
      <xdr:rowOff>1666875</xdr:rowOff>
    </xdr:to>
    <xdr:pic>
      <xdr:nvPicPr>
        <xdr:cNvPr id="1065" name="Picture 1064"/>
        <xdr:cNvPicPr>
          <a:picLocks noChangeAspect="1" noChangeArrowheads="1"/>
        </xdr:cNvPicPr>
      </xdr:nvPicPr>
      <xdr:blipFill>
        <a:blip xmlns:r="http://schemas.openxmlformats.org/officeDocument/2006/relationships" r:embed="rId1064">
          <a:extLst>
            <a:ext uri="{28A0092B-C50C-407E-A947-70E740481C1C}">
              <a14:useLocalDpi xmlns:a14="http://schemas.microsoft.com/office/drawing/2010/main" val="0"/>
            </a:ext>
          </a:extLst>
        </a:blip>
        <a:srcRect/>
        <a:stretch>
          <a:fillRect/>
        </a:stretch>
      </xdr:blipFill>
      <xdr:spPr bwMode="auto">
        <a:xfrm>
          <a:off x="1228725" y="2012765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1066</xdr:row>
      <xdr:rowOff>19050</xdr:rowOff>
    </xdr:from>
    <xdr:to>
      <xdr:col>2</xdr:col>
      <xdr:colOff>1733550</xdr:colOff>
      <xdr:row>1066</xdr:row>
      <xdr:rowOff>1666875</xdr:rowOff>
    </xdr:to>
    <xdr:pic>
      <xdr:nvPicPr>
        <xdr:cNvPr id="1066" name="Picture 1065"/>
        <xdr:cNvPicPr>
          <a:picLocks noChangeAspect="1" noChangeArrowheads="1"/>
        </xdr:cNvPicPr>
      </xdr:nvPicPr>
      <xdr:blipFill>
        <a:blip xmlns:r="http://schemas.openxmlformats.org/officeDocument/2006/relationships" r:embed="rId1065">
          <a:extLst>
            <a:ext uri="{28A0092B-C50C-407E-A947-70E740481C1C}">
              <a14:useLocalDpi xmlns:a14="http://schemas.microsoft.com/office/drawing/2010/main" val="0"/>
            </a:ext>
          </a:extLst>
        </a:blip>
        <a:srcRect/>
        <a:stretch>
          <a:fillRect/>
        </a:stretch>
      </xdr:blipFill>
      <xdr:spPr bwMode="auto">
        <a:xfrm>
          <a:off x="1228725" y="2014680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1067</xdr:row>
      <xdr:rowOff>19050</xdr:rowOff>
    </xdr:from>
    <xdr:to>
      <xdr:col>2</xdr:col>
      <xdr:colOff>1733550</xdr:colOff>
      <xdr:row>1067</xdr:row>
      <xdr:rowOff>1666875</xdr:rowOff>
    </xdr:to>
    <xdr:pic>
      <xdr:nvPicPr>
        <xdr:cNvPr id="1067" name="Picture 1066"/>
        <xdr:cNvPicPr>
          <a:picLocks noChangeAspect="1" noChangeArrowheads="1"/>
        </xdr:cNvPicPr>
      </xdr:nvPicPr>
      <xdr:blipFill>
        <a:blip xmlns:r="http://schemas.openxmlformats.org/officeDocument/2006/relationships" r:embed="rId1066">
          <a:extLst>
            <a:ext uri="{28A0092B-C50C-407E-A947-70E740481C1C}">
              <a14:useLocalDpi xmlns:a14="http://schemas.microsoft.com/office/drawing/2010/main" val="0"/>
            </a:ext>
          </a:extLst>
        </a:blip>
        <a:srcRect/>
        <a:stretch>
          <a:fillRect/>
        </a:stretch>
      </xdr:blipFill>
      <xdr:spPr bwMode="auto">
        <a:xfrm>
          <a:off x="1228725" y="2016594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1068</xdr:row>
      <xdr:rowOff>19050</xdr:rowOff>
    </xdr:from>
    <xdr:to>
      <xdr:col>2</xdr:col>
      <xdr:colOff>1733550</xdr:colOff>
      <xdr:row>1068</xdr:row>
      <xdr:rowOff>1666875</xdr:rowOff>
    </xdr:to>
    <xdr:pic>
      <xdr:nvPicPr>
        <xdr:cNvPr id="1068" name="Picture 1067"/>
        <xdr:cNvPicPr>
          <a:picLocks noChangeAspect="1" noChangeArrowheads="1"/>
        </xdr:cNvPicPr>
      </xdr:nvPicPr>
      <xdr:blipFill>
        <a:blip xmlns:r="http://schemas.openxmlformats.org/officeDocument/2006/relationships" r:embed="rId1067">
          <a:extLst>
            <a:ext uri="{28A0092B-C50C-407E-A947-70E740481C1C}">
              <a14:useLocalDpi xmlns:a14="http://schemas.microsoft.com/office/drawing/2010/main" val="0"/>
            </a:ext>
          </a:extLst>
        </a:blip>
        <a:srcRect/>
        <a:stretch>
          <a:fillRect/>
        </a:stretch>
      </xdr:blipFill>
      <xdr:spPr bwMode="auto">
        <a:xfrm>
          <a:off x="1228725" y="2018509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1069</xdr:row>
      <xdr:rowOff>19050</xdr:rowOff>
    </xdr:from>
    <xdr:to>
      <xdr:col>2</xdr:col>
      <xdr:colOff>1733550</xdr:colOff>
      <xdr:row>1069</xdr:row>
      <xdr:rowOff>1666875</xdr:rowOff>
    </xdr:to>
    <xdr:pic>
      <xdr:nvPicPr>
        <xdr:cNvPr id="1069" name="Picture 1068"/>
        <xdr:cNvPicPr>
          <a:picLocks noChangeAspect="1" noChangeArrowheads="1"/>
        </xdr:cNvPicPr>
      </xdr:nvPicPr>
      <xdr:blipFill>
        <a:blip xmlns:r="http://schemas.openxmlformats.org/officeDocument/2006/relationships" r:embed="rId1068">
          <a:extLst>
            <a:ext uri="{28A0092B-C50C-407E-A947-70E740481C1C}">
              <a14:useLocalDpi xmlns:a14="http://schemas.microsoft.com/office/drawing/2010/main" val="0"/>
            </a:ext>
          </a:extLst>
        </a:blip>
        <a:srcRect/>
        <a:stretch>
          <a:fillRect/>
        </a:stretch>
      </xdr:blipFill>
      <xdr:spPr bwMode="auto">
        <a:xfrm>
          <a:off x="1228725" y="2020423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1070</xdr:row>
      <xdr:rowOff>19050</xdr:rowOff>
    </xdr:from>
    <xdr:to>
      <xdr:col>2</xdr:col>
      <xdr:colOff>1733550</xdr:colOff>
      <xdr:row>1070</xdr:row>
      <xdr:rowOff>1666875</xdr:rowOff>
    </xdr:to>
    <xdr:pic>
      <xdr:nvPicPr>
        <xdr:cNvPr id="1070" name="Picture 1069"/>
        <xdr:cNvPicPr>
          <a:picLocks noChangeAspect="1" noChangeArrowheads="1"/>
        </xdr:cNvPicPr>
      </xdr:nvPicPr>
      <xdr:blipFill>
        <a:blip xmlns:r="http://schemas.openxmlformats.org/officeDocument/2006/relationships" r:embed="rId1069">
          <a:extLst>
            <a:ext uri="{28A0092B-C50C-407E-A947-70E740481C1C}">
              <a14:useLocalDpi xmlns:a14="http://schemas.microsoft.com/office/drawing/2010/main" val="0"/>
            </a:ext>
          </a:extLst>
        </a:blip>
        <a:srcRect/>
        <a:stretch>
          <a:fillRect/>
        </a:stretch>
      </xdr:blipFill>
      <xdr:spPr bwMode="auto">
        <a:xfrm>
          <a:off x="1228725" y="2022338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1071</xdr:row>
      <xdr:rowOff>19050</xdr:rowOff>
    </xdr:from>
    <xdr:to>
      <xdr:col>2</xdr:col>
      <xdr:colOff>1733550</xdr:colOff>
      <xdr:row>1071</xdr:row>
      <xdr:rowOff>1666875</xdr:rowOff>
    </xdr:to>
    <xdr:pic>
      <xdr:nvPicPr>
        <xdr:cNvPr id="1071" name="Picture 1070"/>
        <xdr:cNvPicPr>
          <a:picLocks noChangeAspect="1" noChangeArrowheads="1"/>
        </xdr:cNvPicPr>
      </xdr:nvPicPr>
      <xdr:blipFill>
        <a:blip xmlns:r="http://schemas.openxmlformats.org/officeDocument/2006/relationships" r:embed="rId1070">
          <a:extLst>
            <a:ext uri="{28A0092B-C50C-407E-A947-70E740481C1C}">
              <a14:useLocalDpi xmlns:a14="http://schemas.microsoft.com/office/drawing/2010/main" val="0"/>
            </a:ext>
          </a:extLst>
        </a:blip>
        <a:srcRect/>
        <a:stretch>
          <a:fillRect/>
        </a:stretch>
      </xdr:blipFill>
      <xdr:spPr bwMode="auto">
        <a:xfrm>
          <a:off x="1228725" y="2024253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1072</xdr:row>
      <xdr:rowOff>19050</xdr:rowOff>
    </xdr:from>
    <xdr:to>
      <xdr:col>2</xdr:col>
      <xdr:colOff>1733550</xdr:colOff>
      <xdr:row>1072</xdr:row>
      <xdr:rowOff>1666875</xdr:rowOff>
    </xdr:to>
    <xdr:pic>
      <xdr:nvPicPr>
        <xdr:cNvPr id="1072" name="Picture 1071"/>
        <xdr:cNvPicPr>
          <a:picLocks noChangeAspect="1" noChangeArrowheads="1"/>
        </xdr:cNvPicPr>
      </xdr:nvPicPr>
      <xdr:blipFill>
        <a:blip xmlns:r="http://schemas.openxmlformats.org/officeDocument/2006/relationships" r:embed="rId1071">
          <a:extLst>
            <a:ext uri="{28A0092B-C50C-407E-A947-70E740481C1C}">
              <a14:useLocalDpi xmlns:a14="http://schemas.microsoft.com/office/drawing/2010/main" val="0"/>
            </a:ext>
          </a:extLst>
        </a:blip>
        <a:srcRect/>
        <a:stretch>
          <a:fillRect/>
        </a:stretch>
      </xdr:blipFill>
      <xdr:spPr bwMode="auto">
        <a:xfrm>
          <a:off x="1228725" y="2026167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1073</xdr:row>
      <xdr:rowOff>19050</xdr:rowOff>
    </xdr:from>
    <xdr:to>
      <xdr:col>2</xdr:col>
      <xdr:colOff>1733550</xdr:colOff>
      <xdr:row>1073</xdr:row>
      <xdr:rowOff>1666875</xdr:rowOff>
    </xdr:to>
    <xdr:pic>
      <xdr:nvPicPr>
        <xdr:cNvPr id="1073" name="Picture 1072"/>
        <xdr:cNvPicPr>
          <a:picLocks noChangeAspect="1" noChangeArrowheads="1"/>
        </xdr:cNvPicPr>
      </xdr:nvPicPr>
      <xdr:blipFill>
        <a:blip xmlns:r="http://schemas.openxmlformats.org/officeDocument/2006/relationships" r:embed="rId1072">
          <a:extLst>
            <a:ext uri="{28A0092B-C50C-407E-A947-70E740481C1C}">
              <a14:useLocalDpi xmlns:a14="http://schemas.microsoft.com/office/drawing/2010/main" val="0"/>
            </a:ext>
          </a:extLst>
        </a:blip>
        <a:srcRect/>
        <a:stretch>
          <a:fillRect/>
        </a:stretch>
      </xdr:blipFill>
      <xdr:spPr bwMode="auto">
        <a:xfrm>
          <a:off x="1228725" y="2028082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1074</xdr:row>
      <xdr:rowOff>19050</xdr:rowOff>
    </xdr:from>
    <xdr:to>
      <xdr:col>2</xdr:col>
      <xdr:colOff>1733550</xdr:colOff>
      <xdr:row>1074</xdr:row>
      <xdr:rowOff>1666875</xdr:rowOff>
    </xdr:to>
    <xdr:pic>
      <xdr:nvPicPr>
        <xdr:cNvPr id="1074" name="Picture 1073"/>
        <xdr:cNvPicPr>
          <a:picLocks noChangeAspect="1" noChangeArrowheads="1"/>
        </xdr:cNvPicPr>
      </xdr:nvPicPr>
      <xdr:blipFill>
        <a:blip xmlns:r="http://schemas.openxmlformats.org/officeDocument/2006/relationships" r:embed="rId1073">
          <a:extLst>
            <a:ext uri="{28A0092B-C50C-407E-A947-70E740481C1C}">
              <a14:useLocalDpi xmlns:a14="http://schemas.microsoft.com/office/drawing/2010/main" val="0"/>
            </a:ext>
          </a:extLst>
        </a:blip>
        <a:srcRect/>
        <a:stretch>
          <a:fillRect/>
        </a:stretch>
      </xdr:blipFill>
      <xdr:spPr bwMode="auto">
        <a:xfrm>
          <a:off x="1228725" y="2029996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1075</xdr:row>
      <xdr:rowOff>19050</xdr:rowOff>
    </xdr:from>
    <xdr:to>
      <xdr:col>2</xdr:col>
      <xdr:colOff>1733550</xdr:colOff>
      <xdr:row>1075</xdr:row>
      <xdr:rowOff>1666875</xdr:rowOff>
    </xdr:to>
    <xdr:pic>
      <xdr:nvPicPr>
        <xdr:cNvPr id="1075" name="Picture 1074"/>
        <xdr:cNvPicPr>
          <a:picLocks noChangeAspect="1" noChangeArrowheads="1"/>
        </xdr:cNvPicPr>
      </xdr:nvPicPr>
      <xdr:blipFill>
        <a:blip xmlns:r="http://schemas.openxmlformats.org/officeDocument/2006/relationships" r:embed="rId1074">
          <a:extLst>
            <a:ext uri="{28A0092B-C50C-407E-A947-70E740481C1C}">
              <a14:useLocalDpi xmlns:a14="http://schemas.microsoft.com/office/drawing/2010/main" val="0"/>
            </a:ext>
          </a:extLst>
        </a:blip>
        <a:srcRect/>
        <a:stretch>
          <a:fillRect/>
        </a:stretch>
      </xdr:blipFill>
      <xdr:spPr bwMode="auto">
        <a:xfrm>
          <a:off x="1228725" y="2031911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1076</xdr:row>
      <xdr:rowOff>19050</xdr:rowOff>
    </xdr:from>
    <xdr:to>
      <xdr:col>2</xdr:col>
      <xdr:colOff>1733550</xdr:colOff>
      <xdr:row>1076</xdr:row>
      <xdr:rowOff>1666875</xdr:rowOff>
    </xdr:to>
    <xdr:pic>
      <xdr:nvPicPr>
        <xdr:cNvPr id="1076" name="Picture 1075"/>
        <xdr:cNvPicPr>
          <a:picLocks noChangeAspect="1" noChangeArrowheads="1"/>
        </xdr:cNvPicPr>
      </xdr:nvPicPr>
      <xdr:blipFill>
        <a:blip xmlns:r="http://schemas.openxmlformats.org/officeDocument/2006/relationships" r:embed="rId1075">
          <a:extLst>
            <a:ext uri="{28A0092B-C50C-407E-A947-70E740481C1C}">
              <a14:useLocalDpi xmlns:a14="http://schemas.microsoft.com/office/drawing/2010/main" val="0"/>
            </a:ext>
          </a:extLst>
        </a:blip>
        <a:srcRect/>
        <a:stretch>
          <a:fillRect/>
        </a:stretch>
      </xdr:blipFill>
      <xdr:spPr bwMode="auto">
        <a:xfrm>
          <a:off x="1228725" y="2033825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1077</xdr:row>
      <xdr:rowOff>19050</xdr:rowOff>
    </xdr:from>
    <xdr:to>
      <xdr:col>2</xdr:col>
      <xdr:colOff>1733550</xdr:colOff>
      <xdr:row>1077</xdr:row>
      <xdr:rowOff>1666875</xdr:rowOff>
    </xdr:to>
    <xdr:pic>
      <xdr:nvPicPr>
        <xdr:cNvPr id="1077" name="Picture 1076"/>
        <xdr:cNvPicPr>
          <a:picLocks noChangeAspect="1" noChangeArrowheads="1"/>
        </xdr:cNvPicPr>
      </xdr:nvPicPr>
      <xdr:blipFill>
        <a:blip xmlns:r="http://schemas.openxmlformats.org/officeDocument/2006/relationships" r:embed="rId1076">
          <a:extLst>
            <a:ext uri="{28A0092B-C50C-407E-A947-70E740481C1C}">
              <a14:useLocalDpi xmlns:a14="http://schemas.microsoft.com/office/drawing/2010/main" val="0"/>
            </a:ext>
          </a:extLst>
        </a:blip>
        <a:srcRect/>
        <a:stretch>
          <a:fillRect/>
        </a:stretch>
      </xdr:blipFill>
      <xdr:spPr bwMode="auto">
        <a:xfrm>
          <a:off x="1228725" y="2035740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1078</xdr:row>
      <xdr:rowOff>19050</xdr:rowOff>
    </xdr:from>
    <xdr:to>
      <xdr:col>2</xdr:col>
      <xdr:colOff>1733550</xdr:colOff>
      <xdr:row>1078</xdr:row>
      <xdr:rowOff>1666875</xdr:rowOff>
    </xdr:to>
    <xdr:pic>
      <xdr:nvPicPr>
        <xdr:cNvPr id="1078" name="Picture 1077"/>
        <xdr:cNvPicPr>
          <a:picLocks noChangeAspect="1" noChangeArrowheads="1"/>
        </xdr:cNvPicPr>
      </xdr:nvPicPr>
      <xdr:blipFill>
        <a:blip xmlns:r="http://schemas.openxmlformats.org/officeDocument/2006/relationships" r:embed="rId1077">
          <a:extLst>
            <a:ext uri="{28A0092B-C50C-407E-A947-70E740481C1C}">
              <a14:useLocalDpi xmlns:a14="http://schemas.microsoft.com/office/drawing/2010/main" val="0"/>
            </a:ext>
          </a:extLst>
        </a:blip>
        <a:srcRect/>
        <a:stretch>
          <a:fillRect/>
        </a:stretch>
      </xdr:blipFill>
      <xdr:spPr bwMode="auto">
        <a:xfrm>
          <a:off x="1228725" y="2037654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1079</xdr:row>
      <xdr:rowOff>19050</xdr:rowOff>
    </xdr:from>
    <xdr:to>
      <xdr:col>2</xdr:col>
      <xdr:colOff>1733550</xdr:colOff>
      <xdr:row>1079</xdr:row>
      <xdr:rowOff>1666875</xdr:rowOff>
    </xdr:to>
    <xdr:pic>
      <xdr:nvPicPr>
        <xdr:cNvPr id="1079" name="Picture 1078"/>
        <xdr:cNvPicPr>
          <a:picLocks noChangeAspect="1" noChangeArrowheads="1"/>
        </xdr:cNvPicPr>
      </xdr:nvPicPr>
      <xdr:blipFill>
        <a:blip xmlns:r="http://schemas.openxmlformats.org/officeDocument/2006/relationships" r:embed="rId1078">
          <a:extLst>
            <a:ext uri="{28A0092B-C50C-407E-A947-70E740481C1C}">
              <a14:useLocalDpi xmlns:a14="http://schemas.microsoft.com/office/drawing/2010/main" val="0"/>
            </a:ext>
          </a:extLst>
        </a:blip>
        <a:srcRect/>
        <a:stretch>
          <a:fillRect/>
        </a:stretch>
      </xdr:blipFill>
      <xdr:spPr bwMode="auto">
        <a:xfrm>
          <a:off x="1228725" y="2039569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1080</xdr:row>
      <xdr:rowOff>19050</xdr:rowOff>
    </xdr:from>
    <xdr:to>
      <xdr:col>2</xdr:col>
      <xdr:colOff>1733550</xdr:colOff>
      <xdr:row>1080</xdr:row>
      <xdr:rowOff>1666875</xdr:rowOff>
    </xdr:to>
    <xdr:pic>
      <xdr:nvPicPr>
        <xdr:cNvPr id="1080" name="Picture 1079"/>
        <xdr:cNvPicPr>
          <a:picLocks noChangeAspect="1" noChangeArrowheads="1"/>
        </xdr:cNvPicPr>
      </xdr:nvPicPr>
      <xdr:blipFill>
        <a:blip xmlns:r="http://schemas.openxmlformats.org/officeDocument/2006/relationships" r:embed="rId1079">
          <a:extLst>
            <a:ext uri="{28A0092B-C50C-407E-A947-70E740481C1C}">
              <a14:useLocalDpi xmlns:a14="http://schemas.microsoft.com/office/drawing/2010/main" val="0"/>
            </a:ext>
          </a:extLst>
        </a:blip>
        <a:srcRect/>
        <a:stretch>
          <a:fillRect/>
        </a:stretch>
      </xdr:blipFill>
      <xdr:spPr bwMode="auto">
        <a:xfrm>
          <a:off x="1228725" y="2041483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1081</xdr:row>
      <xdr:rowOff>19050</xdr:rowOff>
    </xdr:from>
    <xdr:to>
      <xdr:col>2</xdr:col>
      <xdr:colOff>1733550</xdr:colOff>
      <xdr:row>1081</xdr:row>
      <xdr:rowOff>1666875</xdr:rowOff>
    </xdr:to>
    <xdr:pic>
      <xdr:nvPicPr>
        <xdr:cNvPr id="1081" name="Picture 1080"/>
        <xdr:cNvPicPr>
          <a:picLocks noChangeAspect="1" noChangeArrowheads="1"/>
        </xdr:cNvPicPr>
      </xdr:nvPicPr>
      <xdr:blipFill>
        <a:blip xmlns:r="http://schemas.openxmlformats.org/officeDocument/2006/relationships" r:embed="rId1080">
          <a:extLst>
            <a:ext uri="{28A0092B-C50C-407E-A947-70E740481C1C}">
              <a14:useLocalDpi xmlns:a14="http://schemas.microsoft.com/office/drawing/2010/main" val="0"/>
            </a:ext>
          </a:extLst>
        </a:blip>
        <a:srcRect/>
        <a:stretch>
          <a:fillRect/>
        </a:stretch>
      </xdr:blipFill>
      <xdr:spPr bwMode="auto">
        <a:xfrm>
          <a:off x="1228725" y="2043398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1082</xdr:row>
      <xdr:rowOff>19050</xdr:rowOff>
    </xdr:from>
    <xdr:to>
      <xdr:col>2</xdr:col>
      <xdr:colOff>1733550</xdr:colOff>
      <xdr:row>1082</xdr:row>
      <xdr:rowOff>1666875</xdr:rowOff>
    </xdr:to>
    <xdr:pic>
      <xdr:nvPicPr>
        <xdr:cNvPr id="1082" name="Picture 1081"/>
        <xdr:cNvPicPr>
          <a:picLocks noChangeAspect="1" noChangeArrowheads="1"/>
        </xdr:cNvPicPr>
      </xdr:nvPicPr>
      <xdr:blipFill>
        <a:blip xmlns:r="http://schemas.openxmlformats.org/officeDocument/2006/relationships" r:embed="rId1081">
          <a:extLst>
            <a:ext uri="{28A0092B-C50C-407E-A947-70E740481C1C}">
              <a14:useLocalDpi xmlns:a14="http://schemas.microsoft.com/office/drawing/2010/main" val="0"/>
            </a:ext>
          </a:extLst>
        </a:blip>
        <a:srcRect/>
        <a:stretch>
          <a:fillRect/>
        </a:stretch>
      </xdr:blipFill>
      <xdr:spPr bwMode="auto">
        <a:xfrm>
          <a:off x="1228725" y="2045312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1083</xdr:row>
      <xdr:rowOff>19050</xdr:rowOff>
    </xdr:from>
    <xdr:to>
      <xdr:col>2</xdr:col>
      <xdr:colOff>1733550</xdr:colOff>
      <xdr:row>1083</xdr:row>
      <xdr:rowOff>1666875</xdr:rowOff>
    </xdr:to>
    <xdr:pic>
      <xdr:nvPicPr>
        <xdr:cNvPr id="1083" name="Picture 1082"/>
        <xdr:cNvPicPr>
          <a:picLocks noChangeAspect="1" noChangeArrowheads="1"/>
        </xdr:cNvPicPr>
      </xdr:nvPicPr>
      <xdr:blipFill>
        <a:blip xmlns:r="http://schemas.openxmlformats.org/officeDocument/2006/relationships" r:embed="rId1082">
          <a:extLst>
            <a:ext uri="{28A0092B-C50C-407E-A947-70E740481C1C}">
              <a14:useLocalDpi xmlns:a14="http://schemas.microsoft.com/office/drawing/2010/main" val="0"/>
            </a:ext>
          </a:extLst>
        </a:blip>
        <a:srcRect/>
        <a:stretch>
          <a:fillRect/>
        </a:stretch>
      </xdr:blipFill>
      <xdr:spPr bwMode="auto">
        <a:xfrm>
          <a:off x="1228725" y="2047227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1084</xdr:row>
      <xdr:rowOff>19050</xdr:rowOff>
    </xdr:from>
    <xdr:to>
      <xdr:col>2</xdr:col>
      <xdr:colOff>1733550</xdr:colOff>
      <xdr:row>1084</xdr:row>
      <xdr:rowOff>1666875</xdr:rowOff>
    </xdr:to>
    <xdr:pic>
      <xdr:nvPicPr>
        <xdr:cNvPr id="1084" name="Picture 1083"/>
        <xdr:cNvPicPr>
          <a:picLocks noChangeAspect="1" noChangeArrowheads="1"/>
        </xdr:cNvPicPr>
      </xdr:nvPicPr>
      <xdr:blipFill>
        <a:blip xmlns:r="http://schemas.openxmlformats.org/officeDocument/2006/relationships" r:embed="rId1083">
          <a:extLst>
            <a:ext uri="{28A0092B-C50C-407E-A947-70E740481C1C}">
              <a14:useLocalDpi xmlns:a14="http://schemas.microsoft.com/office/drawing/2010/main" val="0"/>
            </a:ext>
          </a:extLst>
        </a:blip>
        <a:srcRect/>
        <a:stretch>
          <a:fillRect/>
        </a:stretch>
      </xdr:blipFill>
      <xdr:spPr bwMode="auto">
        <a:xfrm>
          <a:off x="1228725" y="2049141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1085</xdr:row>
      <xdr:rowOff>19050</xdr:rowOff>
    </xdr:from>
    <xdr:to>
      <xdr:col>2</xdr:col>
      <xdr:colOff>1733550</xdr:colOff>
      <xdr:row>1085</xdr:row>
      <xdr:rowOff>1666875</xdr:rowOff>
    </xdr:to>
    <xdr:pic>
      <xdr:nvPicPr>
        <xdr:cNvPr id="1085" name="Picture 1084"/>
        <xdr:cNvPicPr>
          <a:picLocks noChangeAspect="1" noChangeArrowheads="1"/>
        </xdr:cNvPicPr>
      </xdr:nvPicPr>
      <xdr:blipFill>
        <a:blip xmlns:r="http://schemas.openxmlformats.org/officeDocument/2006/relationships" r:embed="rId1084">
          <a:extLst>
            <a:ext uri="{28A0092B-C50C-407E-A947-70E740481C1C}">
              <a14:useLocalDpi xmlns:a14="http://schemas.microsoft.com/office/drawing/2010/main" val="0"/>
            </a:ext>
          </a:extLst>
        </a:blip>
        <a:srcRect/>
        <a:stretch>
          <a:fillRect/>
        </a:stretch>
      </xdr:blipFill>
      <xdr:spPr bwMode="auto">
        <a:xfrm>
          <a:off x="1228725" y="2051056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1086</xdr:row>
      <xdr:rowOff>19050</xdr:rowOff>
    </xdr:from>
    <xdr:to>
      <xdr:col>2</xdr:col>
      <xdr:colOff>1733550</xdr:colOff>
      <xdr:row>1086</xdr:row>
      <xdr:rowOff>1666875</xdr:rowOff>
    </xdr:to>
    <xdr:pic>
      <xdr:nvPicPr>
        <xdr:cNvPr id="1086" name="Picture 1085"/>
        <xdr:cNvPicPr>
          <a:picLocks noChangeAspect="1" noChangeArrowheads="1"/>
        </xdr:cNvPicPr>
      </xdr:nvPicPr>
      <xdr:blipFill>
        <a:blip xmlns:r="http://schemas.openxmlformats.org/officeDocument/2006/relationships" r:embed="rId1085">
          <a:extLst>
            <a:ext uri="{28A0092B-C50C-407E-A947-70E740481C1C}">
              <a14:useLocalDpi xmlns:a14="http://schemas.microsoft.com/office/drawing/2010/main" val="0"/>
            </a:ext>
          </a:extLst>
        </a:blip>
        <a:srcRect/>
        <a:stretch>
          <a:fillRect/>
        </a:stretch>
      </xdr:blipFill>
      <xdr:spPr bwMode="auto">
        <a:xfrm>
          <a:off x="1228725" y="2052970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1087</xdr:row>
      <xdr:rowOff>19050</xdr:rowOff>
    </xdr:from>
    <xdr:to>
      <xdr:col>2</xdr:col>
      <xdr:colOff>1733550</xdr:colOff>
      <xdr:row>1087</xdr:row>
      <xdr:rowOff>1666875</xdr:rowOff>
    </xdr:to>
    <xdr:pic>
      <xdr:nvPicPr>
        <xdr:cNvPr id="1087" name="Picture 1086"/>
        <xdr:cNvPicPr>
          <a:picLocks noChangeAspect="1" noChangeArrowheads="1"/>
        </xdr:cNvPicPr>
      </xdr:nvPicPr>
      <xdr:blipFill>
        <a:blip xmlns:r="http://schemas.openxmlformats.org/officeDocument/2006/relationships" r:embed="rId1086">
          <a:extLst>
            <a:ext uri="{28A0092B-C50C-407E-A947-70E740481C1C}">
              <a14:useLocalDpi xmlns:a14="http://schemas.microsoft.com/office/drawing/2010/main" val="0"/>
            </a:ext>
          </a:extLst>
        </a:blip>
        <a:srcRect/>
        <a:stretch>
          <a:fillRect/>
        </a:stretch>
      </xdr:blipFill>
      <xdr:spPr bwMode="auto">
        <a:xfrm>
          <a:off x="1228725" y="2054885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1088</xdr:row>
      <xdr:rowOff>19050</xdr:rowOff>
    </xdr:from>
    <xdr:to>
      <xdr:col>2</xdr:col>
      <xdr:colOff>1733550</xdr:colOff>
      <xdr:row>1088</xdr:row>
      <xdr:rowOff>1666875</xdr:rowOff>
    </xdr:to>
    <xdr:pic>
      <xdr:nvPicPr>
        <xdr:cNvPr id="1088" name="Picture 1087"/>
        <xdr:cNvPicPr>
          <a:picLocks noChangeAspect="1" noChangeArrowheads="1"/>
        </xdr:cNvPicPr>
      </xdr:nvPicPr>
      <xdr:blipFill>
        <a:blip xmlns:r="http://schemas.openxmlformats.org/officeDocument/2006/relationships" r:embed="rId1087">
          <a:extLst>
            <a:ext uri="{28A0092B-C50C-407E-A947-70E740481C1C}">
              <a14:useLocalDpi xmlns:a14="http://schemas.microsoft.com/office/drawing/2010/main" val="0"/>
            </a:ext>
          </a:extLst>
        </a:blip>
        <a:srcRect/>
        <a:stretch>
          <a:fillRect/>
        </a:stretch>
      </xdr:blipFill>
      <xdr:spPr bwMode="auto">
        <a:xfrm>
          <a:off x="1228725" y="2056799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1089</xdr:row>
      <xdr:rowOff>19050</xdr:rowOff>
    </xdr:from>
    <xdr:to>
      <xdr:col>2</xdr:col>
      <xdr:colOff>1733550</xdr:colOff>
      <xdr:row>1089</xdr:row>
      <xdr:rowOff>1666875</xdr:rowOff>
    </xdr:to>
    <xdr:pic>
      <xdr:nvPicPr>
        <xdr:cNvPr id="1089" name="Picture 1088"/>
        <xdr:cNvPicPr>
          <a:picLocks noChangeAspect="1" noChangeArrowheads="1"/>
        </xdr:cNvPicPr>
      </xdr:nvPicPr>
      <xdr:blipFill>
        <a:blip xmlns:r="http://schemas.openxmlformats.org/officeDocument/2006/relationships" r:embed="rId1088">
          <a:extLst>
            <a:ext uri="{28A0092B-C50C-407E-A947-70E740481C1C}">
              <a14:useLocalDpi xmlns:a14="http://schemas.microsoft.com/office/drawing/2010/main" val="0"/>
            </a:ext>
          </a:extLst>
        </a:blip>
        <a:srcRect/>
        <a:stretch>
          <a:fillRect/>
        </a:stretch>
      </xdr:blipFill>
      <xdr:spPr bwMode="auto">
        <a:xfrm>
          <a:off x="1228725" y="2058714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1090</xdr:row>
      <xdr:rowOff>19050</xdr:rowOff>
    </xdr:from>
    <xdr:to>
      <xdr:col>2</xdr:col>
      <xdr:colOff>1733550</xdr:colOff>
      <xdr:row>1090</xdr:row>
      <xdr:rowOff>1666875</xdr:rowOff>
    </xdr:to>
    <xdr:pic>
      <xdr:nvPicPr>
        <xdr:cNvPr id="1090" name="Picture 1089"/>
        <xdr:cNvPicPr>
          <a:picLocks noChangeAspect="1" noChangeArrowheads="1"/>
        </xdr:cNvPicPr>
      </xdr:nvPicPr>
      <xdr:blipFill>
        <a:blip xmlns:r="http://schemas.openxmlformats.org/officeDocument/2006/relationships" r:embed="rId1089">
          <a:extLst>
            <a:ext uri="{28A0092B-C50C-407E-A947-70E740481C1C}">
              <a14:useLocalDpi xmlns:a14="http://schemas.microsoft.com/office/drawing/2010/main" val="0"/>
            </a:ext>
          </a:extLst>
        </a:blip>
        <a:srcRect/>
        <a:stretch>
          <a:fillRect/>
        </a:stretch>
      </xdr:blipFill>
      <xdr:spPr bwMode="auto">
        <a:xfrm>
          <a:off x="1228725" y="2060628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1091</xdr:row>
      <xdr:rowOff>19050</xdr:rowOff>
    </xdr:from>
    <xdr:to>
      <xdr:col>2</xdr:col>
      <xdr:colOff>1733550</xdr:colOff>
      <xdr:row>1091</xdr:row>
      <xdr:rowOff>1666875</xdr:rowOff>
    </xdr:to>
    <xdr:pic>
      <xdr:nvPicPr>
        <xdr:cNvPr id="1091" name="Picture 1090"/>
        <xdr:cNvPicPr>
          <a:picLocks noChangeAspect="1" noChangeArrowheads="1"/>
        </xdr:cNvPicPr>
      </xdr:nvPicPr>
      <xdr:blipFill>
        <a:blip xmlns:r="http://schemas.openxmlformats.org/officeDocument/2006/relationships" r:embed="rId1090">
          <a:extLst>
            <a:ext uri="{28A0092B-C50C-407E-A947-70E740481C1C}">
              <a14:useLocalDpi xmlns:a14="http://schemas.microsoft.com/office/drawing/2010/main" val="0"/>
            </a:ext>
          </a:extLst>
        </a:blip>
        <a:srcRect/>
        <a:stretch>
          <a:fillRect/>
        </a:stretch>
      </xdr:blipFill>
      <xdr:spPr bwMode="auto">
        <a:xfrm>
          <a:off x="1228725" y="2062543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1092</xdr:row>
      <xdr:rowOff>19050</xdr:rowOff>
    </xdr:from>
    <xdr:to>
      <xdr:col>2</xdr:col>
      <xdr:colOff>1733550</xdr:colOff>
      <xdr:row>1092</xdr:row>
      <xdr:rowOff>1666875</xdr:rowOff>
    </xdr:to>
    <xdr:pic>
      <xdr:nvPicPr>
        <xdr:cNvPr id="1092" name="Picture 1091"/>
        <xdr:cNvPicPr>
          <a:picLocks noChangeAspect="1" noChangeArrowheads="1"/>
        </xdr:cNvPicPr>
      </xdr:nvPicPr>
      <xdr:blipFill>
        <a:blip xmlns:r="http://schemas.openxmlformats.org/officeDocument/2006/relationships" r:embed="rId1091">
          <a:extLst>
            <a:ext uri="{28A0092B-C50C-407E-A947-70E740481C1C}">
              <a14:useLocalDpi xmlns:a14="http://schemas.microsoft.com/office/drawing/2010/main" val="0"/>
            </a:ext>
          </a:extLst>
        </a:blip>
        <a:srcRect/>
        <a:stretch>
          <a:fillRect/>
        </a:stretch>
      </xdr:blipFill>
      <xdr:spPr bwMode="auto">
        <a:xfrm>
          <a:off x="1228725" y="2064458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1093</xdr:row>
      <xdr:rowOff>19050</xdr:rowOff>
    </xdr:from>
    <xdr:to>
      <xdr:col>2</xdr:col>
      <xdr:colOff>1733550</xdr:colOff>
      <xdr:row>1093</xdr:row>
      <xdr:rowOff>1666875</xdr:rowOff>
    </xdr:to>
    <xdr:pic>
      <xdr:nvPicPr>
        <xdr:cNvPr id="1093" name="Picture 1092"/>
        <xdr:cNvPicPr>
          <a:picLocks noChangeAspect="1" noChangeArrowheads="1"/>
        </xdr:cNvPicPr>
      </xdr:nvPicPr>
      <xdr:blipFill>
        <a:blip xmlns:r="http://schemas.openxmlformats.org/officeDocument/2006/relationships" r:embed="rId1092">
          <a:extLst>
            <a:ext uri="{28A0092B-C50C-407E-A947-70E740481C1C}">
              <a14:useLocalDpi xmlns:a14="http://schemas.microsoft.com/office/drawing/2010/main" val="0"/>
            </a:ext>
          </a:extLst>
        </a:blip>
        <a:srcRect/>
        <a:stretch>
          <a:fillRect/>
        </a:stretch>
      </xdr:blipFill>
      <xdr:spPr bwMode="auto">
        <a:xfrm>
          <a:off x="1228725" y="2066372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1094</xdr:row>
      <xdr:rowOff>19050</xdr:rowOff>
    </xdr:from>
    <xdr:to>
      <xdr:col>2</xdr:col>
      <xdr:colOff>1733550</xdr:colOff>
      <xdr:row>1094</xdr:row>
      <xdr:rowOff>1666875</xdr:rowOff>
    </xdr:to>
    <xdr:pic>
      <xdr:nvPicPr>
        <xdr:cNvPr id="1094" name="Picture 1093"/>
        <xdr:cNvPicPr>
          <a:picLocks noChangeAspect="1" noChangeArrowheads="1"/>
        </xdr:cNvPicPr>
      </xdr:nvPicPr>
      <xdr:blipFill>
        <a:blip xmlns:r="http://schemas.openxmlformats.org/officeDocument/2006/relationships" r:embed="rId1093">
          <a:extLst>
            <a:ext uri="{28A0092B-C50C-407E-A947-70E740481C1C}">
              <a14:useLocalDpi xmlns:a14="http://schemas.microsoft.com/office/drawing/2010/main" val="0"/>
            </a:ext>
          </a:extLst>
        </a:blip>
        <a:srcRect/>
        <a:stretch>
          <a:fillRect/>
        </a:stretch>
      </xdr:blipFill>
      <xdr:spPr bwMode="auto">
        <a:xfrm>
          <a:off x="1228725" y="2068287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1095</xdr:row>
      <xdr:rowOff>19050</xdr:rowOff>
    </xdr:from>
    <xdr:to>
      <xdr:col>2</xdr:col>
      <xdr:colOff>1733550</xdr:colOff>
      <xdr:row>1095</xdr:row>
      <xdr:rowOff>1666875</xdr:rowOff>
    </xdr:to>
    <xdr:pic>
      <xdr:nvPicPr>
        <xdr:cNvPr id="1095" name="Picture 1094"/>
        <xdr:cNvPicPr>
          <a:picLocks noChangeAspect="1" noChangeArrowheads="1"/>
        </xdr:cNvPicPr>
      </xdr:nvPicPr>
      <xdr:blipFill>
        <a:blip xmlns:r="http://schemas.openxmlformats.org/officeDocument/2006/relationships" r:embed="rId1094">
          <a:extLst>
            <a:ext uri="{28A0092B-C50C-407E-A947-70E740481C1C}">
              <a14:useLocalDpi xmlns:a14="http://schemas.microsoft.com/office/drawing/2010/main" val="0"/>
            </a:ext>
          </a:extLst>
        </a:blip>
        <a:srcRect/>
        <a:stretch>
          <a:fillRect/>
        </a:stretch>
      </xdr:blipFill>
      <xdr:spPr bwMode="auto">
        <a:xfrm>
          <a:off x="1228725" y="2070201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1096</xdr:row>
      <xdr:rowOff>19050</xdr:rowOff>
    </xdr:from>
    <xdr:to>
      <xdr:col>2</xdr:col>
      <xdr:colOff>1733550</xdr:colOff>
      <xdr:row>1096</xdr:row>
      <xdr:rowOff>1666875</xdr:rowOff>
    </xdr:to>
    <xdr:pic>
      <xdr:nvPicPr>
        <xdr:cNvPr id="1096" name="Picture 1095"/>
        <xdr:cNvPicPr>
          <a:picLocks noChangeAspect="1" noChangeArrowheads="1"/>
        </xdr:cNvPicPr>
      </xdr:nvPicPr>
      <xdr:blipFill>
        <a:blip xmlns:r="http://schemas.openxmlformats.org/officeDocument/2006/relationships" r:embed="rId1095">
          <a:extLst>
            <a:ext uri="{28A0092B-C50C-407E-A947-70E740481C1C}">
              <a14:useLocalDpi xmlns:a14="http://schemas.microsoft.com/office/drawing/2010/main" val="0"/>
            </a:ext>
          </a:extLst>
        </a:blip>
        <a:srcRect/>
        <a:stretch>
          <a:fillRect/>
        </a:stretch>
      </xdr:blipFill>
      <xdr:spPr bwMode="auto">
        <a:xfrm>
          <a:off x="1228725" y="2072116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1097</xdr:row>
      <xdr:rowOff>19050</xdr:rowOff>
    </xdr:from>
    <xdr:to>
      <xdr:col>2</xdr:col>
      <xdr:colOff>1733550</xdr:colOff>
      <xdr:row>1097</xdr:row>
      <xdr:rowOff>1666875</xdr:rowOff>
    </xdr:to>
    <xdr:pic>
      <xdr:nvPicPr>
        <xdr:cNvPr id="1097" name="Picture 1096"/>
        <xdr:cNvPicPr>
          <a:picLocks noChangeAspect="1" noChangeArrowheads="1"/>
        </xdr:cNvPicPr>
      </xdr:nvPicPr>
      <xdr:blipFill>
        <a:blip xmlns:r="http://schemas.openxmlformats.org/officeDocument/2006/relationships" r:embed="rId1096">
          <a:extLst>
            <a:ext uri="{28A0092B-C50C-407E-A947-70E740481C1C}">
              <a14:useLocalDpi xmlns:a14="http://schemas.microsoft.com/office/drawing/2010/main" val="0"/>
            </a:ext>
          </a:extLst>
        </a:blip>
        <a:srcRect/>
        <a:stretch>
          <a:fillRect/>
        </a:stretch>
      </xdr:blipFill>
      <xdr:spPr bwMode="auto">
        <a:xfrm>
          <a:off x="1228725" y="2074030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1098</xdr:row>
      <xdr:rowOff>19050</xdr:rowOff>
    </xdr:from>
    <xdr:to>
      <xdr:col>2</xdr:col>
      <xdr:colOff>1733550</xdr:colOff>
      <xdr:row>1098</xdr:row>
      <xdr:rowOff>1666875</xdr:rowOff>
    </xdr:to>
    <xdr:pic>
      <xdr:nvPicPr>
        <xdr:cNvPr id="1098" name="Picture 1097"/>
        <xdr:cNvPicPr>
          <a:picLocks noChangeAspect="1" noChangeArrowheads="1"/>
        </xdr:cNvPicPr>
      </xdr:nvPicPr>
      <xdr:blipFill>
        <a:blip xmlns:r="http://schemas.openxmlformats.org/officeDocument/2006/relationships" r:embed="rId1097">
          <a:extLst>
            <a:ext uri="{28A0092B-C50C-407E-A947-70E740481C1C}">
              <a14:useLocalDpi xmlns:a14="http://schemas.microsoft.com/office/drawing/2010/main" val="0"/>
            </a:ext>
          </a:extLst>
        </a:blip>
        <a:srcRect/>
        <a:stretch>
          <a:fillRect/>
        </a:stretch>
      </xdr:blipFill>
      <xdr:spPr bwMode="auto">
        <a:xfrm>
          <a:off x="1228725" y="2075945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1099</xdr:row>
      <xdr:rowOff>19050</xdr:rowOff>
    </xdr:from>
    <xdr:to>
      <xdr:col>2</xdr:col>
      <xdr:colOff>1733550</xdr:colOff>
      <xdr:row>1099</xdr:row>
      <xdr:rowOff>1666875</xdr:rowOff>
    </xdr:to>
    <xdr:pic>
      <xdr:nvPicPr>
        <xdr:cNvPr id="1099" name="Picture 1098"/>
        <xdr:cNvPicPr>
          <a:picLocks noChangeAspect="1" noChangeArrowheads="1"/>
        </xdr:cNvPicPr>
      </xdr:nvPicPr>
      <xdr:blipFill>
        <a:blip xmlns:r="http://schemas.openxmlformats.org/officeDocument/2006/relationships" r:embed="rId1098">
          <a:extLst>
            <a:ext uri="{28A0092B-C50C-407E-A947-70E740481C1C}">
              <a14:useLocalDpi xmlns:a14="http://schemas.microsoft.com/office/drawing/2010/main" val="0"/>
            </a:ext>
          </a:extLst>
        </a:blip>
        <a:srcRect/>
        <a:stretch>
          <a:fillRect/>
        </a:stretch>
      </xdr:blipFill>
      <xdr:spPr bwMode="auto">
        <a:xfrm>
          <a:off x="1228725" y="2077859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1100</xdr:row>
      <xdr:rowOff>19050</xdr:rowOff>
    </xdr:from>
    <xdr:to>
      <xdr:col>2</xdr:col>
      <xdr:colOff>1733550</xdr:colOff>
      <xdr:row>1100</xdr:row>
      <xdr:rowOff>1666875</xdr:rowOff>
    </xdr:to>
    <xdr:pic>
      <xdr:nvPicPr>
        <xdr:cNvPr id="1100" name="Picture 1099"/>
        <xdr:cNvPicPr>
          <a:picLocks noChangeAspect="1" noChangeArrowheads="1"/>
        </xdr:cNvPicPr>
      </xdr:nvPicPr>
      <xdr:blipFill>
        <a:blip xmlns:r="http://schemas.openxmlformats.org/officeDocument/2006/relationships" r:embed="rId1099">
          <a:extLst>
            <a:ext uri="{28A0092B-C50C-407E-A947-70E740481C1C}">
              <a14:useLocalDpi xmlns:a14="http://schemas.microsoft.com/office/drawing/2010/main" val="0"/>
            </a:ext>
          </a:extLst>
        </a:blip>
        <a:srcRect/>
        <a:stretch>
          <a:fillRect/>
        </a:stretch>
      </xdr:blipFill>
      <xdr:spPr bwMode="auto">
        <a:xfrm>
          <a:off x="1228725" y="2079774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1101</xdr:row>
      <xdr:rowOff>19050</xdr:rowOff>
    </xdr:from>
    <xdr:to>
      <xdr:col>2</xdr:col>
      <xdr:colOff>1733550</xdr:colOff>
      <xdr:row>1101</xdr:row>
      <xdr:rowOff>1666875</xdr:rowOff>
    </xdr:to>
    <xdr:pic>
      <xdr:nvPicPr>
        <xdr:cNvPr id="1101" name="Picture 1100"/>
        <xdr:cNvPicPr>
          <a:picLocks noChangeAspect="1" noChangeArrowheads="1"/>
        </xdr:cNvPicPr>
      </xdr:nvPicPr>
      <xdr:blipFill>
        <a:blip xmlns:r="http://schemas.openxmlformats.org/officeDocument/2006/relationships" r:embed="rId1100">
          <a:extLst>
            <a:ext uri="{28A0092B-C50C-407E-A947-70E740481C1C}">
              <a14:useLocalDpi xmlns:a14="http://schemas.microsoft.com/office/drawing/2010/main" val="0"/>
            </a:ext>
          </a:extLst>
        </a:blip>
        <a:srcRect/>
        <a:stretch>
          <a:fillRect/>
        </a:stretch>
      </xdr:blipFill>
      <xdr:spPr bwMode="auto">
        <a:xfrm>
          <a:off x="1228725" y="2081688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1102</xdr:row>
      <xdr:rowOff>19050</xdr:rowOff>
    </xdr:from>
    <xdr:to>
      <xdr:col>2</xdr:col>
      <xdr:colOff>1733550</xdr:colOff>
      <xdr:row>1102</xdr:row>
      <xdr:rowOff>1666875</xdr:rowOff>
    </xdr:to>
    <xdr:pic>
      <xdr:nvPicPr>
        <xdr:cNvPr id="1102" name="Picture 1101"/>
        <xdr:cNvPicPr>
          <a:picLocks noChangeAspect="1" noChangeArrowheads="1"/>
        </xdr:cNvPicPr>
      </xdr:nvPicPr>
      <xdr:blipFill>
        <a:blip xmlns:r="http://schemas.openxmlformats.org/officeDocument/2006/relationships" r:embed="rId1101">
          <a:extLst>
            <a:ext uri="{28A0092B-C50C-407E-A947-70E740481C1C}">
              <a14:useLocalDpi xmlns:a14="http://schemas.microsoft.com/office/drawing/2010/main" val="0"/>
            </a:ext>
          </a:extLst>
        </a:blip>
        <a:srcRect/>
        <a:stretch>
          <a:fillRect/>
        </a:stretch>
      </xdr:blipFill>
      <xdr:spPr bwMode="auto">
        <a:xfrm>
          <a:off x="1228725" y="2083603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1103</xdr:row>
      <xdr:rowOff>19050</xdr:rowOff>
    </xdr:from>
    <xdr:to>
      <xdr:col>2</xdr:col>
      <xdr:colOff>1733550</xdr:colOff>
      <xdr:row>1103</xdr:row>
      <xdr:rowOff>1666875</xdr:rowOff>
    </xdr:to>
    <xdr:pic>
      <xdr:nvPicPr>
        <xdr:cNvPr id="1103" name="Picture 1102"/>
        <xdr:cNvPicPr>
          <a:picLocks noChangeAspect="1" noChangeArrowheads="1"/>
        </xdr:cNvPicPr>
      </xdr:nvPicPr>
      <xdr:blipFill>
        <a:blip xmlns:r="http://schemas.openxmlformats.org/officeDocument/2006/relationships" r:embed="rId1102">
          <a:extLst>
            <a:ext uri="{28A0092B-C50C-407E-A947-70E740481C1C}">
              <a14:useLocalDpi xmlns:a14="http://schemas.microsoft.com/office/drawing/2010/main" val="0"/>
            </a:ext>
          </a:extLst>
        </a:blip>
        <a:srcRect/>
        <a:stretch>
          <a:fillRect/>
        </a:stretch>
      </xdr:blipFill>
      <xdr:spPr bwMode="auto">
        <a:xfrm>
          <a:off x="1228725" y="2085517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1104</xdr:row>
      <xdr:rowOff>19050</xdr:rowOff>
    </xdr:from>
    <xdr:to>
      <xdr:col>2</xdr:col>
      <xdr:colOff>1733550</xdr:colOff>
      <xdr:row>1104</xdr:row>
      <xdr:rowOff>1666875</xdr:rowOff>
    </xdr:to>
    <xdr:pic>
      <xdr:nvPicPr>
        <xdr:cNvPr id="1104" name="Picture 1103"/>
        <xdr:cNvPicPr>
          <a:picLocks noChangeAspect="1" noChangeArrowheads="1"/>
        </xdr:cNvPicPr>
      </xdr:nvPicPr>
      <xdr:blipFill>
        <a:blip xmlns:r="http://schemas.openxmlformats.org/officeDocument/2006/relationships" r:embed="rId1103">
          <a:extLst>
            <a:ext uri="{28A0092B-C50C-407E-A947-70E740481C1C}">
              <a14:useLocalDpi xmlns:a14="http://schemas.microsoft.com/office/drawing/2010/main" val="0"/>
            </a:ext>
          </a:extLst>
        </a:blip>
        <a:srcRect/>
        <a:stretch>
          <a:fillRect/>
        </a:stretch>
      </xdr:blipFill>
      <xdr:spPr bwMode="auto">
        <a:xfrm>
          <a:off x="1228725" y="2087432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1105</xdr:row>
      <xdr:rowOff>19050</xdr:rowOff>
    </xdr:from>
    <xdr:to>
      <xdr:col>2</xdr:col>
      <xdr:colOff>1733550</xdr:colOff>
      <xdr:row>1105</xdr:row>
      <xdr:rowOff>1666875</xdr:rowOff>
    </xdr:to>
    <xdr:pic>
      <xdr:nvPicPr>
        <xdr:cNvPr id="1105" name="Picture 1104"/>
        <xdr:cNvPicPr>
          <a:picLocks noChangeAspect="1" noChangeArrowheads="1"/>
        </xdr:cNvPicPr>
      </xdr:nvPicPr>
      <xdr:blipFill>
        <a:blip xmlns:r="http://schemas.openxmlformats.org/officeDocument/2006/relationships" r:embed="rId1104">
          <a:extLst>
            <a:ext uri="{28A0092B-C50C-407E-A947-70E740481C1C}">
              <a14:useLocalDpi xmlns:a14="http://schemas.microsoft.com/office/drawing/2010/main" val="0"/>
            </a:ext>
          </a:extLst>
        </a:blip>
        <a:srcRect/>
        <a:stretch>
          <a:fillRect/>
        </a:stretch>
      </xdr:blipFill>
      <xdr:spPr bwMode="auto">
        <a:xfrm>
          <a:off x="1228725" y="2089346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1106</xdr:row>
      <xdr:rowOff>19050</xdr:rowOff>
    </xdr:from>
    <xdr:to>
      <xdr:col>2</xdr:col>
      <xdr:colOff>1733550</xdr:colOff>
      <xdr:row>1106</xdr:row>
      <xdr:rowOff>1666875</xdr:rowOff>
    </xdr:to>
    <xdr:pic>
      <xdr:nvPicPr>
        <xdr:cNvPr id="1106" name="Picture 1105"/>
        <xdr:cNvPicPr>
          <a:picLocks noChangeAspect="1" noChangeArrowheads="1"/>
        </xdr:cNvPicPr>
      </xdr:nvPicPr>
      <xdr:blipFill>
        <a:blip xmlns:r="http://schemas.openxmlformats.org/officeDocument/2006/relationships" r:embed="rId1105">
          <a:extLst>
            <a:ext uri="{28A0092B-C50C-407E-A947-70E740481C1C}">
              <a14:useLocalDpi xmlns:a14="http://schemas.microsoft.com/office/drawing/2010/main" val="0"/>
            </a:ext>
          </a:extLst>
        </a:blip>
        <a:srcRect/>
        <a:stretch>
          <a:fillRect/>
        </a:stretch>
      </xdr:blipFill>
      <xdr:spPr bwMode="auto">
        <a:xfrm>
          <a:off x="1228725" y="2091261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1107</xdr:row>
      <xdr:rowOff>19050</xdr:rowOff>
    </xdr:from>
    <xdr:to>
      <xdr:col>2</xdr:col>
      <xdr:colOff>1733550</xdr:colOff>
      <xdr:row>1107</xdr:row>
      <xdr:rowOff>1666875</xdr:rowOff>
    </xdr:to>
    <xdr:pic>
      <xdr:nvPicPr>
        <xdr:cNvPr id="1107" name="Picture 1106"/>
        <xdr:cNvPicPr>
          <a:picLocks noChangeAspect="1" noChangeArrowheads="1"/>
        </xdr:cNvPicPr>
      </xdr:nvPicPr>
      <xdr:blipFill>
        <a:blip xmlns:r="http://schemas.openxmlformats.org/officeDocument/2006/relationships" r:embed="rId1106">
          <a:extLst>
            <a:ext uri="{28A0092B-C50C-407E-A947-70E740481C1C}">
              <a14:useLocalDpi xmlns:a14="http://schemas.microsoft.com/office/drawing/2010/main" val="0"/>
            </a:ext>
          </a:extLst>
        </a:blip>
        <a:srcRect/>
        <a:stretch>
          <a:fillRect/>
        </a:stretch>
      </xdr:blipFill>
      <xdr:spPr bwMode="auto">
        <a:xfrm>
          <a:off x="1228725" y="2093175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1108</xdr:row>
      <xdr:rowOff>19050</xdr:rowOff>
    </xdr:from>
    <xdr:to>
      <xdr:col>2</xdr:col>
      <xdr:colOff>1733550</xdr:colOff>
      <xdr:row>1108</xdr:row>
      <xdr:rowOff>1666875</xdr:rowOff>
    </xdr:to>
    <xdr:pic>
      <xdr:nvPicPr>
        <xdr:cNvPr id="1108" name="Picture 1107"/>
        <xdr:cNvPicPr>
          <a:picLocks noChangeAspect="1" noChangeArrowheads="1"/>
        </xdr:cNvPicPr>
      </xdr:nvPicPr>
      <xdr:blipFill>
        <a:blip xmlns:r="http://schemas.openxmlformats.org/officeDocument/2006/relationships" r:embed="rId1107">
          <a:extLst>
            <a:ext uri="{28A0092B-C50C-407E-A947-70E740481C1C}">
              <a14:useLocalDpi xmlns:a14="http://schemas.microsoft.com/office/drawing/2010/main" val="0"/>
            </a:ext>
          </a:extLst>
        </a:blip>
        <a:srcRect/>
        <a:stretch>
          <a:fillRect/>
        </a:stretch>
      </xdr:blipFill>
      <xdr:spPr bwMode="auto">
        <a:xfrm>
          <a:off x="1228725" y="2095090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1109</xdr:row>
      <xdr:rowOff>19050</xdr:rowOff>
    </xdr:from>
    <xdr:to>
      <xdr:col>2</xdr:col>
      <xdr:colOff>1733550</xdr:colOff>
      <xdr:row>1109</xdr:row>
      <xdr:rowOff>1666875</xdr:rowOff>
    </xdr:to>
    <xdr:pic>
      <xdr:nvPicPr>
        <xdr:cNvPr id="1109" name="Picture 1108"/>
        <xdr:cNvPicPr>
          <a:picLocks noChangeAspect="1" noChangeArrowheads="1"/>
        </xdr:cNvPicPr>
      </xdr:nvPicPr>
      <xdr:blipFill>
        <a:blip xmlns:r="http://schemas.openxmlformats.org/officeDocument/2006/relationships" r:embed="rId1108">
          <a:extLst>
            <a:ext uri="{28A0092B-C50C-407E-A947-70E740481C1C}">
              <a14:useLocalDpi xmlns:a14="http://schemas.microsoft.com/office/drawing/2010/main" val="0"/>
            </a:ext>
          </a:extLst>
        </a:blip>
        <a:srcRect/>
        <a:stretch>
          <a:fillRect/>
        </a:stretch>
      </xdr:blipFill>
      <xdr:spPr bwMode="auto">
        <a:xfrm>
          <a:off x="1228725" y="2097004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1110</xdr:row>
      <xdr:rowOff>19050</xdr:rowOff>
    </xdr:from>
    <xdr:to>
      <xdr:col>2</xdr:col>
      <xdr:colOff>1733550</xdr:colOff>
      <xdr:row>1110</xdr:row>
      <xdr:rowOff>1666875</xdr:rowOff>
    </xdr:to>
    <xdr:pic>
      <xdr:nvPicPr>
        <xdr:cNvPr id="1110" name="Picture 1109"/>
        <xdr:cNvPicPr>
          <a:picLocks noChangeAspect="1" noChangeArrowheads="1"/>
        </xdr:cNvPicPr>
      </xdr:nvPicPr>
      <xdr:blipFill>
        <a:blip xmlns:r="http://schemas.openxmlformats.org/officeDocument/2006/relationships" r:embed="rId1109">
          <a:extLst>
            <a:ext uri="{28A0092B-C50C-407E-A947-70E740481C1C}">
              <a14:useLocalDpi xmlns:a14="http://schemas.microsoft.com/office/drawing/2010/main" val="0"/>
            </a:ext>
          </a:extLst>
        </a:blip>
        <a:srcRect/>
        <a:stretch>
          <a:fillRect/>
        </a:stretch>
      </xdr:blipFill>
      <xdr:spPr bwMode="auto">
        <a:xfrm>
          <a:off x="1228725" y="209891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1111</xdr:row>
      <xdr:rowOff>19050</xdr:rowOff>
    </xdr:from>
    <xdr:to>
      <xdr:col>2</xdr:col>
      <xdr:colOff>1733550</xdr:colOff>
      <xdr:row>1111</xdr:row>
      <xdr:rowOff>1666875</xdr:rowOff>
    </xdr:to>
    <xdr:pic>
      <xdr:nvPicPr>
        <xdr:cNvPr id="1111" name="Picture 1110"/>
        <xdr:cNvPicPr>
          <a:picLocks noChangeAspect="1" noChangeArrowheads="1"/>
        </xdr:cNvPicPr>
      </xdr:nvPicPr>
      <xdr:blipFill>
        <a:blip xmlns:r="http://schemas.openxmlformats.org/officeDocument/2006/relationships" r:embed="rId1110">
          <a:extLst>
            <a:ext uri="{28A0092B-C50C-407E-A947-70E740481C1C}">
              <a14:useLocalDpi xmlns:a14="http://schemas.microsoft.com/office/drawing/2010/main" val="0"/>
            </a:ext>
          </a:extLst>
        </a:blip>
        <a:srcRect/>
        <a:stretch>
          <a:fillRect/>
        </a:stretch>
      </xdr:blipFill>
      <xdr:spPr bwMode="auto">
        <a:xfrm>
          <a:off x="1228725" y="2100834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1112</xdr:row>
      <xdr:rowOff>19050</xdr:rowOff>
    </xdr:from>
    <xdr:to>
      <xdr:col>2</xdr:col>
      <xdr:colOff>1733550</xdr:colOff>
      <xdr:row>1112</xdr:row>
      <xdr:rowOff>1666875</xdr:rowOff>
    </xdr:to>
    <xdr:pic>
      <xdr:nvPicPr>
        <xdr:cNvPr id="1112" name="Picture 1111"/>
        <xdr:cNvPicPr>
          <a:picLocks noChangeAspect="1" noChangeArrowheads="1"/>
        </xdr:cNvPicPr>
      </xdr:nvPicPr>
      <xdr:blipFill>
        <a:blip xmlns:r="http://schemas.openxmlformats.org/officeDocument/2006/relationships" r:embed="rId1111">
          <a:extLst>
            <a:ext uri="{28A0092B-C50C-407E-A947-70E740481C1C}">
              <a14:useLocalDpi xmlns:a14="http://schemas.microsoft.com/office/drawing/2010/main" val="0"/>
            </a:ext>
          </a:extLst>
        </a:blip>
        <a:srcRect/>
        <a:stretch>
          <a:fillRect/>
        </a:stretch>
      </xdr:blipFill>
      <xdr:spPr bwMode="auto">
        <a:xfrm>
          <a:off x="1228725" y="2102748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1113</xdr:row>
      <xdr:rowOff>19050</xdr:rowOff>
    </xdr:from>
    <xdr:to>
      <xdr:col>2</xdr:col>
      <xdr:colOff>1733550</xdr:colOff>
      <xdr:row>1113</xdr:row>
      <xdr:rowOff>1666875</xdr:rowOff>
    </xdr:to>
    <xdr:pic>
      <xdr:nvPicPr>
        <xdr:cNvPr id="1113" name="Picture 1112"/>
        <xdr:cNvPicPr>
          <a:picLocks noChangeAspect="1" noChangeArrowheads="1"/>
        </xdr:cNvPicPr>
      </xdr:nvPicPr>
      <xdr:blipFill>
        <a:blip xmlns:r="http://schemas.openxmlformats.org/officeDocument/2006/relationships" r:embed="rId1112">
          <a:extLst>
            <a:ext uri="{28A0092B-C50C-407E-A947-70E740481C1C}">
              <a14:useLocalDpi xmlns:a14="http://schemas.microsoft.com/office/drawing/2010/main" val="0"/>
            </a:ext>
          </a:extLst>
        </a:blip>
        <a:srcRect/>
        <a:stretch>
          <a:fillRect/>
        </a:stretch>
      </xdr:blipFill>
      <xdr:spPr bwMode="auto">
        <a:xfrm>
          <a:off x="1228725" y="2104663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1114</xdr:row>
      <xdr:rowOff>19050</xdr:rowOff>
    </xdr:from>
    <xdr:to>
      <xdr:col>2</xdr:col>
      <xdr:colOff>1733550</xdr:colOff>
      <xdr:row>1114</xdr:row>
      <xdr:rowOff>1666875</xdr:rowOff>
    </xdr:to>
    <xdr:pic>
      <xdr:nvPicPr>
        <xdr:cNvPr id="1114" name="Picture 1113"/>
        <xdr:cNvPicPr>
          <a:picLocks noChangeAspect="1" noChangeArrowheads="1"/>
        </xdr:cNvPicPr>
      </xdr:nvPicPr>
      <xdr:blipFill>
        <a:blip xmlns:r="http://schemas.openxmlformats.org/officeDocument/2006/relationships" r:embed="rId1113">
          <a:extLst>
            <a:ext uri="{28A0092B-C50C-407E-A947-70E740481C1C}">
              <a14:useLocalDpi xmlns:a14="http://schemas.microsoft.com/office/drawing/2010/main" val="0"/>
            </a:ext>
          </a:extLst>
        </a:blip>
        <a:srcRect/>
        <a:stretch>
          <a:fillRect/>
        </a:stretch>
      </xdr:blipFill>
      <xdr:spPr bwMode="auto">
        <a:xfrm>
          <a:off x="1228725" y="2106577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1115</xdr:row>
      <xdr:rowOff>19050</xdr:rowOff>
    </xdr:from>
    <xdr:to>
      <xdr:col>2</xdr:col>
      <xdr:colOff>1733550</xdr:colOff>
      <xdr:row>1115</xdr:row>
      <xdr:rowOff>1666875</xdr:rowOff>
    </xdr:to>
    <xdr:pic>
      <xdr:nvPicPr>
        <xdr:cNvPr id="1115" name="Picture 1114"/>
        <xdr:cNvPicPr>
          <a:picLocks noChangeAspect="1" noChangeArrowheads="1"/>
        </xdr:cNvPicPr>
      </xdr:nvPicPr>
      <xdr:blipFill>
        <a:blip xmlns:r="http://schemas.openxmlformats.org/officeDocument/2006/relationships" r:embed="rId1114">
          <a:extLst>
            <a:ext uri="{28A0092B-C50C-407E-A947-70E740481C1C}">
              <a14:useLocalDpi xmlns:a14="http://schemas.microsoft.com/office/drawing/2010/main" val="0"/>
            </a:ext>
          </a:extLst>
        </a:blip>
        <a:srcRect/>
        <a:stretch>
          <a:fillRect/>
        </a:stretch>
      </xdr:blipFill>
      <xdr:spPr bwMode="auto">
        <a:xfrm>
          <a:off x="1228725" y="2108492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1116</xdr:row>
      <xdr:rowOff>19050</xdr:rowOff>
    </xdr:from>
    <xdr:to>
      <xdr:col>2</xdr:col>
      <xdr:colOff>1733550</xdr:colOff>
      <xdr:row>1116</xdr:row>
      <xdr:rowOff>1666875</xdr:rowOff>
    </xdr:to>
    <xdr:pic>
      <xdr:nvPicPr>
        <xdr:cNvPr id="1116" name="Picture 1115"/>
        <xdr:cNvPicPr>
          <a:picLocks noChangeAspect="1" noChangeArrowheads="1"/>
        </xdr:cNvPicPr>
      </xdr:nvPicPr>
      <xdr:blipFill>
        <a:blip xmlns:r="http://schemas.openxmlformats.org/officeDocument/2006/relationships" r:embed="rId1115">
          <a:extLst>
            <a:ext uri="{28A0092B-C50C-407E-A947-70E740481C1C}">
              <a14:useLocalDpi xmlns:a14="http://schemas.microsoft.com/office/drawing/2010/main" val="0"/>
            </a:ext>
          </a:extLst>
        </a:blip>
        <a:srcRect/>
        <a:stretch>
          <a:fillRect/>
        </a:stretch>
      </xdr:blipFill>
      <xdr:spPr bwMode="auto">
        <a:xfrm>
          <a:off x="1228725" y="2110406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1117</xdr:row>
      <xdr:rowOff>19050</xdr:rowOff>
    </xdr:from>
    <xdr:to>
      <xdr:col>2</xdr:col>
      <xdr:colOff>1733550</xdr:colOff>
      <xdr:row>1117</xdr:row>
      <xdr:rowOff>1666875</xdr:rowOff>
    </xdr:to>
    <xdr:pic>
      <xdr:nvPicPr>
        <xdr:cNvPr id="1117" name="Picture 1116"/>
        <xdr:cNvPicPr>
          <a:picLocks noChangeAspect="1" noChangeArrowheads="1"/>
        </xdr:cNvPicPr>
      </xdr:nvPicPr>
      <xdr:blipFill>
        <a:blip xmlns:r="http://schemas.openxmlformats.org/officeDocument/2006/relationships" r:embed="rId1116">
          <a:extLst>
            <a:ext uri="{28A0092B-C50C-407E-A947-70E740481C1C}">
              <a14:useLocalDpi xmlns:a14="http://schemas.microsoft.com/office/drawing/2010/main" val="0"/>
            </a:ext>
          </a:extLst>
        </a:blip>
        <a:srcRect/>
        <a:stretch>
          <a:fillRect/>
        </a:stretch>
      </xdr:blipFill>
      <xdr:spPr bwMode="auto">
        <a:xfrm>
          <a:off x="1228725" y="2112321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1118</xdr:row>
      <xdr:rowOff>19050</xdr:rowOff>
    </xdr:from>
    <xdr:to>
      <xdr:col>2</xdr:col>
      <xdr:colOff>1733550</xdr:colOff>
      <xdr:row>1118</xdr:row>
      <xdr:rowOff>1666875</xdr:rowOff>
    </xdr:to>
    <xdr:pic>
      <xdr:nvPicPr>
        <xdr:cNvPr id="1118" name="Picture 1117"/>
        <xdr:cNvPicPr>
          <a:picLocks noChangeAspect="1" noChangeArrowheads="1"/>
        </xdr:cNvPicPr>
      </xdr:nvPicPr>
      <xdr:blipFill>
        <a:blip xmlns:r="http://schemas.openxmlformats.org/officeDocument/2006/relationships" r:embed="rId1117">
          <a:extLst>
            <a:ext uri="{28A0092B-C50C-407E-A947-70E740481C1C}">
              <a14:useLocalDpi xmlns:a14="http://schemas.microsoft.com/office/drawing/2010/main" val="0"/>
            </a:ext>
          </a:extLst>
        </a:blip>
        <a:srcRect/>
        <a:stretch>
          <a:fillRect/>
        </a:stretch>
      </xdr:blipFill>
      <xdr:spPr bwMode="auto">
        <a:xfrm>
          <a:off x="1228725" y="2114235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1119</xdr:row>
      <xdr:rowOff>19050</xdr:rowOff>
    </xdr:from>
    <xdr:to>
      <xdr:col>2</xdr:col>
      <xdr:colOff>1733550</xdr:colOff>
      <xdr:row>1119</xdr:row>
      <xdr:rowOff>1666875</xdr:rowOff>
    </xdr:to>
    <xdr:pic>
      <xdr:nvPicPr>
        <xdr:cNvPr id="1119" name="Picture 1118"/>
        <xdr:cNvPicPr>
          <a:picLocks noChangeAspect="1" noChangeArrowheads="1"/>
        </xdr:cNvPicPr>
      </xdr:nvPicPr>
      <xdr:blipFill>
        <a:blip xmlns:r="http://schemas.openxmlformats.org/officeDocument/2006/relationships" r:embed="rId1118">
          <a:extLst>
            <a:ext uri="{28A0092B-C50C-407E-A947-70E740481C1C}">
              <a14:useLocalDpi xmlns:a14="http://schemas.microsoft.com/office/drawing/2010/main" val="0"/>
            </a:ext>
          </a:extLst>
        </a:blip>
        <a:srcRect/>
        <a:stretch>
          <a:fillRect/>
        </a:stretch>
      </xdr:blipFill>
      <xdr:spPr bwMode="auto">
        <a:xfrm>
          <a:off x="1228725" y="2116150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1120</xdr:row>
      <xdr:rowOff>19050</xdr:rowOff>
    </xdr:from>
    <xdr:to>
      <xdr:col>2</xdr:col>
      <xdr:colOff>1733550</xdr:colOff>
      <xdr:row>1120</xdr:row>
      <xdr:rowOff>1666875</xdr:rowOff>
    </xdr:to>
    <xdr:pic>
      <xdr:nvPicPr>
        <xdr:cNvPr id="1120" name="Picture 1119"/>
        <xdr:cNvPicPr>
          <a:picLocks noChangeAspect="1" noChangeArrowheads="1"/>
        </xdr:cNvPicPr>
      </xdr:nvPicPr>
      <xdr:blipFill>
        <a:blip xmlns:r="http://schemas.openxmlformats.org/officeDocument/2006/relationships" r:embed="rId1119">
          <a:extLst>
            <a:ext uri="{28A0092B-C50C-407E-A947-70E740481C1C}">
              <a14:useLocalDpi xmlns:a14="http://schemas.microsoft.com/office/drawing/2010/main" val="0"/>
            </a:ext>
          </a:extLst>
        </a:blip>
        <a:srcRect/>
        <a:stretch>
          <a:fillRect/>
        </a:stretch>
      </xdr:blipFill>
      <xdr:spPr bwMode="auto">
        <a:xfrm>
          <a:off x="1228725" y="2118064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1121</xdr:row>
      <xdr:rowOff>19050</xdr:rowOff>
    </xdr:from>
    <xdr:to>
      <xdr:col>2</xdr:col>
      <xdr:colOff>1733550</xdr:colOff>
      <xdr:row>1121</xdr:row>
      <xdr:rowOff>1666875</xdr:rowOff>
    </xdr:to>
    <xdr:pic>
      <xdr:nvPicPr>
        <xdr:cNvPr id="1121" name="Picture 1120"/>
        <xdr:cNvPicPr>
          <a:picLocks noChangeAspect="1" noChangeArrowheads="1"/>
        </xdr:cNvPicPr>
      </xdr:nvPicPr>
      <xdr:blipFill>
        <a:blip xmlns:r="http://schemas.openxmlformats.org/officeDocument/2006/relationships" r:embed="rId1120">
          <a:extLst>
            <a:ext uri="{28A0092B-C50C-407E-A947-70E740481C1C}">
              <a14:useLocalDpi xmlns:a14="http://schemas.microsoft.com/office/drawing/2010/main" val="0"/>
            </a:ext>
          </a:extLst>
        </a:blip>
        <a:srcRect/>
        <a:stretch>
          <a:fillRect/>
        </a:stretch>
      </xdr:blipFill>
      <xdr:spPr bwMode="auto">
        <a:xfrm>
          <a:off x="1228725" y="2119979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1122</xdr:row>
      <xdr:rowOff>19050</xdr:rowOff>
    </xdr:from>
    <xdr:to>
      <xdr:col>2</xdr:col>
      <xdr:colOff>1733550</xdr:colOff>
      <xdr:row>1122</xdr:row>
      <xdr:rowOff>1666875</xdr:rowOff>
    </xdr:to>
    <xdr:pic>
      <xdr:nvPicPr>
        <xdr:cNvPr id="1122" name="Picture 1121"/>
        <xdr:cNvPicPr>
          <a:picLocks noChangeAspect="1" noChangeArrowheads="1"/>
        </xdr:cNvPicPr>
      </xdr:nvPicPr>
      <xdr:blipFill>
        <a:blip xmlns:r="http://schemas.openxmlformats.org/officeDocument/2006/relationships" r:embed="rId1121">
          <a:extLst>
            <a:ext uri="{28A0092B-C50C-407E-A947-70E740481C1C}">
              <a14:useLocalDpi xmlns:a14="http://schemas.microsoft.com/office/drawing/2010/main" val="0"/>
            </a:ext>
          </a:extLst>
        </a:blip>
        <a:srcRect/>
        <a:stretch>
          <a:fillRect/>
        </a:stretch>
      </xdr:blipFill>
      <xdr:spPr bwMode="auto">
        <a:xfrm>
          <a:off x="1228725" y="2121893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1123</xdr:row>
      <xdr:rowOff>19050</xdr:rowOff>
    </xdr:from>
    <xdr:to>
      <xdr:col>2</xdr:col>
      <xdr:colOff>1733550</xdr:colOff>
      <xdr:row>1123</xdr:row>
      <xdr:rowOff>1666875</xdr:rowOff>
    </xdr:to>
    <xdr:pic>
      <xdr:nvPicPr>
        <xdr:cNvPr id="1123" name="Picture 1122"/>
        <xdr:cNvPicPr>
          <a:picLocks noChangeAspect="1" noChangeArrowheads="1"/>
        </xdr:cNvPicPr>
      </xdr:nvPicPr>
      <xdr:blipFill>
        <a:blip xmlns:r="http://schemas.openxmlformats.org/officeDocument/2006/relationships" r:embed="rId1122">
          <a:extLst>
            <a:ext uri="{28A0092B-C50C-407E-A947-70E740481C1C}">
              <a14:useLocalDpi xmlns:a14="http://schemas.microsoft.com/office/drawing/2010/main" val="0"/>
            </a:ext>
          </a:extLst>
        </a:blip>
        <a:srcRect/>
        <a:stretch>
          <a:fillRect/>
        </a:stretch>
      </xdr:blipFill>
      <xdr:spPr bwMode="auto">
        <a:xfrm>
          <a:off x="1228725" y="2123808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1124</xdr:row>
      <xdr:rowOff>19050</xdr:rowOff>
    </xdr:from>
    <xdr:to>
      <xdr:col>2</xdr:col>
      <xdr:colOff>1733550</xdr:colOff>
      <xdr:row>1124</xdr:row>
      <xdr:rowOff>1666875</xdr:rowOff>
    </xdr:to>
    <xdr:pic>
      <xdr:nvPicPr>
        <xdr:cNvPr id="1124" name="Picture 1123"/>
        <xdr:cNvPicPr>
          <a:picLocks noChangeAspect="1" noChangeArrowheads="1"/>
        </xdr:cNvPicPr>
      </xdr:nvPicPr>
      <xdr:blipFill>
        <a:blip xmlns:r="http://schemas.openxmlformats.org/officeDocument/2006/relationships" r:embed="rId1123">
          <a:extLst>
            <a:ext uri="{28A0092B-C50C-407E-A947-70E740481C1C}">
              <a14:useLocalDpi xmlns:a14="http://schemas.microsoft.com/office/drawing/2010/main" val="0"/>
            </a:ext>
          </a:extLst>
        </a:blip>
        <a:srcRect/>
        <a:stretch>
          <a:fillRect/>
        </a:stretch>
      </xdr:blipFill>
      <xdr:spPr bwMode="auto">
        <a:xfrm>
          <a:off x="1228725" y="2125722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1125</xdr:row>
      <xdr:rowOff>19050</xdr:rowOff>
    </xdr:from>
    <xdr:to>
      <xdr:col>2</xdr:col>
      <xdr:colOff>1733550</xdr:colOff>
      <xdr:row>1125</xdr:row>
      <xdr:rowOff>1666875</xdr:rowOff>
    </xdr:to>
    <xdr:pic>
      <xdr:nvPicPr>
        <xdr:cNvPr id="1125" name="Picture 1124"/>
        <xdr:cNvPicPr>
          <a:picLocks noChangeAspect="1" noChangeArrowheads="1"/>
        </xdr:cNvPicPr>
      </xdr:nvPicPr>
      <xdr:blipFill>
        <a:blip xmlns:r="http://schemas.openxmlformats.org/officeDocument/2006/relationships" r:embed="rId1124">
          <a:extLst>
            <a:ext uri="{28A0092B-C50C-407E-A947-70E740481C1C}">
              <a14:useLocalDpi xmlns:a14="http://schemas.microsoft.com/office/drawing/2010/main" val="0"/>
            </a:ext>
          </a:extLst>
        </a:blip>
        <a:srcRect/>
        <a:stretch>
          <a:fillRect/>
        </a:stretch>
      </xdr:blipFill>
      <xdr:spPr bwMode="auto">
        <a:xfrm>
          <a:off x="1228725" y="2127637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1126</xdr:row>
      <xdr:rowOff>19050</xdr:rowOff>
    </xdr:from>
    <xdr:to>
      <xdr:col>2</xdr:col>
      <xdr:colOff>1733550</xdr:colOff>
      <xdr:row>1126</xdr:row>
      <xdr:rowOff>1666875</xdr:rowOff>
    </xdr:to>
    <xdr:pic>
      <xdr:nvPicPr>
        <xdr:cNvPr id="1126" name="Picture 1125"/>
        <xdr:cNvPicPr>
          <a:picLocks noChangeAspect="1" noChangeArrowheads="1"/>
        </xdr:cNvPicPr>
      </xdr:nvPicPr>
      <xdr:blipFill>
        <a:blip xmlns:r="http://schemas.openxmlformats.org/officeDocument/2006/relationships" r:embed="rId1125">
          <a:extLst>
            <a:ext uri="{28A0092B-C50C-407E-A947-70E740481C1C}">
              <a14:useLocalDpi xmlns:a14="http://schemas.microsoft.com/office/drawing/2010/main" val="0"/>
            </a:ext>
          </a:extLst>
        </a:blip>
        <a:srcRect/>
        <a:stretch>
          <a:fillRect/>
        </a:stretch>
      </xdr:blipFill>
      <xdr:spPr bwMode="auto">
        <a:xfrm>
          <a:off x="1228725" y="2129551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1127</xdr:row>
      <xdr:rowOff>19050</xdr:rowOff>
    </xdr:from>
    <xdr:to>
      <xdr:col>2</xdr:col>
      <xdr:colOff>1733550</xdr:colOff>
      <xdr:row>1127</xdr:row>
      <xdr:rowOff>1666875</xdr:rowOff>
    </xdr:to>
    <xdr:pic>
      <xdr:nvPicPr>
        <xdr:cNvPr id="1127" name="Picture 1126"/>
        <xdr:cNvPicPr>
          <a:picLocks noChangeAspect="1" noChangeArrowheads="1"/>
        </xdr:cNvPicPr>
      </xdr:nvPicPr>
      <xdr:blipFill>
        <a:blip xmlns:r="http://schemas.openxmlformats.org/officeDocument/2006/relationships" r:embed="rId1126">
          <a:extLst>
            <a:ext uri="{28A0092B-C50C-407E-A947-70E740481C1C}">
              <a14:useLocalDpi xmlns:a14="http://schemas.microsoft.com/office/drawing/2010/main" val="0"/>
            </a:ext>
          </a:extLst>
        </a:blip>
        <a:srcRect/>
        <a:stretch>
          <a:fillRect/>
        </a:stretch>
      </xdr:blipFill>
      <xdr:spPr bwMode="auto">
        <a:xfrm>
          <a:off x="1228725" y="2131466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1128</xdr:row>
      <xdr:rowOff>19050</xdr:rowOff>
    </xdr:from>
    <xdr:to>
      <xdr:col>2</xdr:col>
      <xdr:colOff>1733550</xdr:colOff>
      <xdr:row>1128</xdr:row>
      <xdr:rowOff>1666875</xdr:rowOff>
    </xdr:to>
    <xdr:pic>
      <xdr:nvPicPr>
        <xdr:cNvPr id="1128" name="Picture 1127"/>
        <xdr:cNvPicPr>
          <a:picLocks noChangeAspect="1" noChangeArrowheads="1"/>
        </xdr:cNvPicPr>
      </xdr:nvPicPr>
      <xdr:blipFill>
        <a:blip xmlns:r="http://schemas.openxmlformats.org/officeDocument/2006/relationships" r:embed="rId1127">
          <a:extLst>
            <a:ext uri="{28A0092B-C50C-407E-A947-70E740481C1C}">
              <a14:useLocalDpi xmlns:a14="http://schemas.microsoft.com/office/drawing/2010/main" val="0"/>
            </a:ext>
          </a:extLst>
        </a:blip>
        <a:srcRect/>
        <a:stretch>
          <a:fillRect/>
        </a:stretch>
      </xdr:blipFill>
      <xdr:spPr bwMode="auto">
        <a:xfrm>
          <a:off x="1228725" y="2133380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1129</xdr:row>
      <xdr:rowOff>19050</xdr:rowOff>
    </xdr:from>
    <xdr:to>
      <xdr:col>2</xdr:col>
      <xdr:colOff>1733550</xdr:colOff>
      <xdr:row>1129</xdr:row>
      <xdr:rowOff>1666875</xdr:rowOff>
    </xdr:to>
    <xdr:pic>
      <xdr:nvPicPr>
        <xdr:cNvPr id="1129" name="Picture 1128"/>
        <xdr:cNvPicPr>
          <a:picLocks noChangeAspect="1" noChangeArrowheads="1"/>
        </xdr:cNvPicPr>
      </xdr:nvPicPr>
      <xdr:blipFill>
        <a:blip xmlns:r="http://schemas.openxmlformats.org/officeDocument/2006/relationships" r:embed="rId1128">
          <a:extLst>
            <a:ext uri="{28A0092B-C50C-407E-A947-70E740481C1C}">
              <a14:useLocalDpi xmlns:a14="http://schemas.microsoft.com/office/drawing/2010/main" val="0"/>
            </a:ext>
          </a:extLst>
        </a:blip>
        <a:srcRect/>
        <a:stretch>
          <a:fillRect/>
        </a:stretch>
      </xdr:blipFill>
      <xdr:spPr bwMode="auto">
        <a:xfrm>
          <a:off x="1228725" y="2135295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1130</xdr:row>
      <xdr:rowOff>19050</xdr:rowOff>
    </xdr:from>
    <xdr:to>
      <xdr:col>2</xdr:col>
      <xdr:colOff>1733550</xdr:colOff>
      <xdr:row>1130</xdr:row>
      <xdr:rowOff>1666875</xdr:rowOff>
    </xdr:to>
    <xdr:pic>
      <xdr:nvPicPr>
        <xdr:cNvPr id="1130" name="Picture 1129"/>
        <xdr:cNvPicPr>
          <a:picLocks noChangeAspect="1" noChangeArrowheads="1"/>
        </xdr:cNvPicPr>
      </xdr:nvPicPr>
      <xdr:blipFill>
        <a:blip xmlns:r="http://schemas.openxmlformats.org/officeDocument/2006/relationships" r:embed="rId1129">
          <a:extLst>
            <a:ext uri="{28A0092B-C50C-407E-A947-70E740481C1C}">
              <a14:useLocalDpi xmlns:a14="http://schemas.microsoft.com/office/drawing/2010/main" val="0"/>
            </a:ext>
          </a:extLst>
        </a:blip>
        <a:srcRect/>
        <a:stretch>
          <a:fillRect/>
        </a:stretch>
      </xdr:blipFill>
      <xdr:spPr bwMode="auto">
        <a:xfrm>
          <a:off x="1228725" y="2137209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1131</xdr:row>
      <xdr:rowOff>19050</xdr:rowOff>
    </xdr:from>
    <xdr:to>
      <xdr:col>2</xdr:col>
      <xdr:colOff>1733550</xdr:colOff>
      <xdr:row>1131</xdr:row>
      <xdr:rowOff>1666875</xdr:rowOff>
    </xdr:to>
    <xdr:pic>
      <xdr:nvPicPr>
        <xdr:cNvPr id="1131" name="Picture 1130"/>
        <xdr:cNvPicPr>
          <a:picLocks noChangeAspect="1" noChangeArrowheads="1"/>
        </xdr:cNvPicPr>
      </xdr:nvPicPr>
      <xdr:blipFill>
        <a:blip xmlns:r="http://schemas.openxmlformats.org/officeDocument/2006/relationships" r:embed="rId1130">
          <a:extLst>
            <a:ext uri="{28A0092B-C50C-407E-A947-70E740481C1C}">
              <a14:useLocalDpi xmlns:a14="http://schemas.microsoft.com/office/drawing/2010/main" val="0"/>
            </a:ext>
          </a:extLst>
        </a:blip>
        <a:srcRect/>
        <a:stretch>
          <a:fillRect/>
        </a:stretch>
      </xdr:blipFill>
      <xdr:spPr bwMode="auto">
        <a:xfrm>
          <a:off x="1228725" y="2139124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1132</xdr:row>
      <xdr:rowOff>19050</xdr:rowOff>
    </xdr:from>
    <xdr:to>
      <xdr:col>2</xdr:col>
      <xdr:colOff>1733550</xdr:colOff>
      <xdr:row>1132</xdr:row>
      <xdr:rowOff>1666875</xdr:rowOff>
    </xdr:to>
    <xdr:pic>
      <xdr:nvPicPr>
        <xdr:cNvPr id="1132" name="Picture 1131"/>
        <xdr:cNvPicPr>
          <a:picLocks noChangeAspect="1" noChangeArrowheads="1"/>
        </xdr:cNvPicPr>
      </xdr:nvPicPr>
      <xdr:blipFill>
        <a:blip xmlns:r="http://schemas.openxmlformats.org/officeDocument/2006/relationships" r:embed="rId1131">
          <a:extLst>
            <a:ext uri="{28A0092B-C50C-407E-A947-70E740481C1C}">
              <a14:useLocalDpi xmlns:a14="http://schemas.microsoft.com/office/drawing/2010/main" val="0"/>
            </a:ext>
          </a:extLst>
        </a:blip>
        <a:srcRect/>
        <a:stretch>
          <a:fillRect/>
        </a:stretch>
      </xdr:blipFill>
      <xdr:spPr bwMode="auto">
        <a:xfrm>
          <a:off x="1228725" y="2141039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1133</xdr:row>
      <xdr:rowOff>19050</xdr:rowOff>
    </xdr:from>
    <xdr:to>
      <xdr:col>2</xdr:col>
      <xdr:colOff>1733550</xdr:colOff>
      <xdr:row>1133</xdr:row>
      <xdr:rowOff>1666875</xdr:rowOff>
    </xdr:to>
    <xdr:pic>
      <xdr:nvPicPr>
        <xdr:cNvPr id="1133" name="Picture 1132"/>
        <xdr:cNvPicPr>
          <a:picLocks noChangeAspect="1" noChangeArrowheads="1"/>
        </xdr:cNvPicPr>
      </xdr:nvPicPr>
      <xdr:blipFill>
        <a:blip xmlns:r="http://schemas.openxmlformats.org/officeDocument/2006/relationships" r:embed="rId1132">
          <a:extLst>
            <a:ext uri="{28A0092B-C50C-407E-A947-70E740481C1C}">
              <a14:useLocalDpi xmlns:a14="http://schemas.microsoft.com/office/drawing/2010/main" val="0"/>
            </a:ext>
          </a:extLst>
        </a:blip>
        <a:srcRect/>
        <a:stretch>
          <a:fillRect/>
        </a:stretch>
      </xdr:blipFill>
      <xdr:spPr bwMode="auto">
        <a:xfrm>
          <a:off x="1228725" y="2142953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1134</xdr:row>
      <xdr:rowOff>19050</xdr:rowOff>
    </xdr:from>
    <xdr:to>
      <xdr:col>2</xdr:col>
      <xdr:colOff>1733550</xdr:colOff>
      <xdr:row>1134</xdr:row>
      <xdr:rowOff>1666875</xdr:rowOff>
    </xdr:to>
    <xdr:pic>
      <xdr:nvPicPr>
        <xdr:cNvPr id="1134" name="Picture 1133"/>
        <xdr:cNvPicPr>
          <a:picLocks noChangeAspect="1" noChangeArrowheads="1"/>
        </xdr:cNvPicPr>
      </xdr:nvPicPr>
      <xdr:blipFill>
        <a:blip xmlns:r="http://schemas.openxmlformats.org/officeDocument/2006/relationships" r:embed="rId1133">
          <a:extLst>
            <a:ext uri="{28A0092B-C50C-407E-A947-70E740481C1C}">
              <a14:useLocalDpi xmlns:a14="http://schemas.microsoft.com/office/drawing/2010/main" val="0"/>
            </a:ext>
          </a:extLst>
        </a:blip>
        <a:srcRect/>
        <a:stretch>
          <a:fillRect/>
        </a:stretch>
      </xdr:blipFill>
      <xdr:spPr bwMode="auto">
        <a:xfrm>
          <a:off x="1228725" y="2144868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1135</xdr:row>
      <xdr:rowOff>19050</xdr:rowOff>
    </xdr:from>
    <xdr:to>
      <xdr:col>2</xdr:col>
      <xdr:colOff>1733550</xdr:colOff>
      <xdr:row>1135</xdr:row>
      <xdr:rowOff>1666875</xdr:rowOff>
    </xdr:to>
    <xdr:pic>
      <xdr:nvPicPr>
        <xdr:cNvPr id="1135" name="Picture 1134"/>
        <xdr:cNvPicPr>
          <a:picLocks noChangeAspect="1" noChangeArrowheads="1"/>
        </xdr:cNvPicPr>
      </xdr:nvPicPr>
      <xdr:blipFill>
        <a:blip xmlns:r="http://schemas.openxmlformats.org/officeDocument/2006/relationships" r:embed="rId1134">
          <a:extLst>
            <a:ext uri="{28A0092B-C50C-407E-A947-70E740481C1C}">
              <a14:useLocalDpi xmlns:a14="http://schemas.microsoft.com/office/drawing/2010/main" val="0"/>
            </a:ext>
          </a:extLst>
        </a:blip>
        <a:srcRect/>
        <a:stretch>
          <a:fillRect/>
        </a:stretch>
      </xdr:blipFill>
      <xdr:spPr bwMode="auto">
        <a:xfrm>
          <a:off x="1228725" y="2146782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1136</xdr:row>
      <xdr:rowOff>19050</xdr:rowOff>
    </xdr:from>
    <xdr:to>
      <xdr:col>2</xdr:col>
      <xdr:colOff>1733550</xdr:colOff>
      <xdr:row>1136</xdr:row>
      <xdr:rowOff>1666875</xdr:rowOff>
    </xdr:to>
    <xdr:pic>
      <xdr:nvPicPr>
        <xdr:cNvPr id="1136" name="Picture 1135"/>
        <xdr:cNvPicPr>
          <a:picLocks noChangeAspect="1" noChangeArrowheads="1"/>
        </xdr:cNvPicPr>
      </xdr:nvPicPr>
      <xdr:blipFill>
        <a:blip xmlns:r="http://schemas.openxmlformats.org/officeDocument/2006/relationships" r:embed="rId1135">
          <a:extLst>
            <a:ext uri="{28A0092B-C50C-407E-A947-70E740481C1C}">
              <a14:useLocalDpi xmlns:a14="http://schemas.microsoft.com/office/drawing/2010/main" val="0"/>
            </a:ext>
          </a:extLst>
        </a:blip>
        <a:srcRect/>
        <a:stretch>
          <a:fillRect/>
        </a:stretch>
      </xdr:blipFill>
      <xdr:spPr bwMode="auto">
        <a:xfrm>
          <a:off x="1228725" y="2148697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1137</xdr:row>
      <xdr:rowOff>19050</xdr:rowOff>
    </xdr:from>
    <xdr:to>
      <xdr:col>2</xdr:col>
      <xdr:colOff>1733550</xdr:colOff>
      <xdr:row>1137</xdr:row>
      <xdr:rowOff>1666875</xdr:rowOff>
    </xdr:to>
    <xdr:pic>
      <xdr:nvPicPr>
        <xdr:cNvPr id="1137" name="Picture 1136"/>
        <xdr:cNvPicPr>
          <a:picLocks noChangeAspect="1" noChangeArrowheads="1"/>
        </xdr:cNvPicPr>
      </xdr:nvPicPr>
      <xdr:blipFill>
        <a:blip xmlns:r="http://schemas.openxmlformats.org/officeDocument/2006/relationships" r:embed="rId1136">
          <a:extLst>
            <a:ext uri="{28A0092B-C50C-407E-A947-70E740481C1C}">
              <a14:useLocalDpi xmlns:a14="http://schemas.microsoft.com/office/drawing/2010/main" val="0"/>
            </a:ext>
          </a:extLst>
        </a:blip>
        <a:srcRect/>
        <a:stretch>
          <a:fillRect/>
        </a:stretch>
      </xdr:blipFill>
      <xdr:spPr bwMode="auto">
        <a:xfrm>
          <a:off x="1228725" y="2150611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1138</xdr:row>
      <xdr:rowOff>19050</xdr:rowOff>
    </xdr:from>
    <xdr:to>
      <xdr:col>2</xdr:col>
      <xdr:colOff>1733550</xdr:colOff>
      <xdr:row>1138</xdr:row>
      <xdr:rowOff>1666875</xdr:rowOff>
    </xdr:to>
    <xdr:pic>
      <xdr:nvPicPr>
        <xdr:cNvPr id="1138" name="Picture 1137"/>
        <xdr:cNvPicPr>
          <a:picLocks noChangeAspect="1" noChangeArrowheads="1"/>
        </xdr:cNvPicPr>
      </xdr:nvPicPr>
      <xdr:blipFill>
        <a:blip xmlns:r="http://schemas.openxmlformats.org/officeDocument/2006/relationships" r:embed="rId1137">
          <a:extLst>
            <a:ext uri="{28A0092B-C50C-407E-A947-70E740481C1C}">
              <a14:useLocalDpi xmlns:a14="http://schemas.microsoft.com/office/drawing/2010/main" val="0"/>
            </a:ext>
          </a:extLst>
        </a:blip>
        <a:srcRect/>
        <a:stretch>
          <a:fillRect/>
        </a:stretch>
      </xdr:blipFill>
      <xdr:spPr bwMode="auto">
        <a:xfrm>
          <a:off x="1228725" y="2152526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1139</xdr:row>
      <xdr:rowOff>19050</xdr:rowOff>
    </xdr:from>
    <xdr:to>
      <xdr:col>2</xdr:col>
      <xdr:colOff>1733550</xdr:colOff>
      <xdr:row>1139</xdr:row>
      <xdr:rowOff>1666875</xdr:rowOff>
    </xdr:to>
    <xdr:pic>
      <xdr:nvPicPr>
        <xdr:cNvPr id="1139" name="Picture 1138"/>
        <xdr:cNvPicPr>
          <a:picLocks noChangeAspect="1" noChangeArrowheads="1"/>
        </xdr:cNvPicPr>
      </xdr:nvPicPr>
      <xdr:blipFill>
        <a:blip xmlns:r="http://schemas.openxmlformats.org/officeDocument/2006/relationships" r:embed="rId1138">
          <a:extLst>
            <a:ext uri="{28A0092B-C50C-407E-A947-70E740481C1C}">
              <a14:useLocalDpi xmlns:a14="http://schemas.microsoft.com/office/drawing/2010/main" val="0"/>
            </a:ext>
          </a:extLst>
        </a:blip>
        <a:srcRect/>
        <a:stretch>
          <a:fillRect/>
        </a:stretch>
      </xdr:blipFill>
      <xdr:spPr bwMode="auto">
        <a:xfrm>
          <a:off x="1228725" y="2154440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1140</xdr:row>
      <xdr:rowOff>19050</xdr:rowOff>
    </xdr:from>
    <xdr:to>
      <xdr:col>2</xdr:col>
      <xdr:colOff>1733550</xdr:colOff>
      <xdr:row>1140</xdr:row>
      <xdr:rowOff>1666875</xdr:rowOff>
    </xdr:to>
    <xdr:pic>
      <xdr:nvPicPr>
        <xdr:cNvPr id="1140" name="Picture 1139"/>
        <xdr:cNvPicPr>
          <a:picLocks noChangeAspect="1" noChangeArrowheads="1"/>
        </xdr:cNvPicPr>
      </xdr:nvPicPr>
      <xdr:blipFill>
        <a:blip xmlns:r="http://schemas.openxmlformats.org/officeDocument/2006/relationships" r:embed="rId1139">
          <a:extLst>
            <a:ext uri="{28A0092B-C50C-407E-A947-70E740481C1C}">
              <a14:useLocalDpi xmlns:a14="http://schemas.microsoft.com/office/drawing/2010/main" val="0"/>
            </a:ext>
          </a:extLst>
        </a:blip>
        <a:srcRect/>
        <a:stretch>
          <a:fillRect/>
        </a:stretch>
      </xdr:blipFill>
      <xdr:spPr bwMode="auto">
        <a:xfrm>
          <a:off x="1228725" y="2156355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1141</xdr:row>
      <xdr:rowOff>19050</xdr:rowOff>
    </xdr:from>
    <xdr:to>
      <xdr:col>2</xdr:col>
      <xdr:colOff>1733550</xdr:colOff>
      <xdr:row>1141</xdr:row>
      <xdr:rowOff>1666875</xdr:rowOff>
    </xdr:to>
    <xdr:pic>
      <xdr:nvPicPr>
        <xdr:cNvPr id="1141" name="Picture 1140"/>
        <xdr:cNvPicPr>
          <a:picLocks noChangeAspect="1" noChangeArrowheads="1"/>
        </xdr:cNvPicPr>
      </xdr:nvPicPr>
      <xdr:blipFill>
        <a:blip xmlns:r="http://schemas.openxmlformats.org/officeDocument/2006/relationships" r:embed="rId1140">
          <a:extLst>
            <a:ext uri="{28A0092B-C50C-407E-A947-70E740481C1C}">
              <a14:useLocalDpi xmlns:a14="http://schemas.microsoft.com/office/drawing/2010/main" val="0"/>
            </a:ext>
          </a:extLst>
        </a:blip>
        <a:srcRect/>
        <a:stretch>
          <a:fillRect/>
        </a:stretch>
      </xdr:blipFill>
      <xdr:spPr bwMode="auto">
        <a:xfrm>
          <a:off x="1228725" y="2158269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1142</xdr:row>
      <xdr:rowOff>19050</xdr:rowOff>
    </xdr:from>
    <xdr:to>
      <xdr:col>2</xdr:col>
      <xdr:colOff>1733550</xdr:colOff>
      <xdr:row>1142</xdr:row>
      <xdr:rowOff>1666875</xdr:rowOff>
    </xdr:to>
    <xdr:pic>
      <xdr:nvPicPr>
        <xdr:cNvPr id="1142" name="Picture 1141"/>
        <xdr:cNvPicPr>
          <a:picLocks noChangeAspect="1" noChangeArrowheads="1"/>
        </xdr:cNvPicPr>
      </xdr:nvPicPr>
      <xdr:blipFill>
        <a:blip xmlns:r="http://schemas.openxmlformats.org/officeDocument/2006/relationships" r:embed="rId1141">
          <a:extLst>
            <a:ext uri="{28A0092B-C50C-407E-A947-70E740481C1C}">
              <a14:useLocalDpi xmlns:a14="http://schemas.microsoft.com/office/drawing/2010/main" val="0"/>
            </a:ext>
          </a:extLst>
        </a:blip>
        <a:srcRect/>
        <a:stretch>
          <a:fillRect/>
        </a:stretch>
      </xdr:blipFill>
      <xdr:spPr bwMode="auto">
        <a:xfrm>
          <a:off x="1228725" y="2160184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1143</xdr:row>
      <xdr:rowOff>19050</xdr:rowOff>
    </xdr:from>
    <xdr:to>
      <xdr:col>2</xdr:col>
      <xdr:colOff>1733550</xdr:colOff>
      <xdr:row>1143</xdr:row>
      <xdr:rowOff>1666875</xdr:rowOff>
    </xdr:to>
    <xdr:pic>
      <xdr:nvPicPr>
        <xdr:cNvPr id="1143" name="Picture 1142"/>
        <xdr:cNvPicPr>
          <a:picLocks noChangeAspect="1" noChangeArrowheads="1"/>
        </xdr:cNvPicPr>
      </xdr:nvPicPr>
      <xdr:blipFill>
        <a:blip xmlns:r="http://schemas.openxmlformats.org/officeDocument/2006/relationships" r:embed="rId1142">
          <a:extLst>
            <a:ext uri="{28A0092B-C50C-407E-A947-70E740481C1C}">
              <a14:useLocalDpi xmlns:a14="http://schemas.microsoft.com/office/drawing/2010/main" val="0"/>
            </a:ext>
          </a:extLst>
        </a:blip>
        <a:srcRect/>
        <a:stretch>
          <a:fillRect/>
        </a:stretch>
      </xdr:blipFill>
      <xdr:spPr bwMode="auto">
        <a:xfrm>
          <a:off x="1228725" y="2162098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1144</xdr:row>
      <xdr:rowOff>19050</xdr:rowOff>
    </xdr:from>
    <xdr:to>
      <xdr:col>2</xdr:col>
      <xdr:colOff>1733550</xdr:colOff>
      <xdr:row>1144</xdr:row>
      <xdr:rowOff>1666875</xdr:rowOff>
    </xdr:to>
    <xdr:pic>
      <xdr:nvPicPr>
        <xdr:cNvPr id="1144" name="Picture 1143"/>
        <xdr:cNvPicPr>
          <a:picLocks noChangeAspect="1" noChangeArrowheads="1"/>
        </xdr:cNvPicPr>
      </xdr:nvPicPr>
      <xdr:blipFill>
        <a:blip xmlns:r="http://schemas.openxmlformats.org/officeDocument/2006/relationships" r:embed="rId1143">
          <a:extLst>
            <a:ext uri="{28A0092B-C50C-407E-A947-70E740481C1C}">
              <a14:useLocalDpi xmlns:a14="http://schemas.microsoft.com/office/drawing/2010/main" val="0"/>
            </a:ext>
          </a:extLst>
        </a:blip>
        <a:srcRect/>
        <a:stretch>
          <a:fillRect/>
        </a:stretch>
      </xdr:blipFill>
      <xdr:spPr bwMode="auto">
        <a:xfrm>
          <a:off x="1228725" y="2164013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1145</xdr:row>
      <xdr:rowOff>19050</xdr:rowOff>
    </xdr:from>
    <xdr:to>
      <xdr:col>2</xdr:col>
      <xdr:colOff>1733550</xdr:colOff>
      <xdr:row>1145</xdr:row>
      <xdr:rowOff>1666875</xdr:rowOff>
    </xdr:to>
    <xdr:pic>
      <xdr:nvPicPr>
        <xdr:cNvPr id="1145" name="Picture 1144"/>
        <xdr:cNvPicPr>
          <a:picLocks noChangeAspect="1" noChangeArrowheads="1"/>
        </xdr:cNvPicPr>
      </xdr:nvPicPr>
      <xdr:blipFill>
        <a:blip xmlns:r="http://schemas.openxmlformats.org/officeDocument/2006/relationships" r:embed="rId1144">
          <a:extLst>
            <a:ext uri="{28A0092B-C50C-407E-A947-70E740481C1C}">
              <a14:useLocalDpi xmlns:a14="http://schemas.microsoft.com/office/drawing/2010/main" val="0"/>
            </a:ext>
          </a:extLst>
        </a:blip>
        <a:srcRect/>
        <a:stretch>
          <a:fillRect/>
        </a:stretch>
      </xdr:blipFill>
      <xdr:spPr bwMode="auto">
        <a:xfrm>
          <a:off x="1228725" y="2165927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1146</xdr:row>
      <xdr:rowOff>19050</xdr:rowOff>
    </xdr:from>
    <xdr:to>
      <xdr:col>2</xdr:col>
      <xdr:colOff>1733550</xdr:colOff>
      <xdr:row>1146</xdr:row>
      <xdr:rowOff>1666875</xdr:rowOff>
    </xdr:to>
    <xdr:pic>
      <xdr:nvPicPr>
        <xdr:cNvPr id="1146" name="Picture 1145"/>
        <xdr:cNvPicPr>
          <a:picLocks noChangeAspect="1" noChangeArrowheads="1"/>
        </xdr:cNvPicPr>
      </xdr:nvPicPr>
      <xdr:blipFill>
        <a:blip xmlns:r="http://schemas.openxmlformats.org/officeDocument/2006/relationships" r:embed="rId1145">
          <a:extLst>
            <a:ext uri="{28A0092B-C50C-407E-A947-70E740481C1C}">
              <a14:useLocalDpi xmlns:a14="http://schemas.microsoft.com/office/drawing/2010/main" val="0"/>
            </a:ext>
          </a:extLst>
        </a:blip>
        <a:srcRect/>
        <a:stretch>
          <a:fillRect/>
        </a:stretch>
      </xdr:blipFill>
      <xdr:spPr bwMode="auto">
        <a:xfrm>
          <a:off x="1228725" y="2167842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1147</xdr:row>
      <xdr:rowOff>19050</xdr:rowOff>
    </xdr:from>
    <xdr:to>
      <xdr:col>2</xdr:col>
      <xdr:colOff>1733550</xdr:colOff>
      <xdr:row>1147</xdr:row>
      <xdr:rowOff>1666875</xdr:rowOff>
    </xdr:to>
    <xdr:pic>
      <xdr:nvPicPr>
        <xdr:cNvPr id="1147" name="Picture 1146"/>
        <xdr:cNvPicPr>
          <a:picLocks noChangeAspect="1" noChangeArrowheads="1"/>
        </xdr:cNvPicPr>
      </xdr:nvPicPr>
      <xdr:blipFill>
        <a:blip xmlns:r="http://schemas.openxmlformats.org/officeDocument/2006/relationships" r:embed="rId1146">
          <a:extLst>
            <a:ext uri="{28A0092B-C50C-407E-A947-70E740481C1C}">
              <a14:useLocalDpi xmlns:a14="http://schemas.microsoft.com/office/drawing/2010/main" val="0"/>
            </a:ext>
          </a:extLst>
        </a:blip>
        <a:srcRect/>
        <a:stretch>
          <a:fillRect/>
        </a:stretch>
      </xdr:blipFill>
      <xdr:spPr bwMode="auto">
        <a:xfrm>
          <a:off x="1228725" y="2169756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1148</xdr:row>
      <xdr:rowOff>19050</xdr:rowOff>
    </xdr:from>
    <xdr:to>
      <xdr:col>2</xdr:col>
      <xdr:colOff>1733550</xdr:colOff>
      <xdr:row>1148</xdr:row>
      <xdr:rowOff>1666875</xdr:rowOff>
    </xdr:to>
    <xdr:pic>
      <xdr:nvPicPr>
        <xdr:cNvPr id="1148" name="Picture 1147"/>
        <xdr:cNvPicPr>
          <a:picLocks noChangeAspect="1" noChangeArrowheads="1"/>
        </xdr:cNvPicPr>
      </xdr:nvPicPr>
      <xdr:blipFill>
        <a:blip xmlns:r="http://schemas.openxmlformats.org/officeDocument/2006/relationships" r:embed="rId1147">
          <a:extLst>
            <a:ext uri="{28A0092B-C50C-407E-A947-70E740481C1C}">
              <a14:useLocalDpi xmlns:a14="http://schemas.microsoft.com/office/drawing/2010/main" val="0"/>
            </a:ext>
          </a:extLst>
        </a:blip>
        <a:srcRect/>
        <a:stretch>
          <a:fillRect/>
        </a:stretch>
      </xdr:blipFill>
      <xdr:spPr bwMode="auto">
        <a:xfrm>
          <a:off x="1228725" y="2171671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1149</xdr:row>
      <xdr:rowOff>19050</xdr:rowOff>
    </xdr:from>
    <xdr:to>
      <xdr:col>2</xdr:col>
      <xdr:colOff>1733550</xdr:colOff>
      <xdr:row>1149</xdr:row>
      <xdr:rowOff>1666875</xdr:rowOff>
    </xdr:to>
    <xdr:pic>
      <xdr:nvPicPr>
        <xdr:cNvPr id="1149" name="Picture 1148"/>
        <xdr:cNvPicPr>
          <a:picLocks noChangeAspect="1" noChangeArrowheads="1"/>
        </xdr:cNvPicPr>
      </xdr:nvPicPr>
      <xdr:blipFill>
        <a:blip xmlns:r="http://schemas.openxmlformats.org/officeDocument/2006/relationships" r:embed="rId1148">
          <a:extLst>
            <a:ext uri="{28A0092B-C50C-407E-A947-70E740481C1C}">
              <a14:useLocalDpi xmlns:a14="http://schemas.microsoft.com/office/drawing/2010/main" val="0"/>
            </a:ext>
          </a:extLst>
        </a:blip>
        <a:srcRect/>
        <a:stretch>
          <a:fillRect/>
        </a:stretch>
      </xdr:blipFill>
      <xdr:spPr bwMode="auto">
        <a:xfrm>
          <a:off x="1228725" y="2173585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1150</xdr:row>
      <xdr:rowOff>19050</xdr:rowOff>
    </xdr:from>
    <xdr:to>
      <xdr:col>2</xdr:col>
      <xdr:colOff>1733550</xdr:colOff>
      <xdr:row>1150</xdr:row>
      <xdr:rowOff>1666875</xdr:rowOff>
    </xdr:to>
    <xdr:pic>
      <xdr:nvPicPr>
        <xdr:cNvPr id="1150" name="Picture 1149"/>
        <xdr:cNvPicPr>
          <a:picLocks noChangeAspect="1" noChangeArrowheads="1"/>
        </xdr:cNvPicPr>
      </xdr:nvPicPr>
      <xdr:blipFill>
        <a:blip xmlns:r="http://schemas.openxmlformats.org/officeDocument/2006/relationships" r:embed="rId1149">
          <a:extLst>
            <a:ext uri="{28A0092B-C50C-407E-A947-70E740481C1C}">
              <a14:useLocalDpi xmlns:a14="http://schemas.microsoft.com/office/drawing/2010/main" val="0"/>
            </a:ext>
          </a:extLst>
        </a:blip>
        <a:srcRect/>
        <a:stretch>
          <a:fillRect/>
        </a:stretch>
      </xdr:blipFill>
      <xdr:spPr bwMode="auto">
        <a:xfrm>
          <a:off x="1228725" y="2175500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1151</xdr:row>
      <xdr:rowOff>19050</xdr:rowOff>
    </xdr:from>
    <xdr:to>
      <xdr:col>2</xdr:col>
      <xdr:colOff>1733550</xdr:colOff>
      <xdr:row>1151</xdr:row>
      <xdr:rowOff>1666875</xdr:rowOff>
    </xdr:to>
    <xdr:pic>
      <xdr:nvPicPr>
        <xdr:cNvPr id="1151" name="Picture 1150"/>
        <xdr:cNvPicPr>
          <a:picLocks noChangeAspect="1" noChangeArrowheads="1"/>
        </xdr:cNvPicPr>
      </xdr:nvPicPr>
      <xdr:blipFill>
        <a:blip xmlns:r="http://schemas.openxmlformats.org/officeDocument/2006/relationships" r:embed="rId1150">
          <a:extLst>
            <a:ext uri="{28A0092B-C50C-407E-A947-70E740481C1C}">
              <a14:useLocalDpi xmlns:a14="http://schemas.microsoft.com/office/drawing/2010/main" val="0"/>
            </a:ext>
          </a:extLst>
        </a:blip>
        <a:srcRect/>
        <a:stretch>
          <a:fillRect/>
        </a:stretch>
      </xdr:blipFill>
      <xdr:spPr bwMode="auto">
        <a:xfrm>
          <a:off x="1228725" y="2177415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1152</xdr:row>
      <xdr:rowOff>19050</xdr:rowOff>
    </xdr:from>
    <xdr:to>
      <xdr:col>2</xdr:col>
      <xdr:colOff>1733550</xdr:colOff>
      <xdr:row>1152</xdr:row>
      <xdr:rowOff>1666875</xdr:rowOff>
    </xdr:to>
    <xdr:pic>
      <xdr:nvPicPr>
        <xdr:cNvPr id="1152" name="Picture 1151"/>
        <xdr:cNvPicPr>
          <a:picLocks noChangeAspect="1" noChangeArrowheads="1"/>
        </xdr:cNvPicPr>
      </xdr:nvPicPr>
      <xdr:blipFill>
        <a:blip xmlns:r="http://schemas.openxmlformats.org/officeDocument/2006/relationships" r:embed="rId1151">
          <a:extLst>
            <a:ext uri="{28A0092B-C50C-407E-A947-70E740481C1C}">
              <a14:useLocalDpi xmlns:a14="http://schemas.microsoft.com/office/drawing/2010/main" val="0"/>
            </a:ext>
          </a:extLst>
        </a:blip>
        <a:srcRect/>
        <a:stretch>
          <a:fillRect/>
        </a:stretch>
      </xdr:blipFill>
      <xdr:spPr bwMode="auto">
        <a:xfrm>
          <a:off x="1228725" y="2179329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1153</xdr:row>
      <xdr:rowOff>19050</xdr:rowOff>
    </xdr:from>
    <xdr:to>
      <xdr:col>2</xdr:col>
      <xdr:colOff>1733550</xdr:colOff>
      <xdr:row>1153</xdr:row>
      <xdr:rowOff>1666875</xdr:rowOff>
    </xdr:to>
    <xdr:pic>
      <xdr:nvPicPr>
        <xdr:cNvPr id="1153" name="Picture 1152"/>
        <xdr:cNvPicPr>
          <a:picLocks noChangeAspect="1" noChangeArrowheads="1"/>
        </xdr:cNvPicPr>
      </xdr:nvPicPr>
      <xdr:blipFill>
        <a:blip xmlns:r="http://schemas.openxmlformats.org/officeDocument/2006/relationships" r:embed="rId1152">
          <a:extLst>
            <a:ext uri="{28A0092B-C50C-407E-A947-70E740481C1C}">
              <a14:useLocalDpi xmlns:a14="http://schemas.microsoft.com/office/drawing/2010/main" val="0"/>
            </a:ext>
          </a:extLst>
        </a:blip>
        <a:srcRect/>
        <a:stretch>
          <a:fillRect/>
        </a:stretch>
      </xdr:blipFill>
      <xdr:spPr bwMode="auto">
        <a:xfrm>
          <a:off x="1228725" y="2181244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1154</xdr:row>
      <xdr:rowOff>19050</xdr:rowOff>
    </xdr:from>
    <xdr:to>
      <xdr:col>2</xdr:col>
      <xdr:colOff>1733550</xdr:colOff>
      <xdr:row>1154</xdr:row>
      <xdr:rowOff>1666875</xdr:rowOff>
    </xdr:to>
    <xdr:pic>
      <xdr:nvPicPr>
        <xdr:cNvPr id="1154" name="Picture 1153"/>
        <xdr:cNvPicPr>
          <a:picLocks noChangeAspect="1" noChangeArrowheads="1"/>
        </xdr:cNvPicPr>
      </xdr:nvPicPr>
      <xdr:blipFill>
        <a:blip xmlns:r="http://schemas.openxmlformats.org/officeDocument/2006/relationships" r:embed="rId1153">
          <a:extLst>
            <a:ext uri="{28A0092B-C50C-407E-A947-70E740481C1C}">
              <a14:useLocalDpi xmlns:a14="http://schemas.microsoft.com/office/drawing/2010/main" val="0"/>
            </a:ext>
          </a:extLst>
        </a:blip>
        <a:srcRect/>
        <a:stretch>
          <a:fillRect/>
        </a:stretch>
      </xdr:blipFill>
      <xdr:spPr bwMode="auto">
        <a:xfrm>
          <a:off x="1228725" y="2183158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1155</xdr:row>
      <xdr:rowOff>19050</xdr:rowOff>
    </xdr:from>
    <xdr:to>
      <xdr:col>2</xdr:col>
      <xdr:colOff>1733550</xdr:colOff>
      <xdr:row>1155</xdr:row>
      <xdr:rowOff>1666875</xdr:rowOff>
    </xdr:to>
    <xdr:pic>
      <xdr:nvPicPr>
        <xdr:cNvPr id="1155" name="Picture 1154"/>
        <xdr:cNvPicPr>
          <a:picLocks noChangeAspect="1" noChangeArrowheads="1"/>
        </xdr:cNvPicPr>
      </xdr:nvPicPr>
      <xdr:blipFill>
        <a:blip xmlns:r="http://schemas.openxmlformats.org/officeDocument/2006/relationships" r:embed="rId1154">
          <a:extLst>
            <a:ext uri="{28A0092B-C50C-407E-A947-70E740481C1C}">
              <a14:useLocalDpi xmlns:a14="http://schemas.microsoft.com/office/drawing/2010/main" val="0"/>
            </a:ext>
          </a:extLst>
        </a:blip>
        <a:srcRect/>
        <a:stretch>
          <a:fillRect/>
        </a:stretch>
      </xdr:blipFill>
      <xdr:spPr bwMode="auto">
        <a:xfrm>
          <a:off x="1228725" y="2185073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1156</xdr:row>
      <xdr:rowOff>19050</xdr:rowOff>
    </xdr:from>
    <xdr:to>
      <xdr:col>2</xdr:col>
      <xdr:colOff>1733550</xdr:colOff>
      <xdr:row>1156</xdr:row>
      <xdr:rowOff>1666875</xdr:rowOff>
    </xdr:to>
    <xdr:pic>
      <xdr:nvPicPr>
        <xdr:cNvPr id="1156" name="Picture 1155"/>
        <xdr:cNvPicPr>
          <a:picLocks noChangeAspect="1" noChangeArrowheads="1"/>
        </xdr:cNvPicPr>
      </xdr:nvPicPr>
      <xdr:blipFill>
        <a:blip xmlns:r="http://schemas.openxmlformats.org/officeDocument/2006/relationships" r:embed="rId1155">
          <a:extLst>
            <a:ext uri="{28A0092B-C50C-407E-A947-70E740481C1C}">
              <a14:useLocalDpi xmlns:a14="http://schemas.microsoft.com/office/drawing/2010/main" val="0"/>
            </a:ext>
          </a:extLst>
        </a:blip>
        <a:srcRect/>
        <a:stretch>
          <a:fillRect/>
        </a:stretch>
      </xdr:blipFill>
      <xdr:spPr bwMode="auto">
        <a:xfrm>
          <a:off x="1228725" y="2186987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1157</xdr:row>
      <xdr:rowOff>19050</xdr:rowOff>
    </xdr:from>
    <xdr:to>
      <xdr:col>2</xdr:col>
      <xdr:colOff>1733550</xdr:colOff>
      <xdr:row>1157</xdr:row>
      <xdr:rowOff>1666875</xdr:rowOff>
    </xdr:to>
    <xdr:pic>
      <xdr:nvPicPr>
        <xdr:cNvPr id="1157" name="Picture 1156"/>
        <xdr:cNvPicPr>
          <a:picLocks noChangeAspect="1" noChangeArrowheads="1"/>
        </xdr:cNvPicPr>
      </xdr:nvPicPr>
      <xdr:blipFill>
        <a:blip xmlns:r="http://schemas.openxmlformats.org/officeDocument/2006/relationships" r:embed="rId1156">
          <a:extLst>
            <a:ext uri="{28A0092B-C50C-407E-A947-70E740481C1C}">
              <a14:useLocalDpi xmlns:a14="http://schemas.microsoft.com/office/drawing/2010/main" val="0"/>
            </a:ext>
          </a:extLst>
        </a:blip>
        <a:srcRect/>
        <a:stretch>
          <a:fillRect/>
        </a:stretch>
      </xdr:blipFill>
      <xdr:spPr bwMode="auto">
        <a:xfrm>
          <a:off x="1228725" y="2188902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1158</xdr:row>
      <xdr:rowOff>19050</xdr:rowOff>
    </xdr:from>
    <xdr:to>
      <xdr:col>2</xdr:col>
      <xdr:colOff>1733550</xdr:colOff>
      <xdr:row>1158</xdr:row>
      <xdr:rowOff>1666875</xdr:rowOff>
    </xdr:to>
    <xdr:pic>
      <xdr:nvPicPr>
        <xdr:cNvPr id="1158" name="Picture 1157"/>
        <xdr:cNvPicPr>
          <a:picLocks noChangeAspect="1" noChangeArrowheads="1"/>
        </xdr:cNvPicPr>
      </xdr:nvPicPr>
      <xdr:blipFill>
        <a:blip xmlns:r="http://schemas.openxmlformats.org/officeDocument/2006/relationships" r:embed="rId1157">
          <a:extLst>
            <a:ext uri="{28A0092B-C50C-407E-A947-70E740481C1C}">
              <a14:useLocalDpi xmlns:a14="http://schemas.microsoft.com/office/drawing/2010/main" val="0"/>
            </a:ext>
          </a:extLst>
        </a:blip>
        <a:srcRect/>
        <a:stretch>
          <a:fillRect/>
        </a:stretch>
      </xdr:blipFill>
      <xdr:spPr bwMode="auto">
        <a:xfrm>
          <a:off x="1228725" y="2190816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1159</xdr:row>
      <xdr:rowOff>19050</xdr:rowOff>
    </xdr:from>
    <xdr:to>
      <xdr:col>2</xdr:col>
      <xdr:colOff>1733550</xdr:colOff>
      <xdr:row>1159</xdr:row>
      <xdr:rowOff>1666875</xdr:rowOff>
    </xdr:to>
    <xdr:pic>
      <xdr:nvPicPr>
        <xdr:cNvPr id="1159" name="Picture 1158"/>
        <xdr:cNvPicPr>
          <a:picLocks noChangeAspect="1" noChangeArrowheads="1"/>
        </xdr:cNvPicPr>
      </xdr:nvPicPr>
      <xdr:blipFill>
        <a:blip xmlns:r="http://schemas.openxmlformats.org/officeDocument/2006/relationships" r:embed="rId1158">
          <a:extLst>
            <a:ext uri="{28A0092B-C50C-407E-A947-70E740481C1C}">
              <a14:useLocalDpi xmlns:a14="http://schemas.microsoft.com/office/drawing/2010/main" val="0"/>
            </a:ext>
          </a:extLst>
        </a:blip>
        <a:srcRect/>
        <a:stretch>
          <a:fillRect/>
        </a:stretch>
      </xdr:blipFill>
      <xdr:spPr bwMode="auto">
        <a:xfrm>
          <a:off x="1228725" y="2192731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1160</xdr:row>
      <xdr:rowOff>19050</xdr:rowOff>
    </xdr:from>
    <xdr:to>
      <xdr:col>2</xdr:col>
      <xdr:colOff>1733550</xdr:colOff>
      <xdr:row>1160</xdr:row>
      <xdr:rowOff>1666875</xdr:rowOff>
    </xdr:to>
    <xdr:pic>
      <xdr:nvPicPr>
        <xdr:cNvPr id="1160" name="Picture 1159"/>
        <xdr:cNvPicPr>
          <a:picLocks noChangeAspect="1" noChangeArrowheads="1"/>
        </xdr:cNvPicPr>
      </xdr:nvPicPr>
      <xdr:blipFill>
        <a:blip xmlns:r="http://schemas.openxmlformats.org/officeDocument/2006/relationships" r:embed="rId1159">
          <a:extLst>
            <a:ext uri="{28A0092B-C50C-407E-A947-70E740481C1C}">
              <a14:useLocalDpi xmlns:a14="http://schemas.microsoft.com/office/drawing/2010/main" val="0"/>
            </a:ext>
          </a:extLst>
        </a:blip>
        <a:srcRect/>
        <a:stretch>
          <a:fillRect/>
        </a:stretch>
      </xdr:blipFill>
      <xdr:spPr bwMode="auto">
        <a:xfrm>
          <a:off x="1228725" y="2194645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1161</xdr:row>
      <xdr:rowOff>19050</xdr:rowOff>
    </xdr:from>
    <xdr:to>
      <xdr:col>2</xdr:col>
      <xdr:colOff>1733550</xdr:colOff>
      <xdr:row>1161</xdr:row>
      <xdr:rowOff>1666875</xdr:rowOff>
    </xdr:to>
    <xdr:pic>
      <xdr:nvPicPr>
        <xdr:cNvPr id="1161" name="Picture 1160"/>
        <xdr:cNvPicPr>
          <a:picLocks noChangeAspect="1" noChangeArrowheads="1"/>
        </xdr:cNvPicPr>
      </xdr:nvPicPr>
      <xdr:blipFill>
        <a:blip xmlns:r="http://schemas.openxmlformats.org/officeDocument/2006/relationships" r:embed="rId1160">
          <a:extLst>
            <a:ext uri="{28A0092B-C50C-407E-A947-70E740481C1C}">
              <a14:useLocalDpi xmlns:a14="http://schemas.microsoft.com/office/drawing/2010/main" val="0"/>
            </a:ext>
          </a:extLst>
        </a:blip>
        <a:srcRect/>
        <a:stretch>
          <a:fillRect/>
        </a:stretch>
      </xdr:blipFill>
      <xdr:spPr bwMode="auto">
        <a:xfrm>
          <a:off x="1228725" y="2196560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1162</xdr:row>
      <xdr:rowOff>19050</xdr:rowOff>
    </xdr:from>
    <xdr:to>
      <xdr:col>2</xdr:col>
      <xdr:colOff>1733550</xdr:colOff>
      <xdr:row>1162</xdr:row>
      <xdr:rowOff>1666875</xdr:rowOff>
    </xdr:to>
    <xdr:pic>
      <xdr:nvPicPr>
        <xdr:cNvPr id="1162" name="Picture 1161"/>
        <xdr:cNvPicPr>
          <a:picLocks noChangeAspect="1" noChangeArrowheads="1"/>
        </xdr:cNvPicPr>
      </xdr:nvPicPr>
      <xdr:blipFill>
        <a:blip xmlns:r="http://schemas.openxmlformats.org/officeDocument/2006/relationships" r:embed="rId1161">
          <a:extLst>
            <a:ext uri="{28A0092B-C50C-407E-A947-70E740481C1C}">
              <a14:useLocalDpi xmlns:a14="http://schemas.microsoft.com/office/drawing/2010/main" val="0"/>
            </a:ext>
          </a:extLst>
        </a:blip>
        <a:srcRect/>
        <a:stretch>
          <a:fillRect/>
        </a:stretch>
      </xdr:blipFill>
      <xdr:spPr bwMode="auto">
        <a:xfrm>
          <a:off x="1228725" y="2198474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1163</xdr:row>
      <xdr:rowOff>19050</xdr:rowOff>
    </xdr:from>
    <xdr:to>
      <xdr:col>2</xdr:col>
      <xdr:colOff>1733550</xdr:colOff>
      <xdr:row>1163</xdr:row>
      <xdr:rowOff>1666875</xdr:rowOff>
    </xdr:to>
    <xdr:pic>
      <xdr:nvPicPr>
        <xdr:cNvPr id="1163" name="Picture 1162"/>
        <xdr:cNvPicPr>
          <a:picLocks noChangeAspect="1" noChangeArrowheads="1"/>
        </xdr:cNvPicPr>
      </xdr:nvPicPr>
      <xdr:blipFill>
        <a:blip xmlns:r="http://schemas.openxmlformats.org/officeDocument/2006/relationships" r:embed="rId1162">
          <a:extLst>
            <a:ext uri="{28A0092B-C50C-407E-A947-70E740481C1C}">
              <a14:useLocalDpi xmlns:a14="http://schemas.microsoft.com/office/drawing/2010/main" val="0"/>
            </a:ext>
          </a:extLst>
        </a:blip>
        <a:srcRect/>
        <a:stretch>
          <a:fillRect/>
        </a:stretch>
      </xdr:blipFill>
      <xdr:spPr bwMode="auto">
        <a:xfrm>
          <a:off x="1228725" y="2200389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1164</xdr:row>
      <xdr:rowOff>19050</xdr:rowOff>
    </xdr:from>
    <xdr:to>
      <xdr:col>2</xdr:col>
      <xdr:colOff>1733550</xdr:colOff>
      <xdr:row>1164</xdr:row>
      <xdr:rowOff>1666875</xdr:rowOff>
    </xdr:to>
    <xdr:pic>
      <xdr:nvPicPr>
        <xdr:cNvPr id="1164" name="Picture 1163"/>
        <xdr:cNvPicPr>
          <a:picLocks noChangeAspect="1" noChangeArrowheads="1"/>
        </xdr:cNvPicPr>
      </xdr:nvPicPr>
      <xdr:blipFill>
        <a:blip xmlns:r="http://schemas.openxmlformats.org/officeDocument/2006/relationships" r:embed="rId1163">
          <a:extLst>
            <a:ext uri="{28A0092B-C50C-407E-A947-70E740481C1C}">
              <a14:useLocalDpi xmlns:a14="http://schemas.microsoft.com/office/drawing/2010/main" val="0"/>
            </a:ext>
          </a:extLst>
        </a:blip>
        <a:srcRect/>
        <a:stretch>
          <a:fillRect/>
        </a:stretch>
      </xdr:blipFill>
      <xdr:spPr bwMode="auto">
        <a:xfrm>
          <a:off x="1228725" y="2202303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1165</xdr:row>
      <xdr:rowOff>19050</xdr:rowOff>
    </xdr:from>
    <xdr:to>
      <xdr:col>2</xdr:col>
      <xdr:colOff>1733550</xdr:colOff>
      <xdr:row>1165</xdr:row>
      <xdr:rowOff>1666875</xdr:rowOff>
    </xdr:to>
    <xdr:pic>
      <xdr:nvPicPr>
        <xdr:cNvPr id="1165" name="Picture 1164"/>
        <xdr:cNvPicPr>
          <a:picLocks noChangeAspect="1" noChangeArrowheads="1"/>
        </xdr:cNvPicPr>
      </xdr:nvPicPr>
      <xdr:blipFill>
        <a:blip xmlns:r="http://schemas.openxmlformats.org/officeDocument/2006/relationships" r:embed="rId1164">
          <a:extLst>
            <a:ext uri="{28A0092B-C50C-407E-A947-70E740481C1C}">
              <a14:useLocalDpi xmlns:a14="http://schemas.microsoft.com/office/drawing/2010/main" val="0"/>
            </a:ext>
          </a:extLst>
        </a:blip>
        <a:srcRect/>
        <a:stretch>
          <a:fillRect/>
        </a:stretch>
      </xdr:blipFill>
      <xdr:spPr bwMode="auto">
        <a:xfrm>
          <a:off x="1228725" y="2204218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1166</xdr:row>
      <xdr:rowOff>19050</xdr:rowOff>
    </xdr:from>
    <xdr:to>
      <xdr:col>2</xdr:col>
      <xdr:colOff>1733550</xdr:colOff>
      <xdr:row>1166</xdr:row>
      <xdr:rowOff>1666875</xdr:rowOff>
    </xdr:to>
    <xdr:pic>
      <xdr:nvPicPr>
        <xdr:cNvPr id="1166" name="Picture 1165"/>
        <xdr:cNvPicPr>
          <a:picLocks noChangeAspect="1" noChangeArrowheads="1"/>
        </xdr:cNvPicPr>
      </xdr:nvPicPr>
      <xdr:blipFill>
        <a:blip xmlns:r="http://schemas.openxmlformats.org/officeDocument/2006/relationships" r:embed="rId1165">
          <a:extLst>
            <a:ext uri="{28A0092B-C50C-407E-A947-70E740481C1C}">
              <a14:useLocalDpi xmlns:a14="http://schemas.microsoft.com/office/drawing/2010/main" val="0"/>
            </a:ext>
          </a:extLst>
        </a:blip>
        <a:srcRect/>
        <a:stretch>
          <a:fillRect/>
        </a:stretch>
      </xdr:blipFill>
      <xdr:spPr bwMode="auto">
        <a:xfrm>
          <a:off x="1228725" y="2206132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1167</xdr:row>
      <xdr:rowOff>19050</xdr:rowOff>
    </xdr:from>
    <xdr:to>
      <xdr:col>2</xdr:col>
      <xdr:colOff>1733550</xdr:colOff>
      <xdr:row>1167</xdr:row>
      <xdr:rowOff>1666875</xdr:rowOff>
    </xdr:to>
    <xdr:pic>
      <xdr:nvPicPr>
        <xdr:cNvPr id="1167" name="Picture 1166"/>
        <xdr:cNvPicPr>
          <a:picLocks noChangeAspect="1" noChangeArrowheads="1"/>
        </xdr:cNvPicPr>
      </xdr:nvPicPr>
      <xdr:blipFill>
        <a:blip xmlns:r="http://schemas.openxmlformats.org/officeDocument/2006/relationships" r:embed="rId1166">
          <a:extLst>
            <a:ext uri="{28A0092B-C50C-407E-A947-70E740481C1C}">
              <a14:useLocalDpi xmlns:a14="http://schemas.microsoft.com/office/drawing/2010/main" val="0"/>
            </a:ext>
          </a:extLst>
        </a:blip>
        <a:srcRect/>
        <a:stretch>
          <a:fillRect/>
        </a:stretch>
      </xdr:blipFill>
      <xdr:spPr bwMode="auto">
        <a:xfrm>
          <a:off x="1228725" y="2208047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1168</xdr:row>
      <xdr:rowOff>19050</xdr:rowOff>
    </xdr:from>
    <xdr:to>
      <xdr:col>2</xdr:col>
      <xdr:colOff>1733550</xdr:colOff>
      <xdr:row>1168</xdr:row>
      <xdr:rowOff>1666875</xdr:rowOff>
    </xdr:to>
    <xdr:pic>
      <xdr:nvPicPr>
        <xdr:cNvPr id="1168" name="Picture 1167"/>
        <xdr:cNvPicPr>
          <a:picLocks noChangeAspect="1" noChangeArrowheads="1"/>
        </xdr:cNvPicPr>
      </xdr:nvPicPr>
      <xdr:blipFill>
        <a:blip xmlns:r="http://schemas.openxmlformats.org/officeDocument/2006/relationships" r:embed="rId1167">
          <a:extLst>
            <a:ext uri="{28A0092B-C50C-407E-A947-70E740481C1C}">
              <a14:useLocalDpi xmlns:a14="http://schemas.microsoft.com/office/drawing/2010/main" val="0"/>
            </a:ext>
          </a:extLst>
        </a:blip>
        <a:srcRect/>
        <a:stretch>
          <a:fillRect/>
        </a:stretch>
      </xdr:blipFill>
      <xdr:spPr bwMode="auto">
        <a:xfrm>
          <a:off x="1228725" y="2209961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1169</xdr:row>
      <xdr:rowOff>19050</xdr:rowOff>
    </xdr:from>
    <xdr:to>
      <xdr:col>2</xdr:col>
      <xdr:colOff>1733550</xdr:colOff>
      <xdr:row>1169</xdr:row>
      <xdr:rowOff>1666875</xdr:rowOff>
    </xdr:to>
    <xdr:pic>
      <xdr:nvPicPr>
        <xdr:cNvPr id="1169" name="Picture 1168"/>
        <xdr:cNvPicPr>
          <a:picLocks noChangeAspect="1" noChangeArrowheads="1"/>
        </xdr:cNvPicPr>
      </xdr:nvPicPr>
      <xdr:blipFill>
        <a:blip xmlns:r="http://schemas.openxmlformats.org/officeDocument/2006/relationships" r:embed="rId1168">
          <a:extLst>
            <a:ext uri="{28A0092B-C50C-407E-A947-70E740481C1C}">
              <a14:useLocalDpi xmlns:a14="http://schemas.microsoft.com/office/drawing/2010/main" val="0"/>
            </a:ext>
          </a:extLst>
        </a:blip>
        <a:srcRect/>
        <a:stretch>
          <a:fillRect/>
        </a:stretch>
      </xdr:blipFill>
      <xdr:spPr bwMode="auto">
        <a:xfrm>
          <a:off x="1228725" y="2211876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1170</xdr:row>
      <xdr:rowOff>19050</xdr:rowOff>
    </xdr:from>
    <xdr:to>
      <xdr:col>2</xdr:col>
      <xdr:colOff>1733550</xdr:colOff>
      <xdr:row>1170</xdr:row>
      <xdr:rowOff>1666875</xdr:rowOff>
    </xdr:to>
    <xdr:pic>
      <xdr:nvPicPr>
        <xdr:cNvPr id="1170" name="Picture 1169"/>
        <xdr:cNvPicPr>
          <a:picLocks noChangeAspect="1" noChangeArrowheads="1"/>
        </xdr:cNvPicPr>
      </xdr:nvPicPr>
      <xdr:blipFill>
        <a:blip xmlns:r="http://schemas.openxmlformats.org/officeDocument/2006/relationships" r:embed="rId1169">
          <a:extLst>
            <a:ext uri="{28A0092B-C50C-407E-A947-70E740481C1C}">
              <a14:useLocalDpi xmlns:a14="http://schemas.microsoft.com/office/drawing/2010/main" val="0"/>
            </a:ext>
          </a:extLst>
        </a:blip>
        <a:srcRect/>
        <a:stretch>
          <a:fillRect/>
        </a:stretch>
      </xdr:blipFill>
      <xdr:spPr bwMode="auto">
        <a:xfrm>
          <a:off x="1228725" y="2213790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1171</xdr:row>
      <xdr:rowOff>19050</xdr:rowOff>
    </xdr:from>
    <xdr:to>
      <xdr:col>2</xdr:col>
      <xdr:colOff>1733550</xdr:colOff>
      <xdr:row>1171</xdr:row>
      <xdr:rowOff>1666875</xdr:rowOff>
    </xdr:to>
    <xdr:pic>
      <xdr:nvPicPr>
        <xdr:cNvPr id="1171" name="Picture 1170"/>
        <xdr:cNvPicPr>
          <a:picLocks noChangeAspect="1" noChangeArrowheads="1"/>
        </xdr:cNvPicPr>
      </xdr:nvPicPr>
      <xdr:blipFill>
        <a:blip xmlns:r="http://schemas.openxmlformats.org/officeDocument/2006/relationships" r:embed="rId1170">
          <a:extLst>
            <a:ext uri="{28A0092B-C50C-407E-A947-70E740481C1C}">
              <a14:useLocalDpi xmlns:a14="http://schemas.microsoft.com/office/drawing/2010/main" val="0"/>
            </a:ext>
          </a:extLst>
        </a:blip>
        <a:srcRect/>
        <a:stretch>
          <a:fillRect/>
        </a:stretch>
      </xdr:blipFill>
      <xdr:spPr bwMode="auto">
        <a:xfrm>
          <a:off x="1228725" y="2215705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1172</xdr:row>
      <xdr:rowOff>19050</xdr:rowOff>
    </xdr:from>
    <xdr:to>
      <xdr:col>2</xdr:col>
      <xdr:colOff>1733550</xdr:colOff>
      <xdr:row>1172</xdr:row>
      <xdr:rowOff>1666875</xdr:rowOff>
    </xdr:to>
    <xdr:pic>
      <xdr:nvPicPr>
        <xdr:cNvPr id="1172" name="Picture 1171"/>
        <xdr:cNvPicPr>
          <a:picLocks noChangeAspect="1" noChangeArrowheads="1"/>
        </xdr:cNvPicPr>
      </xdr:nvPicPr>
      <xdr:blipFill>
        <a:blip xmlns:r="http://schemas.openxmlformats.org/officeDocument/2006/relationships" r:embed="rId1171">
          <a:extLst>
            <a:ext uri="{28A0092B-C50C-407E-A947-70E740481C1C}">
              <a14:useLocalDpi xmlns:a14="http://schemas.microsoft.com/office/drawing/2010/main" val="0"/>
            </a:ext>
          </a:extLst>
        </a:blip>
        <a:srcRect/>
        <a:stretch>
          <a:fillRect/>
        </a:stretch>
      </xdr:blipFill>
      <xdr:spPr bwMode="auto">
        <a:xfrm>
          <a:off x="1228725" y="2217620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1173</xdr:row>
      <xdr:rowOff>19050</xdr:rowOff>
    </xdr:from>
    <xdr:to>
      <xdr:col>2</xdr:col>
      <xdr:colOff>1733550</xdr:colOff>
      <xdr:row>1173</xdr:row>
      <xdr:rowOff>1666875</xdr:rowOff>
    </xdr:to>
    <xdr:pic>
      <xdr:nvPicPr>
        <xdr:cNvPr id="1173" name="Picture 1172"/>
        <xdr:cNvPicPr>
          <a:picLocks noChangeAspect="1" noChangeArrowheads="1"/>
        </xdr:cNvPicPr>
      </xdr:nvPicPr>
      <xdr:blipFill>
        <a:blip xmlns:r="http://schemas.openxmlformats.org/officeDocument/2006/relationships" r:embed="rId1172">
          <a:extLst>
            <a:ext uri="{28A0092B-C50C-407E-A947-70E740481C1C}">
              <a14:useLocalDpi xmlns:a14="http://schemas.microsoft.com/office/drawing/2010/main" val="0"/>
            </a:ext>
          </a:extLst>
        </a:blip>
        <a:srcRect/>
        <a:stretch>
          <a:fillRect/>
        </a:stretch>
      </xdr:blipFill>
      <xdr:spPr bwMode="auto">
        <a:xfrm>
          <a:off x="1228725" y="2219534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1174</xdr:row>
      <xdr:rowOff>19050</xdr:rowOff>
    </xdr:from>
    <xdr:to>
      <xdr:col>2</xdr:col>
      <xdr:colOff>1733550</xdr:colOff>
      <xdr:row>1174</xdr:row>
      <xdr:rowOff>1666875</xdr:rowOff>
    </xdr:to>
    <xdr:pic>
      <xdr:nvPicPr>
        <xdr:cNvPr id="1174" name="Picture 1173"/>
        <xdr:cNvPicPr>
          <a:picLocks noChangeAspect="1" noChangeArrowheads="1"/>
        </xdr:cNvPicPr>
      </xdr:nvPicPr>
      <xdr:blipFill>
        <a:blip xmlns:r="http://schemas.openxmlformats.org/officeDocument/2006/relationships" r:embed="rId1173">
          <a:extLst>
            <a:ext uri="{28A0092B-C50C-407E-A947-70E740481C1C}">
              <a14:useLocalDpi xmlns:a14="http://schemas.microsoft.com/office/drawing/2010/main" val="0"/>
            </a:ext>
          </a:extLst>
        </a:blip>
        <a:srcRect/>
        <a:stretch>
          <a:fillRect/>
        </a:stretch>
      </xdr:blipFill>
      <xdr:spPr bwMode="auto">
        <a:xfrm>
          <a:off x="1228725" y="2221449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1175</xdr:row>
      <xdr:rowOff>19050</xdr:rowOff>
    </xdr:from>
    <xdr:to>
      <xdr:col>2</xdr:col>
      <xdr:colOff>1733550</xdr:colOff>
      <xdr:row>1175</xdr:row>
      <xdr:rowOff>1666875</xdr:rowOff>
    </xdr:to>
    <xdr:pic>
      <xdr:nvPicPr>
        <xdr:cNvPr id="1175" name="Picture 1174"/>
        <xdr:cNvPicPr>
          <a:picLocks noChangeAspect="1" noChangeArrowheads="1"/>
        </xdr:cNvPicPr>
      </xdr:nvPicPr>
      <xdr:blipFill>
        <a:blip xmlns:r="http://schemas.openxmlformats.org/officeDocument/2006/relationships" r:embed="rId1174">
          <a:extLst>
            <a:ext uri="{28A0092B-C50C-407E-A947-70E740481C1C}">
              <a14:useLocalDpi xmlns:a14="http://schemas.microsoft.com/office/drawing/2010/main" val="0"/>
            </a:ext>
          </a:extLst>
        </a:blip>
        <a:srcRect/>
        <a:stretch>
          <a:fillRect/>
        </a:stretch>
      </xdr:blipFill>
      <xdr:spPr bwMode="auto">
        <a:xfrm>
          <a:off x="1228725" y="2223363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1176</xdr:row>
      <xdr:rowOff>19050</xdr:rowOff>
    </xdr:from>
    <xdr:to>
      <xdr:col>2</xdr:col>
      <xdr:colOff>1733550</xdr:colOff>
      <xdr:row>1176</xdr:row>
      <xdr:rowOff>1666875</xdr:rowOff>
    </xdr:to>
    <xdr:pic>
      <xdr:nvPicPr>
        <xdr:cNvPr id="1176" name="Picture 1175"/>
        <xdr:cNvPicPr>
          <a:picLocks noChangeAspect="1" noChangeArrowheads="1"/>
        </xdr:cNvPicPr>
      </xdr:nvPicPr>
      <xdr:blipFill>
        <a:blip xmlns:r="http://schemas.openxmlformats.org/officeDocument/2006/relationships" r:embed="rId1175">
          <a:extLst>
            <a:ext uri="{28A0092B-C50C-407E-A947-70E740481C1C}">
              <a14:useLocalDpi xmlns:a14="http://schemas.microsoft.com/office/drawing/2010/main" val="0"/>
            </a:ext>
          </a:extLst>
        </a:blip>
        <a:srcRect/>
        <a:stretch>
          <a:fillRect/>
        </a:stretch>
      </xdr:blipFill>
      <xdr:spPr bwMode="auto">
        <a:xfrm>
          <a:off x="1228725" y="2225278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1177</xdr:row>
      <xdr:rowOff>19050</xdr:rowOff>
    </xdr:from>
    <xdr:to>
      <xdr:col>2</xdr:col>
      <xdr:colOff>1733550</xdr:colOff>
      <xdr:row>1177</xdr:row>
      <xdr:rowOff>1666875</xdr:rowOff>
    </xdr:to>
    <xdr:pic>
      <xdr:nvPicPr>
        <xdr:cNvPr id="1177" name="Picture 1176"/>
        <xdr:cNvPicPr>
          <a:picLocks noChangeAspect="1" noChangeArrowheads="1"/>
        </xdr:cNvPicPr>
      </xdr:nvPicPr>
      <xdr:blipFill>
        <a:blip xmlns:r="http://schemas.openxmlformats.org/officeDocument/2006/relationships" r:embed="rId1176">
          <a:extLst>
            <a:ext uri="{28A0092B-C50C-407E-A947-70E740481C1C}">
              <a14:useLocalDpi xmlns:a14="http://schemas.microsoft.com/office/drawing/2010/main" val="0"/>
            </a:ext>
          </a:extLst>
        </a:blip>
        <a:srcRect/>
        <a:stretch>
          <a:fillRect/>
        </a:stretch>
      </xdr:blipFill>
      <xdr:spPr bwMode="auto">
        <a:xfrm>
          <a:off x="1228725" y="2227192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1178</xdr:row>
      <xdr:rowOff>19050</xdr:rowOff>
    </xdr:from>
    <xdr:to>
      <xdr:col>2</xdr:col>
      <xdr:colOff>1733550</xdr:colOff>
      <xdr:row>1178</xdr:row>
      <xdr:rowOff>1666875</xdr:rowOff>
    </xdr:to>
    <xdr:pic>
      <xdr:nvPicPr>
        <xdr:cNvPr id="1178" name="Picture 1177"/>
        <xdr:cNvPicPr>
          <a:picLocks noChangeAspect="1" noChangeArrowheads="1"/>
        </xdr:cNvPicPr>
      </xdr:nvPicPr>
      <xdr:blipFill>
        <a:blip xmlns:r="http://schemas.openxmlformats.org/officeDocument/2006/relationships" r:embed="rId1177">
          <a:extLst>
            <a:ext uri="{28A0092B-C50C-407E-A947-70E740481C1C}">
              <a14:useLocalDpi xmlns:a14="http://schemas.microsoft.com/office/drawing/2010/main" val="0"/>
            </a:ext>
          </a:extLst>
        </a:blip>
        <a:srcRect/>
        <a:stretch>
          <a:fillRect/>
        </a:stretch>
      </xdr:blipFill>
      <xdr:spPr bwMode="auto">
        <a:xfrm>
          <a:off x="1228725" y="2229107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1179</xdr:row>
      <xdr:rowOff>19050</xdr:rowOff>
    </xdr:from>
    <xdr:to>
      <xdr:col>2</xdr:col>
      <xdr:colOff>1733550</xdr:colOff>
      <xdr:row>1179</xdr:row>
      <xdr:rowOff>1666875</xdr:rowOff>
    </xdr:to>
    <xdr:pic>
      <xdr:nvPicPr>
        <xdr:cNvPr id="1179" name="Picture 1178"/>
        <xdr:cNvPicPr>
          <a:picLocks noChangeAspect="1" noChangeArrowheads="1"/>
        </xdr:cNvPicPr>
      </xdr:nvPicPr>
      <xdr:blipFill>
        <a:blip xmlns:r="http://schemas.openxmlformats.org/officeDocument/2006/relationships" r:embed="rId1178">
          <a:extLst>
            <a:ext uri="{28A0092B-C50C-407E-A947-70E740481C1C}">
              <a14:useLocalDpi xmlns:a14="http://schemas.microsoft.com/office/drawing/2010/main" val="0"/>
            </a:ext>
          </a:extLst>
        </a:blip>
        <a:srcRect/>
        <a:stretch>
          <a:fillRect/>
        </a:stretch>
      </xdr:blipFill>
      <xdr:spPr bwMode="auto">
        <a:xfrm>
          <a:off x="1228725" y="2231021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1180</xdr:row>
      <xdr:rowOff>19050</xdr:rowOff>
    </xdr:from>
    <xdr:to>
      <xdr:col>2</xdr:col>
      <xdr:colOff>1733550</xdr:colOff>
      <xdr:row>1180</xdr:row>
      <xdr:rowOff>1666875</xdr:rowOff>
    </xdr:to>
    <xdr:pic>
      <xdr:nvPicPr>
        <xdr:cNvPr id="1180" name="Picture 1179"/>
        <xdr:cNvPicPr>
          <a:picLocks noChangeAspect="1" noChangeArrowheads="1"/>
        </xdr:cNvPicPr>
      </xdr:nvPicPr>
      <xdr:blipFill>
        <a:blip xmlns:r="http://schemas.openxmlformats.org/officeDocument/2006/relationships" r:embed="rId1179">
          <a:extLst>
            <a:ext uri="{28A0092B-C50C-407E-A947-70E740481C1C}">
              <a14:useLocalDpi xmlns:a14="http://schemas.microsoft.com/office/drawing/2010/main" val="0"/>
            </a:ext>
          </a:extLst>
        </a:blip>
        <a:srcRect/>
        <a:stretch>
          <a:fillRect/>
        </a:stretch>
      </xdr:blipFill>
      <xdr:spPr bwMode="auto">
        <a:xfrm>
          <a:off x="1228725" y="223293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1181</xdr:row>
      <xdr:rowOff>19050</xdr:rowOff>
    </xdr:from>
    <xdr:to>
      <xdr:col>2</xdr:col>
      <xdr:colOff>1733550</xdr:colOff>
      <xdr:row>1181</xdr:row>
      <xdr:rowOff>1666875</xdr:rowOff>
    </xdr:to>
    <xdr:pic>
      <xdr:nvPicPr>
        <xdr:cNvPr id="1181" name="Picture 1180"/>
        <xdr:cNvPicPr>
          <a:picLocks noChangeAspect="1" noChangeArrowheads="1"/>
        </xdr:cNvPicPr>
      </xdr:nvPicPr>
      <xdr:blipFill>
        <a:blip xmlns:r="http://schemas.openxmlformats.org/officeDocument/2006/relationships" r:embed="rId1180">
          <a:extLst>
            <a:ext uri="{28A0092B-C50C-407E-A947-70E740481C1C}">
              <a14:useLocalDpi xmlns:a14="http://schemas.microsoft.com/office/drawing/2010/main" val="0"/>
            </a:ext>
          </a:extLst>
        </a:blip>
        <a:srcRect/>
        <a:stretch>
          <a:fillRect/>
        </a:stretch>
      </xdr:blipFill>
      <xdr:spPr bwMode="auto">
        <a:xfrm>
          <a:off x="1228725" y="2234850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1182</xdr:row>
      <xdr:rowOff>19050</xdr:rowOff>
    </xdr:from>
    <xdr:to>
      <xdr:col>2</xdr:col>
      <xdr:colOff>1733550</xdr:colOff>
      <xdr:row>1182</xdr:row>
      <xdr:rowOff>1666875</xdr:rowOff>
    </xdr:to>
    <xdr:pic>
      <xdr:nvPicPr>
        <xdr:cNvPr id="1182" name="Picture 1181"/>
        <xdr:cNvPicPr>
          <a:picLocks noChangeAspect="1" noChangeArrowheads="1"/>
        </xdr:cNvPicPr>
      </xdr:nvPicPr>
      <xdr:blipFill>
        <a:blip xmlns:r="http://schemas.openxmlformats.org/officeDocument/2006/relationships" r:embed="rId1181">
          <a:extLst>
            <a:ext uri="{28A0092B-C50C-407E-A947-70E740481C1C}">
              <a14:useLocalDpi xmlns:a14="http://schemas.microsoft.com/office/drawing/2010/main" val="0"/>
            </a:ext>
          </a:extLst>
        </a:blip>
        <a:srcRect/>
        <a:stretch>
          <a:fillRect/>
        </a:stretch>
      </xdr:blipFill>
      <xdr:spPr bwMode="auto">
        <a:xfrm>
          <a:off x="1228725" y="2236765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1183</xdr:row>
      <xdr:rowOff>19050</xdr:rowOff>
    </xdr:from>
    <xdr:to>
      <xdr:col>2</xdr:col>
      <xdr:colOff>1733550</xdr:colOff>
      <xdr:row>1183</xdr:row>
      <xdr:rowOff>1666875</xdr:rowOff>
    </xdr:to>
    <xdr:pic>
      <xdr:nvPicPr>
        <xdr:cNvPr id="1183" name="Picture 1182"/>
        <xdr:cNvPicPr>
          <a:picLocks noChangeAspect="1" noChangeArrowheads="1"/>
        </xdr:cNvPicPr>
      </xdr:nvPicPr>
      <xdr:blipFill>
        <a:blip xmlns:r="http://schemas.openxmlformats.org/officeDocument/2006/relationships" r:embed="rId1182">
          <a:extLst>
            <a:ext uri="{28A0092B-C50C-407E-A947-70E740481C1C}">
              <a14:useLocalDpi xmlns:a14="http://schemas.microsoft.com/office/drawing/2010/main" val="0"/>
            </a:ext>
          </a:extLst>
        </a:blip>
        <a:srcRect/>
        <a:stretch>
          <a:fillRect/>
        </a:stretch>
      </xdr:blipFill>
      <xdr:spPr bwMode="auto">
        <a:xfrm>
          <a:off x="1228725" y="2238679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1184</xdr:row>
      <xdr:rowOff>19050</xdr:rowOff>
    </xdr:from>
    <xdr:to>
      <xdr:col>2</xdr:col>
      <xdr:colOff>1733550</xdr:colOff>
      <xdr:row>1184</xdr:row>
      <xdr:rowOff>1666875</xdr:rowOff>
    </xdr:to>
    <xdr:pic>
      <xdr:nvPicPr>
        <xdr:cNvPr id="1184" name="Picture 1183"/>
        <xdr:cNvPicPr>
          <a:picLocks noChangeAspect="1" noChangeArrowheads="1"/>
        </xdr:cNvPicPr>
      </xdr:nvPicPr>
      <xdr:blipFill>
        <a:blip xmlns:r="http://schemas.openxmlformats.org/officeDocument/2006/relationships" r:embed="rId1183">
          <a:extLst>
            <a:ext uri="{28A0092B-C50C-407E-A947-70E740481C1C}">
              <a14:useLocalDpi xmlns:a14="http://schemas.microsoft.com/office/drawing/2010/main" val="0"/>
            </a:ext>
          </a:extLst>
        </a:blip>
        <a:srcRect/>
        <a:stretch>
          <a:fillRect/>
        </a:stretch>
      </xdr:blipFill>
      <xdr:spPr bwMode="auto">
        <a:xfrm>
          <a:off x="1228725" y="2240594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1185</xdr:row>
      <xdr:rowOff>19050</xdr:rowOff>
    </xdr:from>
    <xdr:to>
      <xdr:col>2</xdr:col>
      <xdr:colOff>1733550</xdr:colOff>
      <xdr:row>1185</xdr:row>
      <xdr:rowOff>1666875</xdr:rowOff>
    </xdr:to>
    <xdr:pic>
      <xdr:nvPicPr>
        <xdr:cNvPr id="1185" name="Picture 1184"/>
        <xdr:cNvPicPr>
          <a:picLocks noChangeAspect="1" noChangeArrowheads="1"/>
        </xdr:cNvPicPr>
      </xdr:nvPicPr>
      <xdr:blipFill>
        <a:blip xmlns:r="http://schemas.openxmlformats.org/officeDocument/2006/relationships" r:embed="rId1184">
          <a:extLst>
            <a:ext uri="{28A0092B-C50C-407E-A947-70E740481C1C}">
              <a14:useLocalDpi xmlns:a14="http://schemas.microsoft.com/office/drawing/2010/main" val="0"/>
            </a:ext>
          </a:extLst>
        </a:blip>
        <a:srcRect/>
        <a:stretch>
          <a:fillRect/>
        </a:stretch>
      </xdr:blipFill>
      <xdr:spPr bwMode="auto">
        <a:xfrm>
          <a:off x="1228725" y="2242508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1186</xdr:row>
      <xdr:rowOff>19050</xdr:rowOff>
    </xdr:from>
    <xdr:to>
      <xdr:col>2</xdr:col>
      <xdr:colOff>1733550</xdr:colOff>
      <xdr:row>1186</xdr:row>
      <xdr:rowOff>1666875</xdr:rowOff>
    </xdr:to>
    <xdr:pic>
      <xdr:nvPicPr>
        <xdr:cNvPr id="1186" name="Picture 1185"/>
        <xdr:cNvPicPr>
          <a:picLocks noChangeAspect="1" noChangeArrowheads="1"/>
        </xdr:cNvPicPr>
      </xdr:nvPicPr>
      <xdr:blipFill>
        <a:blip xmlns:r="http://schemas.openxmlformats.org/officeDocument/2006/relationships" r:embed="rId1185">
          <a:extLst>
            <a:ext uri="{28A0092B-C50C-407E-A947-70E740481C1C}">
              <a14:useLocalDpi xmlns:a14="http://schemas.microsoft.com/office/drawing/2010/main" val="0"/>
            </a:ext>
          </a:extLst>
        </a:blip>
        <a:srcRect/>
        <a:stretch>
          <a:fillRect/>
        </a:stretch>
      </xdr:blipFill>
      <xdr:spPr bwMode="auto">
        <a:xfrm>
          <a:off x="1228725" y="2244423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1187</xdr:row>
      <xdr:rowOff>19050</xdr:rowOff>
    </xdr:from>
    <xdr:to>
      <xdr:col>2</xdr:col>
      <xdr:colOff>1733550</xdr:colOff>
      <xdr:row>1187</xdr:row>
      <xdr:rowOff>1666875</xdr:rowOff>
    </xdr:to>
    <xdr:pic>
      <xdr:nvPicPr>
        <xdr:cNvPr id="1187" name="Picture 1186"/>
        <xdr:cNvPicPr>
          <a:picLocks noChangeAspect="1" noChangeArrowheads="1"/>
        </xdr:cNvPicPr>
      </xdr:nvPicPr>
      <xdr:blipFill>
        <a:blip xmlns:r="http://schemas.openxmlformats.org/officeDocument/2006/relationships" r:embed="rId1186">
          <a:extLst>
            <a:ext uri="{28A0092B-C50C-407E-A947-70E740481C1C}">
              <a14:useLocalDpi xmlns:a14="http://schemas.microsoft.com/office/drawing/2010/main" val="0"/>
            </a:ext>
          </a:extLst>
        </a:blip>
        <a:srcRect/>
        <a:stretch>
          <a:fillRect/>
        </a:stretch>
      </xdr:blipFill>
      <xdr:spPr bwMode="auto">
        <a:xfrm>
          <a:off x="1228725" y="2246337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1188</xdr:row>
      <xdr:rowOff>19050</xdr:rowOff>
    </xdr:from>
    <xdr:to>
      <xdr:col>2</xdr:col>
      <xdr:colOff>1733550</xdr:colOff>
      <xdr:row>1188</xdr:row>
      <xdr:rowOff>1666875</xdr:rowOff>
    </xdr:to>
    <xdr:pic>
      <xdr:nvPicPr>
        <xdr:cNvPr id="1188" name="Picture 1187"/>
        <xdr:cNvPicPr>
          <a:picLocks noChangeAspect="1" noChangeArrowheads="1"/>
        </xdr:cNvPicPr>
      </xdr:nvPicPr>
      <xdr:blipFill>
        <a:blip xmlns:r="http://schemas.openxmlformats.org/officeDocument/2006/relationships" r:embed="rId1187">
          <a:extLst>
            <a:ext uri="{28A0092B-C50C-407E-A947-70E740481C1C}">
              <a14:useLocalDpi xmlns:a14="http://schemas.microsoft.com/office/drawing/2010/main" val="0"/>
            </a:ext>
          </a:extLst>
        </a:blip>
        <a:srcRect/>
        <a:stretch>
          <a:fillRect/>
        </a:stretch>
      </xdr:blipFill>
      <xdr:spPr bwMode="auto">
        <a:xfrm>
          <a:off x="1228725" y="2248252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1189</xdr:row>
      <xdr:rowOff>19050</xdr:rowOff>
    </xdr:from>
    <xdr:to>
      <xdr:col>2</xdr:col>
      <xdr:colOff>1733550</xdr:colOff>
      <xdr:row>1189</xdr:row>
      <xdr:rowOff>1666875</xdr:rowOff>
    </xdr:to>
    <xdr:pic>
      <xdr:nvPicPr>
        <xdr:cNvPr id="1189" name="Picture 1188"/>
        <xdr:cNvPicPr>
          <a:picLocks noChangeAspect="1" noChangeArrowheads="1"/>
        </xdr:cNvPicPr>
      </xdr:nvPicPr>
      <xdr:blipFill>
        <a:blip xmlns:r="http://schemas.openxmlformats.org/officeDocument/2006/relationships" r:embed="rId1188">
          <a:extLst>
            <a:ext uri="{28A0092B-C50C-407E-A947-70E740481C1C}">
              <a14:useLocalDpi xmlns:a14="http://schemas.microsoft.com/office/drawing/2010/main" val="0"/>
            </a:ext>
          </a:extLst>
        </a:blip>
        <a:srcRect/>
        <a:stretch>
          <a:fillRect/>
        </a:stretch>
      </xdr:blipFill>
      <xdr:spPr bwMode="auto">
        <a:xfrm>
          <a:off x="1228725" y="225016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1190</xdr:row>
      <xdr:rowOff>19050</xdr:rowOff>
    </xdr:from>
    <xdr:to>
      <xdr:col>2</xdr:col>
      <xdr:colOff>1733550</xdr:colOff>
      <xdr:row>1190</xdr:row>
      <xdr:rowOff>1666875</xdr:rowOff>
    </xdr:to>
    <xdr:pic>
      <xdr:nvPicPr>
        <xdr:cNvPr id="1190" name="Picture 1189"/>
        <xdr:cNvPicPr>
          <a:picLocks noChangeAspect="1" noChangeArrowheads="1"/>
        </xdr:cNvPicPr>
      </xdr:nvPicPr>
      <xdr:blipFill>
        <a:blip xmlns:r="http://schemas.openxmlformats.org/officeDocument/2006/relationships" r:embed="rId1189">
          <a:extLst>
            <a:ext uri="{28A0092B-C50C-407E-A947-70E740481C1C}">
              <a14:useLocalDpi xmlns:a14="http://schemas.microsoft.com/office/drawing/2010/main" val="0"/>
            </a:ext>
          </a:extLst>
        </a:blip>
        <a:srcRect/>
        <a:stretch>
          <a:fillRect/>
        </a:stretch>
      </xdr:blipFill>
      <xdr:spPr bwMode="auto">
        <a:xfrm>
          <a:off x="1228725" y="225208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1191</xdr:row>
      <xdr:rowOff>19050</xdr:rowOff>
    </xdr:from>
    <xdr:to>
      <xdr:col>2</xdr:col>
      <xdr:colOff>1733550</xdr:colOff>
      <xdr:row>1191</xdr:row>
      <xdr:rowOff>1666875</xdr:rowOff>
    </xdr:to>
    <xdr:pic>
      <xdr:nvPicPr>
        <xdr:cNvPr id="1191" name="Picture 1190"/>
        <xdr:cNvPicPr>
          <a:picLocks noChangeAspect="1" noChangeArrowheads="1"/>
        </xdr:cNvPicPr>
      </xdr:nvPicPr>
      <xdr:blipFill>
        <a:blip xmlns:r="http://schemas.openxmlformats.org/officeDocument/2006/relationships" r:embed="rId1190">
          <a:extLst>
            <a:ext uri="{28A0092B-C50C-407E-A947-70E740481C1C}">
              <a14:useLocalDpi xmlns:a14="http://schemas.microsoft.com/office/drawing/2010/main" val="0"/>
            </a:ext>
          </a:extLst>
        </a:blip>
        <a:srcRect/>
        <a:stretch>
          <a:fillRect/>
        </a:stretch>
      </xdr:blipFill>
      <xdr:spPr bwMode="auto">
        <a:xfrm>
          <a:off x="1228725" y="2253996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1192</xdr:row>
      <xdr:rowOff>19050</xdr:rowOff>
    </xdr:from>
    <xdr:to>
      <xdr:col>2</xdr:col>
      <xdr:colOff>1733550</xdr:colOff>
      <xdr:row>1192</xdr:row>
      <xdr:rowOff>1666875</xdr:rowOff>
    </xdr:to>
    <xdr:pic>
      <xdr:nvPicPr>
        <xdr:cNvPr id="1192" name="Picture 1191"/>
        <xdr:cNvPicPr>
          <a:picLocks noChangeAspect="1" noChangeArrowheads="1"/>
        </xdr:cNvPicPr>
      </xdr:nvPicPr>
      <xdr:blipFill>
        <a:blip xmlns:r="http://schemas.openxmlformats.org/officeDocument/2006/relationships" r:embed="rId1191">
          <a:extLst>
            <a:ext uri="{28A0092B-C50C-407E-A947-70E740481C1C}">
              <a14:useLocalDpi xmlns:a14="http://schemas.microsoft.com/office/drawing/2010/main" val="0"/>
            </a:ext>
          </a:extLst>
        </a:blip>
        <a:srcRect/>
        <a:stretch>
          <a:fillRect/>
        </a:stretch>
      </xdr:blipFill>
      <xdr:spPr bwMode="auto">
        <a:xfrm>
          <a:off x="1228725" y="2255910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1193</xdr:row>
      <xdr:rowOff>19050</xdr:rowOff>
    </xdr:from>
    <xdr:to>
      <xdr:col>2</xdr:col>
      <xdr:colOff>1733550</xdr:colOff>
      <xdr:row>1193</xdr:row>
      <xdr:rowOff>1666875</xdr:rowOff>
    </xdr:to>
    <xdr:pic>
      <xdr:nvPicPr>
        <xdr:cNvPr id="1193" name="Picture 1192"/>
        <xdr:cNvPicPr>
          <a:picLocks noChangeAspect="1" noChangeArrowheads="1"/>
        </xdr:cNvPicPr>
      </xdr:nvPicPr>
      <xdr:blipFill>
        <a:blip xmlns:r="http://schemas.openxmlformats.org/officeDocument/2006/relationships" r:embed="rId1192">
          <a:extLst>
            <a:ext uri="{28A0092B-C50C-407E-A947-70E740481C1C}">
              <a14:useLocalDpi xmlns:a14="http://schemas.microsoft.com/office/drawing/2010/main" val="0"/>
            </a:ext>
          </a:extLst>
        </a:blip>
        <a:srcRect/>
        <a:stretch>
          <a:fillRect/>
        </a:stretch>
      </xdr:blipFill>
      <xdr:spPr bwMode="auto">
        <a:xfrm>
          <a:off x="1228725" y="2257825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1194</xdr:row>
      <xdr:rowOff>19050</xdr:rowOff>
    </xdr:from>
    <xdr:to>
      <xdr:col>2</xdr:col>
      <xdr:colOff>1733550</xdr:colOff>
      <xdr:row>1194</xdr:row>
      <xdr:rowOff>1666875</xdr:rowOff>
    </xdr:to>
    <xdr:pic>
      <xdr:nvPicPr>
        <xdr:cNvPr id="1194" name="Picture 1193"/>
        <xdr:cNvPicPr>
          <a:picLocks noChangeAspect="1" noChangeArrowheads="1"/>
        </xdr:cNvPicPr>
      </xdr:nvPicPr>
      <xdr:blipFill>
        <a:blip xmlns:r="http://schemas.openxmlformats.org/officeDocument/2006/relationships" r:embed="rId1193">
          <a:extLst>
            <a:ext uri="{28A0092B-C50C-407E-A947-70E740481C1C}">
              <a14:useLocalDpi xmlns:a14="http://schemas.microsoft.com/office/drawing/2010/main" val="0"/>
            </a:ext>
          </a:extLst>
        </a:blip>
        <a:srcRect/>
        <a:stretch>
          <a:fillRect/>
        </a:stretch>
      </xdr:blipFill>
      <xdr:spPr bwMode="auto">
        <a:xfrm>
          <a:off x="1228725" y="2259739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1195</xdr:row>
      <xdr:rowOff>19050</xdr:rowOff>
    </xdr:from>
    <xdr:to>
      <xdr:col>2</xdr:col>
      <xdr:colOff>1733550</xdr:colOff>
      <xdr:row>1195</xdr:row>
      <xdr:rowOff>1666875</xdr:rowOff>
    </xdr:to>
    <xdr:pic>
      <xdr:nvPicPr>
        <xdr:cNvPr id="1195" name="Picture 1194"/>
        <xdr:cNvPicPr>
          <a:picLocks noChangeAspect="1" noChangeArrowheads="1"/>
        </xdr:cNvPicPr>
      </xdr:nvPicPr>
      <xdr:blipFill>
        <a:blip xmlns:r="http://schemas.openxmlformats.org/officeDocument/2006/relationships" r:embed="rId1194">
          <a:extLst>
            <a:ext uri="{28A0092B-C50C-407E-A947-70E740481C1C}">
              <a14:useLocalDpi xmlns:a14="http://schemas.microsoft.com/office/drawing/2010/main" val="0"/>
            </a:ext>
          </a:extLst>
        </a:blip>
        <a:srcRect/>
        <a:stretch>
          <a:fillRect/>
        </a:stretch>
      </xdr:blipFill>
      <xdr:spPr bwMode="auto">
        <a:xfrm>
          <a:off x="1228725" y="2261654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1196</xdr:row>
      <xdr:rowOff>19050</xdr:rowOff>
    </xdr:from>
    <xdr:to>
      <xdr:col>2</xdr:col>
      <xdr:colOff>1733550</xdr:colOff>
      <xdr:row>1196</xdr:row>
      <xdr:rowOff>1666875</xdr:rowOff>
    </xdr:to>
    <xdr:pic>
      <xdr:nvPicPr>
        <xdr:cNvPr id="1196" name="Picture 1195"/>
        <xdr:cNvPicPr>
          <a:picLocks noChangeAspect="1" noChangeArrowheads="1"/>
        </xdr:cNvPicPr>
      </xdr:nvPicPr>
      <xdr:blipFill>
        <a:blip xmlns:r="http://schemas.openxmlformats.org/officeDocument/2006/relationships" r:embed="rId1195">
          <a:extLst>
            <a:ext uri="{28A0092B-C50C-407E-A947-70E740481C1C}">
              <a14:useLocalDpi xmlns:a14="http://schemas.microsoft.com/office/drawing/2010/main" val="0"/>
            </a:ext>
          </a:extLst>
        </a:blip>
        <a:srcRect/>
        <a:stretch>
          <a:fillRect/>
        </a:stretch>
      </xdr:blipFill>
      <xdr:spPr bwMode="auto">
        <a:xfrm>
          <a:off x="1228725" y="2263568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1197</xdr:row>
      <xdr:rowOff>19050</xdr:rowOff>
    </xdr:from>
    <xdr:to>
      <xdr:col>2</xdr:col>
      <xdr:colOff>1733550</xdr:colOff>
      <xdr:row>1197</xdr:row>
      <xdr:rowOff>1666875</xdr:rowOff>
    </xdr:to>
    <xdr:pic>
      <xdr:nvPicPr>
        <xdr:cNvPr id="1197" name="Picture 1196"/>
        <xdr:cNvPicPr>
          <a:picLocks noChangeAspect="1" noChangeArrowheads="1"/>
        </xdr:cNvPicPr>
      </xdr:nvPicPr>
      <xdr:blipFill>
        <a:blip xmlns:r="http://schemas.openxmlformats.org/officeDocument/2006/relationships" r:embed="rId1196">
          <a:extLst>
            <a:ext uri="{28A0092B-C50C-407E-A947-70E740481C1C}">
              <a14:useLocalDpi xmlns:a14="http://schemas.microsoft.com/office/drawing/2010/main" val="0"/>
            </a:ext>
          </a:extLst>
        </a:blip>
        <a:srcRect/>
        <a:stretch>
          <a:fillRect/>
        </a:stretch>
      </xdr:blipFill>
      <xdr:spPr bwMode="auto">
        <a:xfrm>
          <a:off x="1228725" y="2265483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1198</xdr:row>
      <xdr:rowOff>19050</xdr:rowOff>
    </xdr:from>
    <xdr:to>
      <xdr:col>2</xdr:col>
      <xdr:colOff>1733550</xdr:colOff>
      <xdr:row>1198</xdr:row>
      <xdr:rowOff>1666875</xdr:rowOff>
    </xdr:to>
    <xdr:pic>
      <xdr:nvPicPr>
        <xdr:cNvPr id="1198" name="Picture 1197"/>
        <xdr:cNvPicPr>
          <a:picLocks noChangeAspect="1" noChangeArrowheads="1"/>
        </xdr:cNvPicPr>
      </xdr:nvPicPr>
      <xdr:blipFill>
        <a:blip xmlns:r="http://schemas.openxmlformats.org/officeDocument/2006/relationships" r:embed="rId1197">
          <a:extLst>
            <a:ext uri="{28A0092B-C50C-407E-A947-70E740481C1C}">
              <a14:useLocalDpi xmlns:a14="http://schemas.microsoft.com/office/drawing/2010/main" val="0"/>
            </a:ext>
          </a:extLst>
        </a:blip>
        <a:srcRect/>
        <a:stretch>
          <a:fillRect/>
        </a:stretch>
      </xdr:blipFill>
      <xdr:spPr bwMode="auto">
        <a:xfrm>
          <a:off x="1228725" y="226739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1199</xdr:row>
      <xdr:rowOff>19050</xdr:rowOff>
    </xdr:from>
    <xdr:to>
      <xdr:col>2</xdr:col>
      <xdr:colOff>1733550</xdr:colOff>
      <xdr:row>1199</xdr:row>
      <xdr:rowOff>1666875</xdr:rowOff>
    </xdr:to>
    <xdr:pic>
      <xdr:nvPicPr>
        <xdr:cNvPr id="1199" name="Picture 1198"/>
        <xdr:cNvPicPr>
          <a:picLocks noChangeAspect="1" noChangeArrowheads="1"/>
        </xdr:cNvPicPr>
      </xdr:nvPicPr>
      <xdr:blipFill>
        <a:blip xmlns:r="http://schemas.openxmlformats.org/officeDocument/2006/relationships" r:embed="rId1198">
          <a:extLst>
            <a:ext uri="{28A0092B-C50C-407E-A947-70E740481C1C}">
              <a14:useLocalDpi xmlns:a14="http://schemas.microsoft.com/office/drawing/2010/main" val="0"/>
            </a:ext>
          </a:extLst>
        </a:blip>
        <a:srcRect/>
        <a:stretch>
          <a:fillRect/>
        </a:stretch>
      </xdr:blipFill>
      <xdr:spPr bwMode="auto">
        <a:xfrm>
          <a:off x="1228725" y="226931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1200</xdr:row>
      <xdr:rowOff>9525</xdr:rowOff>
    </xdr:from>
    <xdr:to>
      <xdr:col>2</xdr:col>
      <xdr:colOff>1733550</xdr:colOff>
      <xdr:row>1200</xdr:row>
      <xdr:rowOff>1524000</xdr:rowOff>
    </xdr:to>
    <xdr:pic>
      <xdr:nvPicPr>
        <xdr:cNvPr id="1200" name="Picture 1199"/>
        <xdr:cNvPicPr>
          <a:picLocks noChangeAspect="1" noChangeArrowheads="1"/>
        </xdr:cNvPicPr>
      </xdr:nvPicPr>
      <xdr:blipFill>
        <a:blip xmlns:r="http://schemas.openxmlformats.org/officeDocument/2006/relationships" r:embed="rId1199">
          <a:extLst>
            <a:ext uri="{28A0092B-C50C-407E-A947-70E740481C1C}">
              <a14:useLocalDpi xmlns:a14="http://schemas.microsoft.com/office/drawing/2010/main" val="0"/>
            </a:ext>
          </a:extLst>
        </a:blip>
        <a:srcRect/>
        <a:stretch>
          <a:fillRect/>
        </a:stretch>
      </xdr:blipFill>
      <xdr:spPr bwMode="auto">
        <a:xfrm>
          <a:off x="1228725" y="2271217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1201</xdr:row>
      <xdr:rowOff>9525</xdr:rowOff>
    </xdr:from>
    <xdr:to>
      <xdr:col>2</xdr:col>
      <xdr:colOff>1733550</xdr:colOff>
      <xdr:row>1201</xdr:row>
      <xdr:rowOff>1524000</xdr:rowOff>
    </xdr:to>
    <xdr:pic>
      <xdr:nvPicPr>
        <xdr:cNvPr id="1201" name="Picture 1200"/>
        <xdr:cNvPicPr>
          <a:picLocks noChangeAspect="1" noChangeArrowheads="1"/>
        </xdr:cNvPicPr>
      </xdr:nvPicPr>
      <xdr:blipFill>
        <a:blip xmlns:r="http://schemas.openxmlformats.org/officeDocument/2006/relationships" r:embed="rId1200">
          <a:extLst>
            <a:ext uri="{28A0092B-C50C-407E-A947-70E740481C1C}">
              <a14:useLocalDpi xmlns:a14="http://schemas.microsoft.com/office/drawing/2010/main" val="0"/>
            </a:ext>
          </a:extLst>
        </a:blip>
        <a:srcRect/>
        <a:stretch>
          <a:fillRect/>
        </a:stretch>
      </xdr:blipFill>
      <xdr:spPr bwMode="auto">
        <a:xfrm>
          <a:off x="1228725" y="2272969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1202</xdr:row>
      <xdr:rowOff>9525</xdr:rowOff>
    </xdr:from>
    <xdr:to>
      <xdr:col>2</xdr:col>
      <xdr:colOff>1733550</xdr:colOff>
      <xdr:row>1202</xdr:row>
      <xdr:rowOff>1524000</xdr:rowOff>
    </xdr:to>
    <xdr:pic>
      <xdr:nvPicPr>
        <xdr:cNvPr id="1202" name="Picture 1201"/>
        <xdr:cNvPicPr>
          <a:picLocks noChangeAspect="1" noChangeArrowheads="1"/>
        </xdr:cNvPicPr>
      </xdr:nvPicPr>
      <xdr:blipFill>
        <a:blip xmlns:r="http://schemas.openxmlformats.org/officeDocument/2006/relationships" r:embed="rId1201">
          <a:extLst>
            <a:ext uri="{28A0092B-C50C-407E-A947-70E740481C1C}">
              <a14:useLocalDpi xmlns:a14="http://schemas.microsoft.com/office/drawing/2010/main" val="0"/>
            </a:ext>
          </a:extLst>
        </a:blip>
        <a:srcRect/>
        <a:stretch>
          <a:fillRect/>
        </a:stretch>
      </xdr:blipFill>
      <xdr:spPr bwMode="auto">
        <a:xfrm>
          <a:off x="1228725" y="2274722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1203</xdr:row>
      <xdr:rowOff>9525</xdr:rowOff>
    </xdr:from>
    <xdr:to>
      <xdr:col>2</xdr:col>
      <xdr:colOff>1733550</xdr:colOff>
      <xdr:row>1203</xdr:row>
      <xdr:rowOff>1524000</xdr:rowOff>
    </xdr:to>
    <xdr:pic>
      <xdr:nvPicPr>
        <xdr:cNvPr id="1203" name="Picture 1202"/>
        <xdr:cNvPicPr>
          <a:picLocks noChangeAspect="1" noChangeArrowheads="1"/>
        </xdr:cNvPicPr>
      </xdr:nvPicPr>
      <xdr:blipFill>
        <a:blip xmlns:r="http://schemas.openxmlformats.org/officeDocument/2006/relationships" r:embed="rId1202">
          <a:extLst>
            <a:ext uri="{28A0092B-C50C-407E-A947-70E740481C1C}">
              <a14:useLocalDpi xmlns:a14="http://schemas.microsoft.com/office/drawing/2010/main" val="0"/>
            </a:ext>
          </a:extLst>
        </a:blip>
        <a:srcRect/>
        <a:stretch>
          <a:fillRect/>
        </a:stretch>
      </xdr:blipFill>
      <xdr:spPr bwMode="auto">
        <a:xfrm>
          <a:off x="1228725" y="2276475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1204</xdr:row>
      <xdr:rowOff>9525</xdr:rowOff>
    </xdr:from>
    <xdr:to>
      <xdr:col>2</xdr:col>
      <xdr:colOff>1733550</xdr:colOff>
      <xdr:row>1204</xdr:row>
      <xdr:rowOff>1524000</xdr:rowOff>
    </xdr:to>
    <xdr:pic>
      <xdr:nvPicPr>
        <xdr:cNvPr id="1204" name="Picture 1203"/>
        <xdr:cNvPicPr>
          <a:picLocks noChangeAspect="1" noChangeArrowheads="1"/>
        </xdr:cNvPicPr>
      </xdr:nvPicPr>
      <xdr:blipFill>
        <a:blip xmlns:r="http://schemas.openxmlformats.org/officeDocument/2006/relationships" r:embed="rId1203">
          <a:extLst>
            <a:ext uri="{28A0092B-C50C-407E-A947-70E740481C1C}">
              <a14:useLocalDpi xmlns:a14="http://schemas.microsoft.com/office/drawing/2010/main" val="0"/>
            </a:ext>
          </a:extLst>
        </a:blip>
        <a:srcRect/>
        <a:stretch>
          <a:fillRect/>
        </a:stretch>
      </xdr:blipFill>
      <xdr:spPr bwMode="auto">
        <a:xfrm>
          <a:off x="1228725" y="2278227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1205</xdr:row>
      <xdr:rowOff>9525</xdr:rowOff>
    </xdr:from>
    <xdr:to>
      <xdr:col>2</xdr:col>
      <xdr:colOff>1733550</xdr:colOff>
      <xdr:row>1205</xdr:row>
      <xdr:rowOff>1524000</xdr:rowOff>
    </xdr:to>
    <xdr:pic>
      <xdr:nvPicPr>
        <xdr:cNvPr id="1205" name="Picture 1204"/>
        <xdr:cNvPicPr>
          <a:picLocks noChangeAspect="1" noChangeArrowheads="1"/>
        </xdr:cNvPicPr>
      </xdr:nvPicPr>
      <xdr:blipFill>
        <a:blip xmlns:r="http://schemas.openxmlformats.org/officeDocument/2006/relationships" r:embed="rId1204">
          <a:extLst>
            <a:ext uri="{28A0092B-C50C-407E-A947-70E740481C1C}">
              <a14:useLocalDpi xmlns:a14="http://schemas.microsoft.com/office/drawing/2010/main" val="0"/>
            </a:ext>
          </a:extLst>
        </a:blip>
        <a:srcRect/>
        <a:stretch>
          <a:fillRect/>
        </a:stretch>
      </xdr:blipFill>
      <xdr:spPr bwMode="auto">
        <a:xfrm>
          <a:off x="1228725" y="2279980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1206</xdr:row>
      <xdr:rowOff>9525</xdr:rowOff>
    </xdr:from>
    <xdr:to>
      <xdr:col>2</xdr:col>
      <xdr:colOff>1733550</xdr:colOff>
      <xdr:row>1206</xdr:row>
      <xdr:rowOff>1524000</xdr:rowOff>
    </xdr:to>
    <xdr:pic>
      <xdr:nvPicPr>
        <xdr:cNvPr id="1206" name="Picture 1205"/>
        <xdr:cNvPicPr>
          <a:picLocks noChangeAspect="1" noChangeArrowheads="1"/>
        </xdr:cNvPicPr>
      </xdr:nvPicPr>
      <xdr:blipFill>
        <a:blip xmlns:r="http://schemas.openxmlformats.org/officeDocument/2006/relationships" r:embed="rId1205">
          <a:extLst>
            <a:ext uri="{28A0092B-C50C-407E-A947-70E740481C1C}">
              <a14:useLocalDpi xmlns:a14="http://schemas.microsoft.com/office/drawing/2010/main" val="0"/>
            </a:ext>
          </a:extLst>
        </a:blip>
        <a:srcRect/>
        <a:stretch>
          <a:fillRect/>
        </a:stretch>
      </xdr:blipFill>
      <xdr:spPr bwMode="auto">
        <a:xfrm>
          <a:off x="1228725" y="2281732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1207</xdr:row>
      <xdr:rowOff>19050</xdr:rowOff>
    </xdr:from>
    <xdr:to>
      <xdr:col>2</xdr:col>
      <xdr:colOff>1733550</xdr:colOff>
      <xdr:row>1207</xdr:row>
      <xdr:rowOff>1666875</xdr:rowOff>
    </xdr:to>
    <xdr:pic>
      <xdr:nvPicPr>
        <xdr:cNvPr id="1207" name="Picture 1206"/>
        <xdr:cNvPicPr>
          <a:picLocks noChangeAspect="1" noChangeArrowheads="1"/>
        </xdr:cNvPicPr>
      </xdr:nvPicPr>
      <xdr:blipFill>
        <a:blip xmlns:r="http://schemas.openxmlformats.org/officeDocument/2006/relationships" r:embed="rId1206">
          <a:extLst>
            <a:ext uri="{28A0092B-C50C-407E-A947-70E740481C1C}">
              <a14:useLocalDpi xmlns:a14="http://schemas.microsoft.com/office/drawing/2010/main" val="0"/>
            </a:ext>
          </a:extLst>
        </a:blip>
        <a:srcRect/>
        <a:stretch>
          <a:fillRect/>
        </a:stretch>
      </xdr:blipFill>
      <xdr:spPr bwMode="auto">
        <a:xfrm>
          <a:off x="1228725" y="228349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1208</xdr:row>
      <xdr:rowOff>19050</xdr:rowOff>
    </xdr:from>
    <xdr:to>
      <xdr:col>2</xdr:col>
      <xdr:colOff>1733550</xdr:colOff>
      <xdr:row>1208</xdr:row>
      <xdr:rowOff>1666875</xdr:rowOff>
    </xdr:to>
    <xdr:pic>
      <xdr:nvPicPr>
        <xdr:cNvPr id="1208" name="Picture 1207"/>
        <xdr:cNvPicPr>
          <a:picLocks noChangeAspect="1" noChangeArrowheads="1"/>
        </xdr:cNvPicPr>
      </xdr:nvPicPr>
      <xdr:blipFill>
        <a:blip xmlns:r="http://schemas.openxmlformats.org/officeDocument/2006/relationships" r:embed="rId1207">
          <a:extLst>
            <a:ext uri="{28A0092B-C50C-407E-A947-70E740481C1C}">
              <a14:useLocalDpi xmlns:a14="http://schemas.microsoft.com/office/drawing/2010/main" val="0"/>
            </a:ext>
          </a:extLst>
        </a:blip>
        <a:srcRect/>
        <a:stretch>
          <a:fillRect/>
        </a:stretch>
      </xdr:blipFill>
      <xdr:spPr bwMode="auto">
        <a:xfrm>
          <a:off x="1228725" y="228540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1209</xdr:row>
      <xdr:rowOff>19050</xdr:rowOff>
    </xdr:from>
    <xdr:to>
      <xdr:col>2</xdr:col>
      <xdr:colOff>1733550</xdr:colOff>
      <xdr:row>1209</xdr:row>
      <xdr:rowOff>1647825</xdr:rowOff>
    </xdr:to>
    <xdr:pic>
      <xdr:nvPicPr>
        <xdr:cNvPr id="1209" name="Picture 1208"/>
        <xdr:cNvPicPr>
          <a:picLocks noChangeAspect="1" noChangeArrowheads="1"/>
        </xdr:cNvPicPr>
      </xdr:nvPicPr>
      <xdr:blipFill>
        <a:blip xmlns:r="http://schemas.openxmlformats.org/officeDocument/2006/relationships" r:embed="rId1208">
          <a:extLst>
            <a:ext uri="{28A0092B-C50C-407E-A947-70E740481C1C}">
              <a14:useLocalDpi xmlns:a14="http://schemas.microsoft.com/office/drawing/2010/main" val="0"/>
            </a:ext>
          </a:extLst>
        </a:blip>
        <a:srcRect/>
        <a:stretch>
          <a:fillRect/>
        </a:stretch>
      </xdr:blipFill>
      <xdr:spPr bwMode="auto">
        <a:xfrm>
          <a:off x="1228725" y="22873239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1210</xdr:row>
      <xdr:rowOff>19050</xdr:rowOff>
    </xdr:from>
    <xdr:to>
      <xdr:col>2</xdr:col>
      <xdr:colOff>1733550</xdr:colOff>
      <xdr:row>1210</xdr:row>
      <xdr:rowOff>1666875</xdr:rowOff>
    </xdr:to>
    <xdr:pic>
      <xdr:nvPicPr>
        <xdr:cNvPr id="1210" name="Picture 1209"/>
        <xdr:cNvPicPr>
          <a:picLocks noChangeAspect="1" noChangeArrowheads="1"/>
        </xdr:cNvPicPr>
      </xdr:nvPicPr>
      <xdr:blipFill>
        <a:blip xmlns:r="http://schemas.openxmlformats.org/officeDocument/2006/relationships" r:embed="rId1209">
          <a:extLst>
            <a:ext uri="{28A0092B-C50C-407E-A947-70E740481C1C}">
              <a14:useLocalDpi xmlns:a14="http://schemas.microsoft.com/office/drawing/2010/main" val="0"/>
            </a:ext>
          </a:extLst>
        </a:blip>
        <a:srcRect/>
        <a:stretch>
          <a:fillRect/>
        </a:stretch>
      </xdr:blipFill>
      <xdr:spPr bwMode="auto">
        <a:xfrm>
          <a:off x="1228725" y="228921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1211</xdr:row>
      <xdr:rowOff>19050</xdr:rowOff>
    </xdr:from>
    <xdr:to>
      <xdr:col>2</xdr:col>
      <xdr:colOff>1733550</xdr:colOff>
      <xdr:row>1211</xdr:row>
      <xdr:rowOff>1647825</xdr:rowOff>
    </xdr:to>
    <xdr:pic>
      <xdr:nvPicPr>
        <xdr:cNvPr id="1211" name="Picture 1210"/>
        <xdr:cNvPicPr>
          <a:picLocks noChangeAspect="1" noChangeArrowheads="1"/>
        </xdr:cNvPicPr>
      </xdr:nvPicPr>
      <xdr:blipFill>
        <a:blip xmlns:r="http://schemas.openxmlformats.org/officeDocument/2006/relationships" r:embed="rId1210">
          <a:extLst>
            <a:ext uri="{28A0092B-C50C-407E-A947-70E740481C1C}">
              <a14:useLocalDpi xmlns:a14="http://schemas.microsoft.com/office/drawing/2010/main" val="0"/>
            </a:ext>
          </a:extLst>
        </a:blip>
        <a:srcRect/>
        <a:stretch>
          <a:fillRect/>
        </a:stretch>
      </xdr:blipFill>
      <xdr:spPr bwMode="auto">
        <a:xfrm>
          <a:off x="1228725" y="22911339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1212</xdr:row>
      <xdr:rowOff>19050</xdr:rowOff>
    </xdr:from>
    <xdr:to>
      <xdr:col>2</xdr:col>
      <xdr:colOff>1733550</xdr:colOff>
      <xdr:row>1212</xdr:row>
      <xdr:rowOff>1666875</xdr:rowOff>
    </xdr:to>
    <xdr:pic>
      <xdr:nvPicPr>
        <xdr:cNvPr id="1212" name="Picture 1211"/>
        <xdr:cNvPicPr>
          <a:picLocks noChangeAspect="1" noChangeArrowheads="1"/>
        </xdr:cNvPicPr>
      </xdr:nvPicPr>
      <xdr:blipFill>
        <a:blip xmlns:r="http://schemas.openxmlformats.org/officeDocument/2006/relationships" r:embed="rId1211">
          <a:extLst>
            <a:ext uri="{28A0092B-C50C-407E-A947-70E740481C1C}">
              <a14:useLocalDpi xmlns:a14="http://schemas.microsoft.com/office/drawing/2010/main" val="0"/>
            </a:ext>
          </a:extLst>
        </a:blip>
        <a:srcRect/>
        <a:stretch>
          <a:fillRect/>
        </a:stretch>
      </xdr:blipFill>
      <xdr:spPr bwMode="auto">
        <a:xfrm>
          <a:off x="1228725" y="229302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1213</xdr:row>
      <xdr:rowOff>19050</xdr:rowOff>
    </xdr:from>
    <xdr:to>
      <xdr:col>2</xdr:col>
      <xdr:colOff>1733550</xdr:colOff>
      <xdr:row>1213</xdr:row>
      <xdr:rowOff>1647825</xdr:rowOff>
    </xdr:to>
    <xdr:pic>
      <xdr:nvPicPr>
        <xdr:cNvPr id="1213" name="Picture 1212"/>
        <xdr:cNvPicPr>
          <a:picLocks noChangeAspect="1" noChangeArrowheads="1"/>
        </xdr:cNvPicPr>
      </xdr:nvPicPr>
      <xdr:blipFill>
        <a:blip xmlns:r="http://schemas.openxmlformats.org/officeDocument/2006/relationships" r:embed="rId1212">
          <a:extLst>
            <a:ext uri="{28A0092B-C50C-407E-A947-70E740481C1C}">
              <a14:useLocalDpi xmlns:a14="http://schemas.microsoft.com/office/drawing/2010/main" val="0"/>
            </a:ext>
          </a:extLst>
        </a:blip>
        <a:srcRect/>
        <a:stretch>
          <a:fillRect/>
        </a:stretch>
      </xdr:blipFill>
      <xdr:spPr bwMode="auto">
        <a:xfrm>
          <a:off x="1228725" y="22949439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1214</xdr:row>
      <xdr:rowOff>19050</xdr:rowOff>
    </xdr:from>
    <xdr:to>
      <xdr:col>2</xdr:col>
      <xdr:colOff>1733550</xdr:colOff>
      <xdr:row>1214</xdr:row>
      <xdr:rowOff>1647825</xdr:rowOff>
    </xdr:to>
    <xdr:pic>
      <xdr:nvPicPr>
        <xdr:cNvPr id="1214" name="Picture 1213"/>
        <xdr:cNvPicPr>
          <a:picLocks noChangeAspect="1" noChangeArrowheads="1"/>
        </xdr:cNvPicPr>
      </xdr:nvPicPr>
      <xdr:blipFill>
        <a:blip xmlns:r="http://schemas.openxmlformats.org/officeDocument/2006/relationships" r:embed="rId1213">
          <a:extLst>
            <a:ext uri="{28A0092B-C50C-407E-A947-70E740481C1C}">
              <a14:useLocalDpi xmlns:a14="http://schemas.microsoft.com/office/drawing/2010/main" val="0"/>
            </a:ext>
          </a:extLst>
        </a:blip>
        <a:srcRect/>
        <a:stretch>
          <a:fillRect/>
        </a:stretch>
      </xdr:blipFill>
      <xdr:spPr bwMode="auto">
        <a:xfrm>
          <a:off x="1228725" y="2296839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1215</xdr:row>
      <xdr:rowOff>19050</xdr:rowOff>
    </xdr:from>
    <xdr:to>
      <xdr:col>2</xdr:col>
      <xdr:colOff>1733550</xdr:colOff>
      <xdr:row>1215</xdr:row>
      <xdr:rowOff>1666875</xdr:rowOff>
    </xdr:to>
    <xdr:pic>
      <xdr:nvPicPr>
        <xdr:cNvPr id="1215" name="Picture 1214"/>
        <xdr:cNvPicPr>
          <a:picLocks noChangeAspect="1" noChangeArrowheads="1"/>
        </xdr:cNvPicPr>
      </xdr:nvPicPr>
      <xdr:blipFill>
        <a:blip xmlns:r="http://schemas.openxmlformats.org/officeDocument/2006/relationships" r:embed="rId1214">
          <a:extLst>
            <a:ext uri="{28A0092B-C50C-407E-A947-70E740481C1C}">
              <a14:useLocalDpi xmlns:a14="http://schemas.microsoft.com/office/drawing/2010/main" val="0"/>
            </a:ext>
          </a:extLst>
        </a:blip>
        <a:srcRect/>
        <a:stretch>
          <a:fillRect/>
        </a:stretch>
      </xdr:blipFill>
      <xdr:spPr bwMode="auto">
        <a:xfrm>
          <a:off x="1228725" y="229873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1216</xdr:row>
      <xdr:rowOff>19050</xdr:rowOff>
    </xdr:from>
    <xdr:to>
      <xdr:col>2</xdr:col>
      <xdr:colOff>1733550</xdr:colOff>
      <xdr:row>1216</xdr:row>
      <xdr:rowOff>1647825</xdr:rowOff>
    </xdr:to>
    <xdr:pic>
      <xdr:nvPicPr>
        <xdr:cNvPr id="1216" name="Picture 1215"/>
        <xdr:cNvPicPr>
          <a:picLocks noChangeAspect="1" noChangeArrowheads="1"/>
        </xdr:cNvPicPr>
      </xdr:nvPicPr>
      <xdr:blipFill>
        <a:blip xmlns:r="http://schemas.openxmlformats.org/officeDocument/2006/relationships" r:embed="rId1215">
          <a:extLst>
            <a:ext uri="{28A0092B-C50C-407E-A947-70E740481C1C}">
              <a14:useLocalDpi xmlns:a14="http://schemas.microsoft.com/office/drawing/2010/main" val="0"/>
            </a:ext>
          </a:extLst>
        </a:blip>
        <a:srcRect/>
        <a:stretch>
          <a:fillRect/>
        </a:stretch>
      </xdr:blipFill>
      <xdr:spPr bwMode="auto">
        <a:xfrm>
          <a:off x="1228725" y="23006494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1217</xdr:row>
      <xdr:rowOff>19050</xdr:rowOff>
    </xdr:from>
    <xdr:to>
      <xdr:col>2</xdr:col>
      <xdr:colOff>1733550</xdr:colOff>
      <xdr:row>1217</xdr:row>
      <xdr:rowOff>1666875</xdr:rowOff>
    </xdr:to>
    <xdr:pic>
      <xdr:nvPicPr>
        <xdr:cNvPr id="1217" name="Picture 1216"/>
        <xdr:cNvPicPr>
          <a:picLocks noChangeAspect="1" noChangeArrowheads="1"/>
        </xdr:cNvPicPr>
      </xdr:nvPicPr>
      <xdr:blipFill>
        <a:blip xmlns:r="http://schemas.openxmlformats.org/officeDocument/2006/relationships" r:embed="rId1216">
          <a:extLst>
            <a:ext uri="{28A0092B-C50C-407E-A947-70E740481C1C}">
              <a14:useLocalDpi xmlns:a14="http://schemas.microsoft.com/office/drawing/2010/main" val="0"/>
            </a:ext>
          </a:extLst>
        </a:blip>
        <a:srcRect/>
        <a:stretch>
          <a:fillRect/>
        </a:stretch>
      </xdr:blipFill>
      <xdr:spPr bwMode="auto">
        <a:xfrm>
          <a:off x="1228725" y="230254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1218</xdr:row>
      <xdr:rowOff>19050</xdr:rowOff>
    </xdr:from>
    <xdr:to>
      <xdr:col>2</xdr:col>
      <xdr:colOff>1733550</xdr:colOff>
      <xdr:row>1218</xdr:row>
      <xdr:rowOff>1666875</xdr:rowOff>
    </xdr:to>
    <xdr:pic>
      <xdr:nvPicPr>
        <xdr:cNvPr id="1218" name="Picture 1217"/>
        <xdr:cNvPicPr>
          <a:picLocks noChangeAspect="1" noChangeArrowheads="1"/>
        </xdr:cNvPicPr>
      </xdr:nvPicPr>
      <xdr:blipFill>
        <a:blip xmlns:r="http://schemas.openxmlformats.org/officeDocument/2006/relationships" r:embed="rId1217">
          <a:extLst>
            <a:ext uri="{28A0092B-C50C-407E-A947-70E740481C1C}">
              <a14:useLocalDpi xmlns:a14="http://schemas.microsoft.com/office/drawing/2010/main" val="0"/>
            </a:ext>
          </a:extLst>
        </a:blip>
        <a:srcRect/>
        <a:stretch>
          <a:fillRect/>
        </a:stretch>
      </xdr:blipFill>
      <xdr:spPr bwMode="auto">
        <a:xfrm>
          <a:off x="1228725" y="230445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1219</xdr:row>
      <xdr:rowOff>19050</xdr:rowOff>
    </xdr:from>
    <xdr:to>
      <xdr:col>2</xdr:col>
      <xdr:colOff>1733550</xdr:colOff>
      <xdr:row>1219</xdr:row>
      <xdr:rowOff>1666875</xdr:rowOff>
    </xdr:to>
    <xdr:pic>
      <xdr:nvPicPr>
        <xdr:cNvPr id="1219" name="Picture 1218"/>
        <xdr:cNvPicPr>
          <a:picLocks noChangeAspect="1" noChangeArrowheads="1"/>
        </xdr:cNvPicPr>
      </xdr:nvPicPr>
      <xdr:blipFill>
        <a:blip xmlns:r="http://schemas.openxmlformats.org/officeDocument/2006/relationships" r:embed="rId1218">
          <a:extLst>
            <a:ext uri="{28A0092B-C50C-407E-A947-70E740481C1C}">
              <a14:useLocalDpi xmlns:a14="http://schemas.microsoft.com/office/drawing/2010/main" val="0"/>
            </a:ext>
          </a:extLst>
        </a:blip>
        <a:srcRect/>
        <a:stretch>
          <a:fillRect/>
        </a:stretch>
      </xdr:blipFill>
      <xdr:spPr bwMode="auto">
        <a:xfrm>
          <a:off x="1228725" y="2306373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1220</xdr:row>
      <xdr:rowOff>9525</xdr:rowOff>
    </xdr:from>
    <xdr:to>
      <xdr:col>2</xdr:col>
      <xdr:colOff>1733550</xdr:colOff>
      <xdr:row>1220</xdr:row>
      <xdr:rowOff>1524000</xdr:rowOff>
    </xdr:to>
    <xdr:pic>
      <xdr:nvPicPr>
        <xdr:cNvPr id="1220" name="Picture 1219"/>
        <xdr:cNvPicPr>
          <a:picLocks noChangeAspect="1" noChangeArrowheads="1"/>
        </xdr:cNvPicPr>
      </xdr:nvPicPr>
      <xdr:blipFill>
        <a:blip xmlns:r="http://schemas.openxmlformats.org/officeDocument/2006/relationships" r:embed="rId1219">
          <a:extLst>
            <a:ext uri="{28A0092B-C50C-407E-A947-70E740481C1C}">
              <a14:useLocalDpi xmlns:a14="http://schemas.microsoft.com/office/drawing/2010/main" val="0"/>
            </a:ext>
          </a:extLst>
        </a:blip>
        <a:srcRect/>
        <a:stretch>
          <a:fillRect/>
        </a:stretch>
      </xdr:blipFill>
      <xdr:spPr bwMode="auto">
        <a:xfrm>
          <a:off x="1228725" y="2308278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1221</xdr:row>
      <xdr:rowOff>9525</xdr:rowOff>
    </xdr:from>
    <xdr:to>
      <xdr:col>2</xdr:col>
      <xdr:colOff>1733550</xdr:colOff>
      <xdr:row>1221</xdr:row>
      <xdr:rowOff>1524000</xdr:rowOff>
    </xdr:to>
    <xdr:pic>
      <xdr:nvPicPr>
        <xdr:cNvPr id="1221" name="Picture 1220"/>
        <xdr:cNvPicPr>
          <a:picLocks noChangeAspect="1" noChangeArrowheads="1"/>
        </xdr:cNvPicPr>
      </xdr:nvPicPr>
      <xdr:blipFill>
        <a:blip xmlns:r="http://schemas.openxmlformats.org/officeDocument/2006/relationships" r:embed="rId1220">
          <a:extLst>
            <a:ext uri="{28A0092B-C50C-407E-A947-70E740481C1C}">
              <a14:useLocalDpi xmlns:a14="http://schemas.microsoft.com/office/drawing/2010/main" val="0"/>
            </a:ext>
          </a:extLst>
        </a:blip>
        <a:srcRect/>
        <a:stretch>
          <a:fillRect/>
        </a:stretch>
      </xdr:blipFill>
      <xdr:spPr bwMode="auto">
        <a:xfrm>
          <a:off x="1228725" y="2310031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1222</xdr:row>
      <xdr:rowOff>9525</xdr:rowOff>
    </xdr:from>
    <xdr:to>
      <xdr:col>2</xdr:col>
      <xdr:colOff>1733550</xdr:colOff>
      <xdr:row>1222</xdr:row>
      <xdr:rowOff>1524000</xdr:rowOff>
    </xdr:to>
    <xdr:pic>
      <xdr:nvPicPr>
        <xdr:cNvPr id="1222" name="Picture 1221"/>
        <xdr:cNvPicPr>
          <a:picLocks noChangeAspect="1" noChangeArrowheads="1"/>
        </xdr:cNvPicPr>
      </xdr:nvPicPr>
      <xdr:blipFill>
        <a:blip xmlns:r="http://schemas.openxmlformats.org/officeDocument/2006/relationships" r:embed="rId1221">
          <a:extLst>
            <a:ext uri="{28A0092B-C50C-407E-A947-70E740481C1C}">
              <a14:useLocalDpi xmlns:a14="http://schemas.microsoft.com/office/drawing/2010/main" val="0"/>
            </a:ext>
          </a:extLst>
        </a:blip>
        <a:srcRect/>
        <a:stretch>
          <a:fillRect/>
        </a:stretch>
      </xdr:blipFill>
      <xdr:spPr bwMode="auto">
        <a:xfrm>
          <a:off x="1228725" y="2311784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1223</xdr:row>
      <xdr:rowOff>9525</xdr:rowOff>
    </xdr:from>
    <xdr:to>
      <xdr:col>2</xdr:col>
      <xdr:colOff>1733550</xdr:colOff>
      <xdr:row>1223</xdr:row>
      <xdr:rowOff>1524000</xdr:rowOff>
    </xdr:to>
    <xdr:pic>
      <xdr:nvPicPr>
        <xdr:cNvPr id="1223" name="Picture 1222"/>
        <xdr:cNvPicPr>
          <a:picLocks noChangeAspect="1" noChangeArrowheads="1"/>
        </xdr:cNvPicPr>
      </xdr:nvPicPr>
      <xdr:blipFill>
        <a:blip xmlns:r="http://schemas.openxmlformats.org/officeDocument/2006/relationships" r:embed="rId1222">
          <a:extLst>
            <a:ext uri="{28A0092B-C50C-407E-A947-70E740481C1C}">
              <a14:useLocalDpi xmlns:a14="http://schemas.microsoft.com/office/drawing/2010/main" val="0"/>
            </a:ext>
          </a:extLst>
        </a:blip>
        <a:srcRect/>
        <a:stretch>
          <a:fillRect/>
        </a:stretch>
      </xdr:blipFill>
      <xdr:spPr bwMode="auto">
        <a:xfrm>
          <a:off x="1228725" y="2313536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1224</xdr:row>
      <xdr:rowOff>9525</xdr:rowOff>
    </xdr:from>
    <xdr:to>
      <xdr:col>2</xdr:col>
      <xdr:colOff>1733550</xdr:colOff>
      <xdr:row>1224</xdr:row>
      <xdr:rowOff>1524000</xdr:rowOff>
    </xdr:to>
    <xdr:pic>
      <xdr:nvPicPr>
        <xdr:cNvPr id="1224" name="Picture 1223"/>
        <xdr:cNvPicPr>
          <a:picLocks noChangeAspect="1" noChangeArrowheads="1"/>
        </xdr:cNvPicPr>
      </xdr:nvPicPr>
      <xdr:blipFill>
        <a:blip xmlns:r="http://schemas.openxmlformats.org/officeDocument/2006/relationships" r:embed="rId1223">
          <a:extLst>
            <a:ext uri="{28A0092B-C50C-407E-A947-70E740481C1C}">
              <a14:useLocalDpi xmlns:a14="http://schemas.microsoft.com/office/drawing/2010/main" val="0"/>
            </a:ext>
          </a:extLst>
        </a:blip>
        <a:srcRect/>
        <a:stretch>
          <a:fillRect/>
        </a:stretch>
      </xdr:blipFill>
      <xdr:spPr bwMode="auto">
        <a:xfrm>
          <a:off x="1228725" y="2315289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1225</xdr:row>
      <xdr:rowOff>9525</xdr:rowOff>
    </xdr:from>
    <xdr:to>
      <xdr:col>2</xdr:col>
      <xdr:colOff>1733550</xdr:colOff>
      <xdr:row>1225</xdr:row>
      <xdr:rowOff>1524000</xdr:rowOff>
    </xdr:to>
    <xdr:pic>
      <xdr:nvPicPr>
        <xdr:cNvPr id="1225" name="Picture 1224"/>
        <xdr:cNvPicPr>
          <a:picLocks noChangeAspect="1" noChangeArrowheads="1"/>
        </xdr:cNvPicPr>
      </xdr:nvPicPr>
      <xdr:blipFill>
        <a:blip xmlns:r="http://schemas.openxmlformats.org/officeDocument/2006/relationships" r:embed="rId1224">
          <a:extLst>
            <a:ext uri="{28A0092B-C50C-407E-A947-70E740481C1C}">
              <a14:useLocalDpi xmlns:a14="http://schemas.microsoft.com/office/drawing/2010/main" val="0"/>
            </a:ext>
          </a:extLst>
        </a:blip>
        <a:srcRect/>
        <a:stretch>
          <a:fillRect/>
        </a:stretch>
      </xdr:blipFill>
      <xdr:spPr bwMode="auto">
        <a:xfrm>
          <a:off x="1228725" y="2317041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1226</xdr:row>
      <xdr:rowOff>9525</xdr:rowOff>
    </xdr:from>
    <xdr:to>
      <xdr:col>2</xdr:col>
      <xdr:colOff>1733550</xdr:colOff>
      <xdr:row>1226</xdr:row>
      <xdr:rowOff>1524000</xdr:rowOff>
    </xdr:to>
    <xdr:pic>
      <xdr:nvPicPr>
        <xdr:cNvPr id="1226" name="Picture 1225"/>
        <xdr:cNvPicPr>
          <a:picLocks noChangeAspect="1" noChangeArrowheads="1"/>
        </xdr:cNvPicPr>
      </xdr:nvPicPr>
      <xdr:blipFill>
        <a:blip xmlns:r="http://schemas.openxmlformats.org/officeDocument/2006/relationships" r:embed="rId1225">
          <a:extLst>
            <a:ext uri="{28A0092B-C50C-407E-A947-70E740481C1C}">
              <a14:useLocalDpi xmlns:a14="http://schemas.microsoft.com/office/drawing/2010/main" val="0"/>
            </a:ext>
          </a:extLst>
        </a:blip>
        <a:srcRect/>
        <a:stretch>
          <a:fillRect/>
        </a:stretch>
      </xdr:blipFill>
      <xdr:spPr bwMode="auto">
        <a:xfrm>
          <a:off x="1228725" y="2318794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1227</xdr:row>
      <xdr:rowOff>9525</xdr:rowOff>
    </xdr:from>
    <xdr:to>
      <xdr:col>2</xdr:col>
      <xdr:colOff>1733550</xdr:colOff>
      <xdr:row>1227</xdr:row>
      <xdr:rowOff>1524000</xdr:rowOff>
    </xdr:to>
    <xdr:pic>
      <xdr:nvPicPr>
        <xdr:cNvPr id="1227" name="Picture 1226"/>
        <xdr:cNvPicPr>
          <a:picLocks noChangeAspect="1" noChangeArrowheads="1"/>
        </xdr:cNvPicPr>
      </xdr:nvPicPr>
      <xdr:blipFill>
        <a:blip xmlns:r="http://schemas.openxmlformats.org/officeDocument/2006/relationships" r:embed="rId1226">
          <a:extLst>
            <a:ext uri="{28A0092B-C50C-407E-A947-70E740481C1C}">
              <a14:useLocalDpi xmlns:a14="http://schemas.microsoft.com/office/drawing/2010/main" val="0"/>
            </a:ext>
          </a:extLst>
        </a:blip>
        <a:srcRect/>
        <a:stretch>
          <a:fillRect/>
        </a:stretch>
      </xdr:blipFill>
      <xdr:spPr bwMode="auto">
        <a:xfrm>
          <a:off x="1228725" y="2320547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1228</xdr:row>
      <xdr:rowOff>9525</xdr:rowOff>
    </xdr:from>
    <xdr:to>
      <xdr:col>2</xdr:col>
      <xdr:colOff>1733550</xdr:colOff>
      <xdr:row>1228</xdr:row>
      <xdr:rowOff>1524000</xdr:rowOff>
    </xdr:to>
    <xdr:pic>
      <xdr:nvPicPr>
        <xdr:cNvPr id="1228" name="Picture 1227"/>
        <xdr:cNvPicPr>
          <a:picLocks noChangeAspect="1" noChangeArrowheads="1"/>
        </xdr:cNvPicPr>
      </xdr:nvPicPr>
      <xdr:blipFill>
        <a:blip xmlns:r="http://schemas.openxmlformats.org/officeDocument/2006/relationships" r:embed="rId1227">
          <a:extLst>
            <a:ext uri="{28A0092B-C50C-407E-A947-70E740481C1C}">
              <a14:useLocalDpi xmlns:a14="http://schemas.microsoft.com/office/drawing/2010/main" val="0"/>
            </a:ext>
          </a:extLst>
        </a:blip>
        <a:srcRect/>
        <a:stretch>
          <a:fillRect/>
        </a:stretch>
      </xdr:blipFill>
      <xdr:spPr bwMode="auto">
        <a:xfrm>
          <a:off x="1228725" y="2322299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1229</xdr:row>
      <xdr:rowOff>19050</xdr:rowOff>
    </xdr:from>
    <xdr:to>
      <xdr:col>2</xdr:col>
      <xdr:colOff>1733550</xdr:colOff>
      <xdr:row>1229</xdr:row>
      <xdr:rowOff>1647825</xdr:rowOff>
    </xdr:to>
    <xdr:pic>
      <xdr:nvPicPr>
        <xdr:cNvPr id="1229" name="Picture 1228"/>
        <xdr:cNvPicPr>
          <a:picLocks noChangeAspect="1" noChangeArrowheads="1"/>
        </xdr:cNvPicPr>
      </xdr:nvPicPr>
      <xdr:blipFill>
        <a:blip xmlns:r="http://schemas.openxmlformats.org/officeDocument/2006/relationships" r:embed="rId1228">
          <a:extLst>
            <a:ext uri="{28A0092B-C50C-407E-A947-70E740481C1C}">
              <a14:useLocalDpi xmlns:a14="http://schemas.microsoft.com/office/drawing/2010/main" val="0"/>
            </a:ext>
          </a:extLst>
        </a:blip>
        <a:srcRect/>
        <a:stretch>
          <a:fillRect/>
        </a:stretch>
      </xdr:blipFill>
      <xdr:spPr bwMode="auto">
        <a:xfrm>
          <a:off x="1228725" y="23240619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1230</xdr:row>
      <xdr:rowOff>19050</xdr:rowOff>
    </xdr:from>
    <xdr:to>
      <xdr:col>2</xdr:col>
      <xdr:colOff>1733550</xdr:colOff>
      <xdr:row>1230</xdr:row>
      <xdr:rowOff>1647825</xdr:rowOff>
    </xdr:to>
    <xdr:pic>
      <xdr:nvPicPr>
        <xdr:cNvPr id="1230" name="Picture 1229"/>
        <xdr:cNvPicPr>
          <a:picLocks noChangeAspect="1" noChangeArrowheads="1"/>
        </xdr:cNvPicPr>
      </xdr:nvPicPr>
      <xdr:blipFill>
        <a:blip xmlns:r="http://schemas.openxmlformats.org/officeDocument/2006/relationships" r:embed="rId1229">
          <a:extLst>
            <a:ext uri="{28A0092B-C50C-407E-A947-70E740481C1C}">
              <a14:useLocalDpi xmlns:a14="http://schemas.microsoft.com/office/drawing/2010/main" val="0"/>
            </a:ext>
          </a:extLst>
        </a:blip>
        <a:srcRect/>
        <a:stretch>
          <a:fillRect/>
        </a:stretch>
      </xdr:blipFill>
      <xdr:spPr bwMode="auto">
        <a:xfrm>
          <a:off x="1228725" y="23259573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1231</xdr:row>
      <xdr:rowOff>9525</xdr:rowOff>
    </xdr:from>
    <xdr:to>
      <xdr:col>2</xdr:col>
      <xdr:colOff>1733550</xdr:colOff>
      <xdr:row>1231</xdr:row>
      <xdr:rowOff>1524000</xdr:rowOff>
    </xdr:to>
    <xdr:pic>
      <xdr:nvPicPr>
        <xdr:cNvPr id="1231" name="Picture 1230"/>
        <xdr:cNvPicPr>
          <a:picLocks noChangeAspect="1" noChangeArrowheads="1"/>
        </xdr:cNvPicPr>
      </xdr:nvPicPr>
      <xdr:blipFill>
        <a:blip xmlns:r="http://schemas.openxmlformats.org/officeDocument/2006/relationships" r:embed="rId1230">
          <a:extLst>
            <a:ext uri="{28A0092B-C50C-407E-A947-70E740481C1C}">
              <a14:useLocalDpi xmlns:a14="http://schemas.microsoft.com/office/drawing/2010/main" val="0"/>
            </a:ext>
          </a:extLst>
        </a:blip>
        <a:srcRect/>
        <a:stretch>
          <a:fillRect/>
        </a:stretch>
      </xdr:blipFill>
      <xdr:spPr bwMode="auto">
        <a:xfrm>
          <a:off x="1228725" y="2327843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1232</xdr:row>
      <xdr:rowOff>9525</xdr:rowOff>
    </xdr:from>
    <xdr:to>
      <xdr:col>2</xdr:col>
      <xdr:colOff>1733550</xdr:colOff>
      <xdr:row>1232</xdr:row>
      <xdr:rowOff>1524000</xdr:rowOff>
    </xdr:to>
    <xdr:pic>
      <xdr:nvPicPr>
        <xdr:cNvPr id="1232" name="Picture 1231"/>
        <xdr:cNvPicPr>
          <a:picLocks noChangeAspect="1" noChangeArrowheads="1"/>
        </xdr:cNvPicPr>
      </xdr:nvPicPr>
      <xdr:blipFill>
        <a:blip xmlns:r="http://schemas.openxmlformats.org/officeDocument/2006/relationships" r:embed="rId1231">
          <a:extLst>
            <a:ext uri="{28A0092B-C50C-407E-A947-70E740481C1C}">
              <a14:useLocalDpi xmlns:a14="http://schemas.microsoft.com/office/drawing/2010/main" val="0"/>
            </a:ext>
          </a:extLst>
        </a:blip>
        <a:srcRect/>
        <a:stretch>
          <a:fillRect/>
        </a:stretch>
      </xdr:blipFill>
      <xdr:spPr bwMode="auto">
        <a:xfrm>
          <a:off x="1228725" y="2329595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1233</xdr:row>
      <xdr:rowOff>19050</xdr:rowOff>
    </xdr:from>
    <xdr:to>
      <xdr:col>2</xdr:col>
      <xdr:colOff>1733550</xdr:colOff>
      <xdr:row>1233</xdr:row>
      <xdr:rowOff>1647825</xdr:rowOff>
    </xdr:to>
    <xdr:pic>
      <xdr:nvPicPr>
        <xdr:cNvPr id="1233" name="Picture 1232"/>
        <xdr:cNvPicPr>
          <a:picLocks noChangeAspect="1" noChangeArrowheads="1"/>
        </xdr:cNvPicPr>
      </xdr:nvPicPr>
      <xdr:blipFill>
        <a:blip xmlns:r="http://schemas.openxmlformats.org/officeDocument/2006/relationships" r:embed="rId1232">
          <a:extLst>
            <a:ext uri="{28A0092B-C50C-407E-A947-70E740481C1C}">
              <a14:useLocalDpi xmlns:a14="http://schemas.microsoft.com/office/drawing/2010/main" val="0"/>
            </a:ext>
          </a:extLst>
        </a:blip>
        <a:srcRect/>
        <a:stretch>
          <a:fillRect/>
        </a:stretch>
      </xdr:blipFill>
      <xdr:spPr bwMode="auto">
        <a:xfrm>
          <a:off x="1228725" y="23313580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1234</xdr:row>
      <xdr:rowOff>9525</xdr:rowOff>
    </xdr:from>
    <xdr:to>
      <xdr:col>2</xdr:col>
      <xdr:colOff>1733550</xdr:colOff>
      <xdr:row>1234</xdr:row>
      <xdr:rowOff>1524000</xdr:rowOff>
    </xdr:to>
    <xdr:pic>
      <xdr:nvPicPr>
        <xdr:cNvPr id="1234" name="Picture 1233"/>
        <xdr:cNvPicPr>
          <a:picLocks noChangeAspect="1" noChangeArrowheads="1"/>
        </xdr:cNvPicPr>
      </xdr:nvPicPr>
      <xdr:blipFill>
        <a:blip xmlns:r="http://schemas.openxmlformats.org/officeDocument/2006/relationships" r:embed="rId1233">
          <a:extLst>
            <a:ext uri="{28A0092B-C50C-407E-A947-70E740481C1C}">
              <a14:useLocalDpi xmlns:a14="http://schemas.microsoft.com/office/drawing/2010/main" val="0"/>
            </a:ext>
          </a:extLst>
        </a:blip>
        <a:srcRect/>
        <a:stretch>
          <a:fillRect/>
        </a:stretch>
      </xdr:blipFill>
      <xdr:spPr bwMode="auto">
        <a:xfrm>
          <a:off x="1228725" y="2333244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1235</xdr:row>
      <xdr:rowOff>19050</xdr:rowOff>
    </xdr:from>
    <xdr:to>
      <xdr:col>2</xdr:col>
      <xdr:colOff>1733550</xdr:colOff>
      <xdr:row>1235</xdr:row>
      <xdr:rowOff>1647825</xdr:rowOff>
    </xdr:to>
    <xdr:pic>
      <xdr:nvPicPr>
        <xdr:cNvPr id="1235" name="Picture 1234"/>
        <xdr:cNvPicPr>
          <a:picLocks noChangeAspect="1" noChangeArrowheads="1"/>
        </xdr:cNvPicPr>
      </xdr:nvPicPr>
      <xdr:blipFill>
        <a:blip xmlns:r="http://schemas.openxmlformats.org/officeDocument/2006/relationships" r:embed="rId1234">
          <a:extLst>
            <a:ext uri="{28A0092B-C50C-407E-A947-70E740481C1C}">
              <a14:useLocalDpi xmlns:a14="http://schemas.microsoft.com/office/drawing/2010/main" val="0"/>
            </a:ext>
          </a:extLst>
        </a:blip>
        <a:srcRect/>
        <a:stretch>
          <a:fillRect/>
        </a:stretch>
      </xdr:blipFill>
      <xdr:spPr bwMode="auto">
        <a:xfrm>
          <a:off x="1228725" y="2335006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1236</xdr:row>
      <xdr:rowOff>9525</xdr:rowOff>
    </xdr:from>
    <xdr:to>
      <xdr:col>2</xdr:col>
      <xdr:colOff>1733550</xdr:colOff>
      <xdr:row>1236</xdr:row>
      <xdr:rowOff>1524000</xdr:rowOff>
    </xdr:to>
    <xdr:pic>
      <xdr:nvPicPr>
        <xdr:cNvPr id="1236" name="Picture 1235"/>
        <xdr:cNvPicPr>
          <a:picLocks noChangeAspect="1" noChangeArrowheads="1"/>
        </xdr:cNvPicPr>
      </xdr:nvPicPr>
      <xdr:blipFill>
        <a:blip xmlns:r="http://schemas.openxmlformats.org/officeDocument/2006/relationships" r:embed="rId1235">
          <a:extLst>
            <a:ext uri="{28A0092B-C50C-407E-A947-70E740481C1C}">
              <a14:useLocalDpi xmlns:a14="http://schemas.microsoft.com/office/drawing/2010/main" val="0"/>
            </a:ext>
          </a:extLst>
        </a:blip>
        <a:srcRect/>
        <a:stretch>
          <a:fillRect/>
        </a:stretch>
      </xdr:blipFill>
      <xdr:spPr bwMode="auto">
        <a:xfrm>
          <a:off x="1228725" y="2336892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1237</xdr:row>
      <xdr:rowOff>9525</xdr:rowOff>
    </xdr:from>
    <xdr:to>
      <xdr:col>2</xdr:col>
      <xdr:colOff>1733550</xdr:colOff>
      <xdr:row>1237</xdr:row>
      <xdr:rowOff>1524000</xdr:rowOff>
    </xdr:to>
    <xdr:pic>
      <xdr:nvPicPr>
        <xdr:cNvPr id="1237" name="Picture 1236"/>
        <xdr:cNvPicPr>
          <a:picLocks noChangeAspect="1" noChangeArrowheads="1"/>
        </xdr:cNvPicPr>
      </xdr:nvPicPr>
      <xdr:blipFill>
        <a:blip xmlns:r="http://schemas.openxmlformats.org/officeDocument/2006/relationships" r:embed="rId1236">
          <a:extLst>
            <a:ext uri="{28A0092B-C50C-407E-A947-70E740481C1C}">
              <a14:useLocalDpi xmlns:a14="http://schemas.microsoft.com/office/drawing/2010/main" val="0"/>
            </a:ext>
          </a:extLst>
        </a:blip>
        <a:srcRect/>
        <a:stretch>
          <a:fillRect/>
        </a:stretch>
      </xdr:blipFill>
      <xdr:spPr bwMode="auto">
        <a:xfrm>
          <a:off x="1228725" y="2338644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1238</xdr:row>
      <xdr:rowOff>19050</xdr:rowOff>
    </xdr:from>
    <xdr:to>
      <xdr:col>2</xdr:col>
      <xdr:colOff>1733550</xdr:colOff>
      <xdr:row>1238</xdr:row>
      <xdr:rowOff>1647825</xdr:rowOff>
    </xdr:to>
    <xdr:pic>
      <xdr:nvPicPr>
        <xdr:cNvPr id="1238" name="Picture 1237"/>
        <xdr:cNvPicPr>
          <a:picLocks noChangeAspect="1" noChangeArrowheads="1"/>
        </xdr:cNvPicPr>
      </xdr:nvPicPr>
      <xdr:blipFill>
        <a:blip xmlns:r="http://schemas.openxmlformats.org/officeDocument/2006/relationships" r:embed="rId1237">
          <a:extLst>
            <a:ext uri="{28A0092B-C50C-407E-A947-70E740481C1C}">
              <a14:useLocalDpi xmlns:a14="http://schemas.microsoft.com/office/drawing/2010/main" val="0"/>
            </a:ext>
          </a:extLst>
        </a:blip>
        <a:srcRect/>
        <a:stretch>
          <a:fillRect/>
        </a:stretch>
      </xdr:blipFill>
      <xdr:spPr bwMode="auto">
        <a:xfrm>
          <a:off x="1228725" y="23404068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1239</xdr:row>
      <xdr:rowOff>9525</xdr:rowOff>
    </xdr:from>
    <xdr:to>
      <xdr:col>2</xdr:col>
      <xdr:colOff>1733550</xdr:colOff>
      <xdr:row>1239</xdr:row>
      <xdr:rowOff>1524000</xdr:rowOff>
    </xdr:to>
    <xdr:pic>
      <xdr:nvPicPr>
        <xdr:cNvPr id="1239" name="Picture 1238"/>
        <xdr:cNvPicPr>
          <a:picLocks noChangeAspect="1" noChangeArrowheads="1"/>
        </xdr:cNvPicPr>
      </xdr:nvPicPr>
      <xdr:blipFill>
        <a:blip xmlns:r="http://schemas.openxmlformats.org/officeDocument/2006/relationships" r:embed="rId1238">
          <a:extLst>
            <a:ext uri="{28A0092B-C50C-407E-A947-70E740481C1C}">
              <a14:useLocalDpi xmlns:a14="http://schemas.microsoft.com/office/drawing/2010/main" val="0"/>
            </a:ext>
          </a:extLst>
        </a:blip>
        <a:srcRect/>
        <a:stretch>
          <a:fillRect/>
        </a:stretch>
      </xdr:blipFill>
      <xdr:spPr bwMode="auto">
        <a:xfrm>
          <a:off x="1228725" y="2342292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1240</xdr:row>
      <xdr:rowOff>19050</xdr:rowOff>
    </xdr:from>
    <xdr:to>
      <xdr:col>2</xdr:col>
      <xdr:colOff>1733550</xdr:colOff>
      <xdr:row>1240</xdr:row>
      <xdr:rowOff>1647825</xdr:rowOff>
    </xdr:to>
    <xdr:pic>
      <xdr:nvPicPr>
        <xdr:cNvPr id="1240" name="Picture 1239"/>
        <xdr:cNvPicPr>
          <a:picLocks noChangeAspect="1" noChangeArrowheads="1"/>
        </xdr:cNvPicPr>
      </xdr:nvPicPr>
      <xdr:blipFill>
        <a:blip xmlns:r="http://schemas.openxmlformats.org/officeDocument/2006/relationships" r:embed="rId1239">
          <a:extLst>
            <a:ext uri="{28A0092B-C50C-407E-A947-70E740481C1C}">
              <a14:useLocalDpi xmlns:a14="http://schemas.microsoft.com/office/drawing/2010/main" val="0"/>
            </a:ext>
          </a:extLst>
        </a:blip>
        <a:srcRect/>
        <a:stretch>
          <a:fillRect/>
        </a:stretch>
      </xdr:blipFill>
      <xdr:spPr bwMode="auto">
        <a:xfrm>
          <a:off x="1228725" y="23440548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1241</xdr:row>
      <xdr:rowOff>9525</xdr:rowOff>
    </xdr:from>
    <xdr:to>
      <xdr:col>2</xdr:col>
      <xdr:colOff>1733550</xdr:colOff>
      <xdr:row>1241</xdr:row>
      <xdr:rowOff>1524000</xdr:rowOff>
    </xdr:to>
    <xdr:pic>
      <xdr:nvPicPr>
        <xdr:cNvPr id="1241" name="Picture 1240"/>
        <xdr:cNvPicPr>
          <a:picLocks noChangeAspect="1" noChangeArrowheads="1"/>
        </xdr:cNvPicPr>
      </xdr:nvPicPr>
      <xdr:blipFill>
        <a:blip xmlns:r="http://schemas.openxmlformats.org/officeDocument/2006/relationships" r:embed="rId1240">
          <a:extLst>
            <a:ext uri="{28A0092B-C50C-407E-A947-70E740481C1C}">
              <a14:useLocalDpi xmlns:a14="http://schemas.microsoft.com/office/drawing/2010/main" val="0"/>
            </a:ext>
          </a:extLst>
        </a:blip>
        <a:srcRect/>
        <a:stretch>
          <a:fillRect/>
        </a:stretch>
      </xdr:blipFill>
      <xdr:spPr bwMode="auto">
        <a:xfrm>
          <a:off x="1228725" y="2345940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1242</xdr:row>
      <xdr:rowOff>9525</xdr:rowOff>
    </xdr:from>
    <xdr:to>
      <xdr:col>2</xdr:col>
      <xdr:colOff>1733550</xdr:colOff>
      <xdr:row>1242</xdr:row>
      <xdr:rowOff>1524000</xdr:rowOff>
    </xdr:to>
    <xdr:pic>
      <xdr:nvPicPr>
        <xdr:cNvPr id="1242" name="Picture 1241"/>
        <xdr:cNvPicPr>
          <a:picLocks noChangeAspect="1" noChangeArrowheads="1"/>
        </xdr:cNvPicPr>
      </xdr:nvPicPr>
      <xdr:blipFill>
        <a:blip xmlns:r="http://schemas.openxmlformats.org/officeDocument/2006/relationships" r:embed="rId1241">
          <a:extLst>
            <a:ext uri="{28A0092B-C50C-407E-A947-70E740481C1C}">
              <a14:useLocalDpi xmlns:a14="http://schemas.microsoft.com/office/drawing/2010/main" val="0"/>
            </a:ext>
          </a:extLst>
        </a:blip>
        <a:srcRect/>
        <a:stretch>
          <a:fillRect/>
        </a:stretch>
      </xdr:blipFill>
      <xdr:spPr bwMode="auto">
        <a:xfrm>
          <a:off x="1228725" y="2347693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1243</xdr:row>
      <xdr:rowOff>9525</xdr:rowOff>
    </xdr:from>
    <xdr:to>
      <xdr:col>2</xdr:col>
      <xdr:colOff>1733550</xdr:colOff>
      <xdr:row>1243</xdr:row>
      <xdr:rowOff>1524000</xdr:rowOff>
    </xdr:to>
    <xdr:pic>
      <xdr:nvPicPr>
        <xdr:cNvPr id="1243" name="Picture 1242"/>
        <xdr:cNvPicPr>
          <a:picLocks noChangeAspect="1" noChangeArrowheads="1"/>
        </xdr:cNvPicPr>
      </xdr:nvPicPr>
      <xdr:blipFill>
        <a:blip xmlns:r="http://schemas.openxmlformats.org/officeDocument/2006/relationships" r:embed="rId1242">
          <a:extLst>
            <a:ext uri="{28A0092B-C50C-407E-A947-70E740481C1C}">
              <a14:useLocalDpi xmlns:a14="http://schemas.microsoft.com/office/drawing/2010/main" val="0"/>
            </a:ext>
          </a:extLst>
        </a:blip>
        <a:srcRect/>
        <a:stretch>
          <a:fillRect/>
        </a:stretch>
      </xdr:blipFill>
      <xdr:spPr bwMode="auto">
        <a:xfrm>
          <a:off x="1228725" y="2349446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1244</xdr:row>
      <xdr:rowOff>9525</xdr:rowOff>
    </xdr:from>
    <xdr:to>
      <xdr:col>2</xdr:col>
      <xdr:colOff>1733550</xdr:colOff>
      <xdr:row>1244</xdr:row>
      <xdr:rowOff>1524000</xdr:rowOff>
    </xdr:to>
    <xdr:pic>
      <xdr:nvPicPr>
        <xdr:cNvPr id="1244" name="Picture 1243"/>
        <xdr:cNvPicPr>
          <a:picLocks noChangeAspect="1" noChangeArrowheads="1"/>
        </xdr:cNvPicPr>
      </xdr:nvPicPr>
      <xdr:blipFill>
        <a:blip xmlns:r="http://schemas.openxmlformats.org/officeDocument/2006/relationships" r:embed="rId1243">
          <a:extLst>
            <a:ext uri="{28A0092B-C50C-407E-A947-70E740481C1C}">
              <a14:useLocalDpi xmlns:a14="http://schemas.microsoft.com/office/drawing/2010/main" val="0"/>
            </a:ext>
          </a:extLst>
        </a:blip>
        <a:srcRect/>
        <a:stretch>
          <a:fillRect/>
        </a:stretch>
      </xdr:blipFill>
      <xdr:spPr bwMode="auto">
        <a:xfrm>
          <a:off x="1228725" y="2351198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1245</xdr:row>
      <xdr:rowOff>19050</xdr:rowOff>
    </xdr:from>
    <xdr:to>
      <xdr:col>2</xdr:col>
      <xdr:colOff>1733550</xdr:colOff>
      <xdr:row>1245</xdr:row>
      <xdr:rowOff>1647825</xdr:rowOff>
    </xdr:to>
    <xdr:pic>
      <xdr:nvPicPr>
        <xdr:cNvPr id="1245" name="Picture 1244"/>
        <xdr:cNvPicPr>
          <a:picLocks noChangeAspect="1" noChangeArrowheads="1"/>
        </xdr:cNvPicPr>
      </xdr:nvPicPr>
      <xdr:blipFill>
        <a:blip xmlns:r="http://schemas.openxmlformats.org/officeDocument/2006/relationships" r:embed="rId1244">
          <a:extLst>
            <a:ext uri="{28A0092B-C50C-407E-A947-70E740481C1C}">
              <a14:useLocalDpi xmlns:a14="http://schemas.microsoft.com/office/drawing/2010/main" val="0"/>
            </a:ext>
          </a:extLst>
        </a:blip>
        <a:srcRect/>
        <a:stretch>
          <a:fillRect/>
        </a:stretch>
      </xdr:blipFill>
      <xdr:spPr bwMode="auto">
        <a:xfrm>
          <a:off x="1228725" y="23529607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1246</xdr:row>
      <xdr:rowOff>19050</xdr:rowOff>
    </xdr:from>
    <xdr:to>
      <xdr:col>2</xdr:col>
      <xdr:colOff>1733550</xdr:colOff>
      <xdr:row>1246</xdr:row>
      <xdr:rowOff>1647825</xdr:rowOff>
    </xdr:to>
    <xdr:pic>
      <xdr:nvPicPr>
        <xdr:cNvPr id="1246" name="Picture 1245"/>
        <xdr:cNvPicPr>
          <a:picLocks noChangeAspect="1" noChangeArrowheads="1"/>
        </xdr:cNvPicPr>
      </xdr:nvPicPr>
      <xdr:blipFill>
        <a:blip xmlns:r="http://schemas.openxmlformats.org/officeDocument/2006/relationships" r:embed="rId1245">
          <a:extLst>
            <a:ext uri="{28A0092B-C50C-407E-A947-70E740481C1C}">
              <a14:useLocalDpi xmlns:a14="http://schemas.microsoft.com/office/drawing/2010/main" val="0"/>
            </a:ext>
          </a:extLst>
        </a:blip>
        <a:srcRect/>
        <a:stretch>
          <a:fillRect/>
        </a:stretch>
      </xdr:blipFill>
      <xdr:spPr bwMode="auto">
        <a:xfrm>
          <a:off x="1228725" y="23548562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1247</xdr:row>
      <xdr:rowOff>19050</xdr:rowOff>
    </xdr:from>
    <xdr:to>
      <xdr:col>2</xdr:col>
      <xdr:colOff>1733550</xdr:colOff>
      <xdr:row>1247</xdr:row>
      <xdr:rowOff>1666875</xdr:rowOff>
    </xdr:to>
    <xdr:pic>
      <xdr:nvPicPr>
        <xdr:cNvPr id="1247" name="Picture 1246"/>
        <xdr:cNvPicPr>
          <a:picLocks noChangeAspect="1" noChangeArrowheads="1"/>
        </xdr:cNvPicPr>
      </xdr:nvPicPr>
      <xdr:blipFill>
        <a:blip xmlns:r="http://schemas.openxmlformats.org/officeDocument/2006/relationships" r:embed="rId1246">
          <a:extLst>
            <a:ext uri="{28A0092B-C50C-407E-A947-70E740481C1C}">
              <a14:useLocalDpi xmlns:a14="http://schemas.microsoft.com/office/drawing/2010/main" val="0"/>
            </a:ext>
          </a:extLst>
        </a:blip>
        <a:srcRect/>
        <a:stretch>
          <a:fillRect/>
        </a:stretch>
      </xdr:blipFill>
      <xdr:spPr bwMode="auto">
        <a:xfrm>
          <a:off x="1228725" y="2356751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1248</xdr:row>
      <xdr:rowOff>19050</xdr:rowOff>
    </xdr:from>
    <xdr:to>
      <xdr:col>2</xdr:col>
      <xdr:colOff>1733550</xdr:colOff>
      <xdr:row>1248</xdr:row>
      <xdr:rowOff>1666875</xdr:rowOff>
    </xdr:to>
    <xdr:pic>
      <xdr:nvPicPr>
        <xdr:cNvPr id="1248" name="Picture 1247"/>
        <xdr:cNvPicPr>
          <a:picLocks noChangeAspect="1" noChangeArrowheads="1"/>
        </xdr:cNvPicPr>
      </xdr:nvPicPr>
      <xdr:blipFill>
        <a:blip xmlns:r="http://schemas.openxmlformats.org/officeDocument/2006/relationships" r:embed="rId1247">
          <a:extLst>
            <a:ext uri="{28A0092B-C50C-407E-A947-70E740481C1C}">
              <a14:useLocalDpi xmlns:a14="http://schemas.microsoft.com/office/drawing/2010/main" val="0"/>
            </a:ext>
          </a:extLst>
        </a:blip>
        <a:srcRect/>
        <a:stretch>
          <a:fillRect/>
        </a:stretch>
      </xdr:blipFill>
      <xdr:spPr bwMode="auto">
        <a:xfrm>
          <a:off x="1228725" y="235866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1249</xdr:row>
      <xdr:rowOff>19050</xdr:rowOff>
    </xdr:from>
    <xdr:to>
      <xdr:col>2</xdr:col>
      <xdr:colOff>1733550</xdr:colOff>
      <xdr:row>1249</xdr:row>
      <xdr:rowOff>1666875</xdr:rowOff>
    </xdr:to>
    <xdr:pic>
      <xdr:nvPicPr>
        <xdr:cNvPr id="1249" name="Picture 1248"/>
        <xdr:cNvPicPr>
          <a:picLocks noChangeAspect="1" noChangeArrowheads="1"/>
        </xdr:cNvPicPr>
      </xdr:nvPicPr>
      <xdr:blipFill>
        <a:blip xmlns:r="http://schemas.openxmlformats.org/officeDocument/2006/relationships" r:embed="rId1248">
          <a:extLst>
            <a:ext uri="{28A0092B-C50C-407E-A947-70E740481C1C}">
              <a14:useLocalDpi xmlns:a14="http://schemas.microsoft.com/office/drawing/2010/main" val="0"/>
            </a:ext>
          </a:extLst>
        </a:blip>
        <a:srcRect/>
        <a:stretch>
          <a:fillRect/>
        </a:stretch>
      </xdr:blipFill>
      <xdr:spPr bwMode="auto">
        <a:xfrm>
          <a:off x="1228725" y="2360580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1250</xdr:row>
      <xdr:rowOff>19050</xdr:rowOff>
    </xdr:from>
    <xdr:to>
      <xdr:col>2</xdr:col>
      <xdr:colOff>1733550</xdr:colOff>
      <xdr:row>1250</xdr:row>
      <xdr:rowOff>1666875</xdr:rowOff>
    </xdr:to>
    <xdr:pic>
      <xdr:nvPicPr>
        <xdr:cNvPr id="1250" name="Picture 1249"/>
        <xdr:cNvPicPr>
          <a:picLocks noChangeAspect="1" noChangeArrowheads="1"/>
        </xdr:cNvPicPr>
      </xdr:nvPicPr>
      <xdr:blipFill>
        <a:blip xmlns:r="http://schemas.openxmlformats.org/officeDocument/2006/relationships" r:embed="rId1249">
          <a:extLst>
            <a:ext uri="{28A0092B-C50C-407E-A947-70E740481C1C}">
              <a14:useLocalDpi xmlns:a14="http://schemas.microsoft.com/office/drawing/2010/main" val="0"/>
            </a:ext>
          </a:extLst>
        </a:blip>
        <a:srcRect/>
        <a:stretch>
          <a:fillRect/>
        </a:stretch>
      </xdr:blipFill>
      <xdr:spPr bwMode="auto">
        <a:xfrm>
          <a:off x="1228725" y="2362495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1251</xdr:row>
      <xdr:rowOff>19050</xdr:rowOff>
    </xdr:from>
    <xdr:to>
      <xdr:col>2</xdr:col>
      <xdr:colOff>1733550</xdr:colOff>
      <xdr:row>1251</xdr:row>
      <xdr:rowOff>1666875</xdr:rowOff>
    </xdr:to>
    <xdr:pic>
      <xdr:nvPicPr>
        <xdr:cNvPr id="1251" name="Picture 1250"/>
        <xdr:cNvPicPr>
          <a:picLocks noChangeAspect="1" noChangeArrowheads="1"/>
        </xdr:cNvPicPr>
      </xdr:nvPicPr>
      <xdr:blipFill>
        <a:blip xmlns:r="http://schemas.openxmlformats.org/officeDocument/2006/relationships" r:embed="rId1250">
          <a:extLst>
            <a:ext uri="{28A0092B-C50C-407E-A947-70E740481C1C}">
              <a14:useLocalDpi xmlns:a14="http://schemas.microsoft.com/office/drawing/2010/main" val="0"/>
            </a:ext>
          </a:extLst>
        </a:blip>
        <a:srcRect/>
        <a:stretch>
          <a:fillRect/>
        </a:stretch>
      </xdr:blipFill>
      <xdr:spPr bwMode="auto">
        <a:xfrm>
          <a:off x="1228725" y="2364409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1252</xdr:row>
      <xdr:rowOff>19050</xdr:rowOff>
    </xdr:from>
    <xdr:to>
      <xdr:col>2</xdr:col>
      <xdr:colOff>1733550</xdr:colOff>
      <xdr:row>1252</xdr:row>
      <xdr:rowOff>1666875</xdr:rowOff>
    </xdr:to>
    <xdr:pic>
      <xdr:nvPicPr>
        <xdr:cNvPr id="1252" name="Picture 1251"/>
        <xdr:cNvPicPr>
          <a:picLocks noChangeAspect="1" noChangeArrowheads="1"/>
        </xdr:cNvPicPr>
      </xdr:nvPicPr>
      <xdr:blipFill>
        <a:blip xmlns:r="http://schemas.openxmlformats.org/officeDocument/2006/relationships" r:embed="rId1251">
          <a:extLst>
            <a:ext uri="{28A0092B-C50C-407E-A947-70E740481C1C}">
              <a14:useLocalDpi xmlns:a14="http://schemas.microsoft.com/office/drawing/2010/main" val="0"/>
            </a:ext>
          </a:extLst>
        </a:blip>
        <a:srcRect/>
        <a:stretch>
          <a:fillRect/>
        </a:stretch>
      </xdr:blipFill>
      <xdr:spPr bwMode="auto">
        <a:xfrm>
          <a:off x="1228725" y="2366324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1253</xdr:row>
      <xdr:rowOff>19050</xdr:rowOff>
    </xdr:from>
    <xdr:to>
      <xdr:col>2</xdr:col>
      <xdr:colOff>1733550</xdr:colOff>
      <xdr:row>1253</xdr:row>
      <xdr:rowOff>1666875</xdr:rowOff>
    </xdr:to>
    <xdr:pic>
      <xdr:nvPicPr>
        <xdr:cNvPr id="1253" name="Picture 1252"/>
        <xdr:cNvPicPr>
          <a:picLocks noChangeAspect="1" noChangeArrowheads="1"/>
        </xdr:cNvPicPr>
      </xdr:nvPicPr>
      <xdr:blipFill>
        <a:blip xmlns:r="http://schemas.openxmlformats.org/officeDocument/2006/relationships" r:embed="rId1252">
          <a:extLst>
            <a:ext uri="{28A0092B-C50C-407E-A947-70E740481C1C}">
              <a14:useLocalDpi xmlns:a14="http://schemas.microsoft.com/office/drawing/2010/main" val="0"/>
            </a:ext>
          </a:extLst>
        </a:blip>
        <a:srcRect/>
        <a:stretch>
          <a:fillRect/>
        </a:stretch>
      </xdr:blipFill>
      <xdr:spPr bwMode="auto">
        <a:xfrm>
          <a:off x="1228725" y="2368238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1254</xdr:row>
      <xdr:rowOff>19050</xdr:rowOff>
    </xdr:from>
    <xdr:to>
      <xdr:col>2</xdr:col>
      <xdr:colOff>1733550</xdr:colOff>
      <xdr:row>1254</xdr:row>
      <xdr:rowOff>1666875</xdr:rowOff>
    </xdr:to>
    <xdr:pic>
      <xdr:nvPicPr>
        <xdr:cNvPr id="1254" name="Picture 1253"/>
        <xdr:cNvPicPr>
          <a:picLocks noChangeAspect="1" noChangeArrowheads="1"/>
        </xdr:cNvPicPr>
      </xdr:nvPicPr>
      <xdr:blipFill>
        <a:blip xmlns:r="http://schemas.openxmlformats.org/officeDocument/2006/relationships" r:embed="rId1253">
          <a:extLst>
            <a:ext uri="{28A0092B-C50C-407E-A947-70E740481C1C}">
              <a14:useLocalDpi xmlns:a14="http://schemas.microsoft.com/office/drawing/2010/main" val="0"/>
            </a:ext>
          </a:extLst>
        </a:blip>
        <a:srcRect/>
        <a:stretch>
          <a:fillRect/>
        </a:stretch>
      </xdr:blipFill>
      <xdr:spPr bwMode="auto">
        <a:xfrm>
          <a:off x="1228725" y="2370153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1255</xdr:row>
      <xdr:rowOff>19050</xdr:rowOff>
    </xdr:from>
    <xdr:to>
      <xdr:col>2</xdr:col>
      <xdr:colOff>1733550</xdr:colOff>
      <xdr:row>1255</xdr:row>
      <xdr:rowOff>1666875</xdr:rowOff>
    </xdr:to>
    <xdr:pic>
      <xdr:nvPicPr>
        <xdr:cNvPr id="1255" name="Picture 1254"/>
        <xdr:cNvPicPr>
          <a:picLocks noChangeAspect="1" noChangeArrowheads="1"/>
        </xdr:cNvPicPr>
      </xdr:nvPicPr>
      <xdr:blipFill>
        <a:blip xmlns:r="http://schemas.openxmlformats.org/officeDocument/2006/relationships" r:embed="rId1254">
          <a:extLst>
            <a:ext uri="{28A0092B-C50C-407E-A947-70E740481C1C}">
              <a14:useLocalDpi xmlns:a14="http://schemas.microsoft.com/office/drawing/2010/main" val="0"/>
            </a:ext>
          </a:extLst>
        </a:blip>
        <a:srcRect/>
        <a:stretch>
          <a:fillRect/>
        </a:stretch>
      </xdr:blipFill>
      <xdr:spPr bwMode="auto">
        <a:xfrm>
          <a:off x="1228725" y="2372067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1256</xdr:row>
      <xdr:rowOff>19050</xdr:rowOff>
    </xdr:from>
    <xdr:to>
      <xdr:col>2</xdr:col>
      <xdr:colOff>1733550</xdr:colOff>
      <xdr:row>1256</xdr:row>
      <xdr:rowOff>1666875</xdr:rowOff>
    </xdr:to>
    <xdr:pic>
      <xdr:nvPicPr>
        <xdr:cNvPr id="1256" name="Picture 1255"/>
        <xdr:cNvPicPr>
          <a:picLocks noChangeAspect="1" noChangeArrowheads="1"/>
        </xdr:cNvPicPr>
      </xdr:nvPicPr>
      <xdr:blipFill>
        <a:blip xmlns:r="http://schemas.openxmlformats.org/officeDocument/2006/relationships" r:embed="rId1255">
          <a:extLst>
            <a:ext uri="{28A0092B-C50C-407E-A947-70E740481C1C}">
              <a14:useLocalDpi xmlns:a14="http://schemas.microsoft.com/office/drawing/2010/main" val="0"/>
            </a:ext>
          </a:extLst>
        </a:blip>
        <a:srcRect/>
        <a:stretch>
          <a:fillRect/>
        </a:stretch>
      </xdr:blipFill>
      <xdr:spPr bwMode="auto">
        <a:xfrm>
          <a:off x="1228725" y="2373982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1257</xdr:row>
      <xdr:rowOff>19050</xdr:rowOff>
    </xdr:from>
    <xdr:to>
      <xdr:col>2</xdr:col>
      <xdr:colOff>1733550</xdr:colOff>
      <xdr:row>1257</xdr:row>
      <xdr:rowOff>1666875</xdr:rowOff>
    </xdr:to>
    <xdr:pic>
      <xdr:nvPicPr>
        <xdr:cNvPr id="1257" name="Picture 1256"/>
        <xdr:cNvPicPr>
          <a:picLocks noChangeAspect="1" noChangeArrowheads="1"/>
        </xdr:cNvPicPr>
      </xdr:nvPicPr>
      <xdr:blipFill>
        <a:blip xmlns:r="http://schemas.openxmlformats.org/officeDocument/2006/relationships" r:embed="rId1256">
          <a:extLst>
            <a:ext uri="{28A0092B-C50C-407E-A947-70E740481C1C}">
              <a14:useLocalDpi xmlns:a14="http://schemas.microsoft.com/office/drawing/2010/main" val="0"/>
            </a:ext>
          </a:extLst>
        </a:blip>
        <a:srcRect/>
        <a:stretch>
          <a:fillRect/>
        </a:stretch>
      </xdr:blipFill>
      <xdr:spPr bwMode="auto">
        <a:xfrm>
          <a:off x="1228725" y="237589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1258</xdr:row>
      <xdr:rowOff>19050</xdr:rowOff>
    </xdr:from>
    <xdr:to>
      <xdr:col>2</xdr:col>
      <xdr:colOff>1733550</xdr:colOff>
      <xdr:row>1258</xdr:row>
      <xdr:rowOff>1666875</xdr:rowOff>
    </xdr:to>
    <xdr:pic>
      <xdr:nvPicPr>
        <xdr:cNvPr id="1258" name="Picture 1257"/>
        <xdr:cNvPicPr>
          <a:picLocks noChangeAspect="1" noChangeArrowheads="1"/>
        </xdr:cNvPicPr>
      </xdr:nvPicPr>
      <xdr:blipFill>
        <a:blip xmlns:r="http://schemas.openxmlformats.org/officeDocument/2006/relationships" r:embed="rId1257">
          <a:extLst>
            <a:ext uri="{28A0092B-C50C-407E-A947-70E740481C1C}">
              <a14:useLocalDpi xmlns:a14="http://schemas.microsoft.com/office/drawing/2010/main" val="0"/>
            </a:ext>
          </a:extLst>
        </a:blip>
        <a:srcRect/>
        <a:stretch>
          <a:fillRect/>
        </a:stretch>
      </xdr:blipFill>
      <xdr:spPr bwMode="auto">
        <a:xfrm>
          <a:off x="1228725" y="237781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1259</xdr:row>
      <xdr:rowOff>19050</xdr:rowOff>
    </xdr:from>
    <xdr:to>
      <xdr:col>2</xdr:col>
      <xdr:colOff>1733550</xdr:colOff>
      <xdr:row>1259</xdr:row>
      <xdr:rowOff>1666875</xdr:rowOff>
    </xdr:to>
    <xdr:pic>
      <xdr:nvPicPr>
        <xdr:cNvPr id="1259" name="Picture 1258"/>
        <xdr:cNvPicPr>
          <a:picLocks noChangeAspect="1" noChangeArrowheads="1"/>
        </xdr:cNvPicPr>
      </xdr:nvPicPr>
      <xdr:blipFill>
        <a:blip xmlns:r="http://schemas.openxmlformats.org/officeDocument/2006/relationships" r:embed="rId1258">
          <a:extLst>
            <a:ext uri="{28A0092B-C50C-407E-A947-70E740481C1C}">
              <a14:useLocalDpi xmlns:a14="http://schemas.microsoft.com/office/drawing/2010/main" val="0"/>
            </a:ext>
          </a:extLst>
        </a:blip>
        <a:srcRect/>
        <a:stretch>
          <a:fillRect/>
        </a:stretch>
      </xdr:blipFill>
      <xdr:spPr bwMode="auto">
        <a:xfrm>
          <a:off x="1228725" y="2379726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1260</xdr:row>
      <xdr:rowOff>19050</xdr:rowOff>
    </xdr:from>
    <xdr:to>
      <xdr:col>2</xdr:col>
      <xdr:colOff>1733550</xdr:colOff>
      <xdr:row>1260</xdr:row>
      <xdr:rowOff>1666875</xdr:rowOff>
    </xdr:to>
    <xdr:pic>
      <xdr:nvPicPr>
        <xdr:cNvPr id="1260" name="Picture 1259"/>
        <xdr:cNvPicPr>
          <a:picLocks noChangeAspect="1" noChangeArrowheads="1"/>
        </xdr:cNvPicPr>
      </xdr:nvPicPr>
      <xdr:blipFill>
        <a:blip xmlns:r="http://schemas.openxmlformats.org/officeDocument/2006/relationships" r:embed="rId1259">
          <a:extLst>
            <a:ext uri="{28A0092B-C50C-407E-A947-70E740481C1C}">
              <a14:useLocalDpi xmlns:a14="http://schemas.microsoft.com/office/drawing/2010/main" val="0"/>
            </a:ext>
          </a:extLst>
        </a:blip>
        <a:srcRect/>
        <a:stretch>
          <a:fillRect/>
        </a:stretch>
      </xdr:blipFill>
      <xdr:spPr bwMode="auto">
        <a:xfrm>
          <a:off x="1228725" y="2381640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1261</xdr:row>
      <xdr:rowOff>19050</xdr:rowOff>
    </xdr:from>
    <xdr:to>
      <xdr:col>2</xdr:col>
      <xdr:colOff>1733550</xdr:colOff>
      <xdr:row>1261</xdr:row>
      <xdr:rowOff>1666875</xdr:rowOff>
    </xdr:to>
    <xdr:pic>
      <xdr:nvPicPr>
        <xdr:cNvPr id="1261" name="Picture 1260"/>
        <xdr:cNvPicPr>
          <a:picLocks noChangeAspect="1" noChangeArrowheads="1"/>
        </xdr:cNvPicPr>
      </xdr:nvPicPr>
      <xdr:blipFill>
        <a:blip xmlns:r="http://schemas.openxmlformats.org/officeDocument/2006/relationships" r:embed="rId1260">
          <a:extLst>
            <a:ext uri="{28A0092B-C50C-407E-A947-70E740481C1C}">
              <a14:useLocalDpi xmlns:a14="http://schemas.microsoft.com/office/drawing/2010/main" val="0"/>
            </a:ext>
          </a:extLst>
        </a:blip>
        <a:srcRect/>
        <a:stretch>
          <a:fillRect/>
        </a:stretch>
      </xdr:blipFill>
      <xdr:spPr bwMode="auto">
        <a:xfrm>
          <a:off x="1228725" y="2383555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1262</xdr:row>
      <xdr:rowOff>19050</xdr:rowOff>
    </xdr:from>
    <xdr:to>
      <xdr:col>2</xdr:col>
      <xdr:colOff>1733550</xdr:colOff>
      <xdr:row>1262</xdr:row>
      <xdr:rowOff>1666875</xdr:rowOff>
    </xdr:to>
    <xdr:pic>
      <xdr:nvPicPr>
        <xdr:cNvPr id="1262" name="Picture 1261"/>
        <xdr:cNvPicPr>
          <a:picLocks noChangeAspect="1" noChangeArrowheads="1"/>
        </xdr:cNvPicPr>
      </xdr:nvPicPr>
      <xdr:blipFill>
        <a:blip xmlns:r="http://schemas.openxmlformats.org/officeDocument/2006/relationships" r:embed="rId1261">
          <a:extLst>
            <a:ext uri="{28A0092B-C50C-407E-A947-70E740481C1C}">
              <a14:useLocalDpi xmlns:a14="http://schemas.microsoft.com/office/drawing/2010/main" val="0"/>
            </a:ext>
          </a:extLst>
        </a:blip>
        <a:srcRect/>
        <a:stretch>
          <a:fillRect/>
        </a:stretch>
      </xdr:blipFill>
      <xdr:spPr bwMode="auto">
        <a:xfrm>
          <a:off x="1228725" y="2385469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1263</xdr:row>
      <xdr:rowOff>19050</xdr:rowOff>
    </xdr:from>
    <xdr:to>
      <xdr:col>2</xdr:col>
      <xdr:colOff>1733550</xdr:colOff>
      <xdr:row>1263</xdr:row>
      <xdr:rowOff>1666875</xdr:rowOff>
    </xdr:to>
    <xdr:pic>
      <xdr:nvPicPr>
        <xdr:cNvPr id="1263" name="Picture 1262"/>
        <xdr:cNvPicPr>
          <a:picLocks noChangeAspect="1" noChangeArrowheads="1"/>
        </xdr:cNvPicPr>
      </xdr:nvPicPr>
      <xdr:blipFill>
        <a:blip xmlns:r="http://schemas.openxmlformats.org/officeDocument/2006/relationships" r:embed="rId1262">
          <a:extLst>
            <a:ext uri="{28A0092B-C50C-407E-A947-70E740481C1C}">
              <a14:useLocalDpi xmlns:a14="http://schemas.microsoft.com/office/drawing/2010/main" val="0"/>
            </a:ext>
          </a:extLst>
        </a:blip>
        <a:srcRect/>
        <a:stretch>
          <a:fillRect/>
        </a:stretch>
      </xdr:blipFill>
      <xdr:spPr bwMode="auto">
        <a:xfrm>
          <a:off x="1228725" y="2387384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1264</xdr:row>
      <xdr:rowOff>19050</xdr:rowOff>
    </xdr:from>
    <xdr:to>
      <xdr:col>2</xdr:col>
      <xdr:colOff>1733550</xdr:colOff>
      <xdr:row>1264</xdr:row>
      <xdr:rowOff>1666875</xdr:rowOff>
    </xdr:to>
    <xdr:pic>
      <xdr:nvPicPr>
        <xdr:cNvPr id="1264" name="Picture 1263"/>
        <xdr:cNvPicPr>
          <a:picLocks noChangeAspect="1" noChangeArrowheads="1"/>
        </xdr:cNvPicPr>
      </xdr:nvPicPr>
      <xdr:blipFill>
        <a:blip xmlns:r="http://schemas.openxmlformats.org/officeDocument/2006/relationships" r:embed="rId1263">
          <a:extLst>
            <a:ext uri="{28A0092B-C50C-407E-A947-70E740481C1C}">
              <a14:useLocalDpi xmlns:a14="http://schemas.microsoft.com/office/drawing/2010/main" val="0"/>
            </a:ext>
          </a:extLst>
        </a:blip>
        <a:srcRect/>
        <a:stretch>
          <a:fillRect/>
        </a:stretch>
      </xdr:blipFill>
      <xdr:spPr bwMode="auto">
        <a:xfrm>
          <a:off x="1228725" y="2389298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1265</xdr:row>
      <xdr:rowOff>19050</xdr:rowOff>
    </xdr:from>
    <xdr:to>
      <xdr:col>2</xdr:col>
      <xdr:colOff>1733550</xdr:colOff>
      <xdr:row>1265</xdr:row>
      <xdr:rowOff>1666875</xdr:rowOff>
    </xdr:to>
    <xdr:pic>
      <xdr:nvPicPr>
        <xdr:cNvPr id="1265" name="Picture 1264"/>
        <xdr:cNvPicPr>
          <a:picLocks noChangeAspect="1" noChangeArrowheads="1"/>
        </xdr:cNvPicPr>
      </xdr:nvPicPr>
      <xdr:blipFill>
        <a:blip xmlns:r="http://schemas.openxmlformats.org/officeDocument/2006/relationships" r:embed="rId1264">
          <a:extLst>
            <a:ext uri="{28A0092B-C50C-407E-A947-70E740481C1C}">
              <a14:useLocalDpi xmlns:a14="http://schemas.microsoft.com/office/drawing/2010/main" val="0"/>
            </a:ext>
          </a:extLst>
        </a:blip>
        <a:srcRect/>
        <a:stretch>
          <a:fillRect/>
        </a:stretch>
      </xdr:blipFill>
      <xdr:spPr bwMode="auto">
        <a:xfrm>
          <a:off x="1228725" y="2391213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1266</xdr:row>
      <xdr:rowOff>19050</xdr:rowOff>
    </xdr:from>
    <xdr:to>
      <xdr:col>2</xdr:col>
      <xdr:colOff>1733550</xdr:colOff>
      <xdr:row>1266</xdr:row>
      <xdr:rowOff>1666875</xdr:rowOff>
    </xdr:to>
    <xdr:pic>
      <xdr:nvPicPr>
        <xdr:cNvPr id="1266" name="Picture 1265"/>
        <xdr:cNvPicPr>
          <a:picLocks noChangeAspect="1" noChangeArrowheads="1"/>
        </xdr:cNvPicPr>
      </xdr:nvPicPr>
      <xdr:blipFill>
        <a:blip xmlns:r="http://schemas.openxmlformats.org/officeDocument/2006/relationships" r:embed="rId1265">
          <a:extLst>
            <a:ext uri="{28A0092B-C50C-407E-A947-70E740481C1C}">
              <a14:useLocalDpi xmlns:a14="http://schemas.microsoft.com/office/drawing/2010/main" val="0"/>
            </a:ext>
          </a:extLst>
        </a:blip>
        <a:srcRect/>
        <a:stretch>
          <a:fillRect/>
        </a:stretch>
      </xdr:blipFill>
      <xdr:spPr bwMode="auto">
        <a:xfrm>
          <a:off x="1228725" y="239312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1267</xdr:row>
      <xdr:rowOff>19050</xdr:rowOff>
    </xdr:from>
    <xdr:to>
      <xdr:col>2</xdr:col>
      <xdr:colOff>1733550</xdr:colOff>
      <xdr:row>1267</xdr:row>
      <xdr:rowOff>1666875</xdr:rowOff>
    </xdr:to>
    <xdr:pic>
      <xdr:nvPicPr>
        <xdr:cNvPr id="1267" name="Picture 1266"/>
        <xdr:cNvPicPr>
          <a:picLocks noChangeAspect="1" noChangeArrowheads="1"/>
        </xdr:cNvPicPr>
      </xdr:nvPicPr>
      <xdr:blipFill>
        <a:blip xmlns:r="http://schemas.openxmlformats.org/officeDocument/2006/relationships" r:embed="rId1266">
          <a:extLst>
            <a:ext uri="{28A0092B-C50C-407E-A947-70E740481C1C}">
              <a14:useLocalDpi xmlns:a14="http://schemas.microsoft.com/office/drawing/2010/main" val="0"/>
            </a:ext>
          </a:extLst>
        </a:blip>
        <a:srcRect/>
        <a:stretch>
          <a:fillRect/>
        </a:stretch>
      </xdr:blipFill>
      <xdr:spPr bwMode="auto">
        <a:xfrm>
          <a:off x="1228725" y="239504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1268</xdr:row>
      <xdr:rowOff>19050</xdr:rowOff>
    </xdr:from>
    <xdr:to>
      <xdr:col>2</xdr:col>
      <xdr:colOff>1733550</xdr:colOff>
      <xdr:row>1268</xdr:row>
      <xdr:rowOff>1666875</xdr:rowOff>
    </xdr:to>
    <xdr:pic>
      <xdr:nvPicPr>
        <xdr:cNvPr id="1268" name="Picture 1267"/>
        <xdr:cNvPicPr>
          <a:picLocks noChangeAspect="1" noChangeArrowheads="1"/>
        </xdr:cNvPicPr>
      </xdr:nvPicPr>
      <xdr:blipFill>
        <a:blip xmlns:r="http://schemas.openxmlformats.org/officeDocument/2006/relationships" r:embed="rId1267">
          <a:extLst>
            <a:ext uri="{28A0092B-C50C-407E-A947-70E740481C1C}">
              <a14:useLocalDpi xmlns:a14="http://schemas.microsoft.com/office/drawing/2010/main" val="0"/>
            </a:ext>
          </a:extLst>
        </a:blip>
        <a:srcRect/>
        <a:stretch>
          <a:fillRect/>
        </a:stretch>
      </xdr:blipFill>
      <xdr:spPr bwMode="auto">
        <a:xfrm>
          <a:off x="1228725" y="239695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1269</xdr:row>
      <xdr:rowOff>19050</xdr:rowOff>
    </xdr:from>
    <xdr:to>
      <xdr:col>2</xdr:col>
      <xdr:colOff>1733550</xdr:colOff>
      <xdr:row>1269</xdr:row>
      <xdr:rowOff>1666875</xdr:rowOff>
    </xdr:to>
    <xdr:pic>
      <xdr:nvPicPr>
        <xdr:cNvPr id="1269" name="Picture 1268"/>
        <xdr:cNvPicPr>
          <a:picLocks noChangeAspect="1" noChangeArrowheads="1"/>
        </xdr:cNvPicPr>
      </xdr:nvPicPr>
      <xdr:blipFill>
        <a:blip xmlns:r="http://schemas.openxmlformats.org/officeDocument/2006/relationships" r:embed="rId1268">
          <a:extLst>
            <a:ext uri="{28A0092B-C50C-407E-A947-70E740481C1C}">
              <a14:useLocalDpi xmlns:a14="http://schemas.microsoft.com/office/drawing/2010/main" val="0"/>
            </a:ext>
          </a:extLst>
        </a:blip>
        <a:srcRect/>
        <a:stretch>
          <a:fillRect/>
        </a:stretch>
      </xdr:blipFill>
      <xdr:spPr bwMode="auto">
        <a:xfrm>
          <a:off x="1228725" y="239887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1270</xdr:row>
      <xdr:rowOff>19050</xdr:rowOff>
    </xdr:from>
    <xdr:to>
      <xdr:col>2</xdr:col>
      <xdr:colOff>1733550</xdr:colOff>
      <xdr:row>1270</xdr:row>
      <xdr:rowOff>1666875</xdr:rowOff>
    </xdr:to>
    <xdr:pic>
      <xdr:nvPicPr>
        <xdr:cNvPr id="1270" name="Picture 1269"/>
        <xdr:cNvPicPr>
          <a:picLocks noChangeAspect="1" noChangeArrowheads="1"/>
        </xdr:cNvPicPr>
      </xdr:nvPicPr>
      <xdr:blipFill>
        <a:blip xmlns:r="http://schemas.openxmlformats.org/officeDocument/2006/relationships" r:embed="rId1269">
          <a:extLst>
            <a:ext uri="{28A0092B-C50C-407E-A947-70E740481C1C}">
              <a14:useLocalDpi xmlns:a14="http://schemas.microsoft.com/office/drawing/2010/main" val="0"/>
            </a:ext>
          </a:extLst>
        </a:blip>
        <a:srcRect/>
        <a:stretch>
          <a:fillRect/>
        </a:stretch>
      </xdr:blipFill>
      <xdr:spPr bwMode="auto">
        <a:xfrm>
          <a:off x="1228725" y="2400785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1271</xdr:row>
      <xdr:rowOff>19050</xdr:rowOff>
    </xdr:from>
    <xdr:to>
      <xdr:col>2</xdr:col>
      <xdr:colOff>1733550</xdr:colOff>
      <xdr:row>1271</xdr:row>
      <xdr:rowOff>1666875</xdr:rowOff>
    </xdr:to>
    <xdr:pic>
      <xdr:nvPicPr>
        <xdr:cNvPr id="1271" name="Picture 1270"/>
        <xdr:cNvPicPr>
          <a:picLocks noChangeAspect="1" noChangeArrowheads="1"/>
        </xdr:cNvPicPr>
      </xdr:nvPicPr>
      <xdr:blipFill>
        <a:blip xmlns:r="http://schemas.openxmlformats.org/officeDocument/2006/relationships" r:embed="rId1270">
          <a:extLst>
            <a:ext uri="{28A0092B-C50C-407E-A947-70E740481C1C}">
              <a14:useLocalDpi xmlns:a14="http://schemas.microsoft.com/office/drawing/2010/main" val="0"/>
            </a:ext>
          </a:extLst>
        </a:blip>
        <a:srcRect/>
        <a:stretch>
          <a:fillRect/>
        </a:stretch>
      </xdr:blipFill>
      <xdr:spPr bwMode="auto">
        <a:xfrm>
          <a:off x="1228725" y="240270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1272</xdr:row>
      <xdr:rowOff>19050</xdr:rowOff>
    </xdr:from>
    <xdr:to>
      <xdr:col>2</xdr:col>
      <xdr:colOff>1733550</xdr:colOff>
      <xdr:row>1272</xdr:row>
      <xdr:rowOff>1666875</xdr:rowOff>
    </xdr:to>
    <xdr:pic>
      <xdr:nvPicPr>
        <xdr:cNvPr id="1272" name="Picture 1271"/>
        <xdr:cNvPicPr>
          <a:picLocks noChangeAspect="1" noChangeArrowheads="1"/>
        </xdr:cNvPicPr>
      </xdr:nvPicPr>
      <xdr:blipFill>
        <a:blip xmlns:r="http://schemas.openxmlformats.org/officeDocument/2006/relationships" r:embed="rId1271">
          <a:extLst>
            <a:ext uri="{28A0092B-C50C-407E-A947-70E740481C1C}">
              <a14:useLocalDpi xmlns:a14="http://schemas.microsoft.com/office/drawing/2010/main" val="0"/>
            </a:ext>
          </a:extLst>
        </a:blip>
        <a:srcRect/>
        <a:stretch>
          <a:fillRect/>
        </a:stretch>
      </xdr:blipFill>
      <xdr:spPr bwMode="auto">
        <a:xfrm>
          <a:off x="1228725" y="240461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1273</xdr:row>
      <xdr:rowOff>19050</xdr:rowOff>
    </xdr:from>
    <xdr:to>
      <xdr:col>2</xdr:col>
      <xdr:colOff>1733550</xdr:colOff>
      <xdr:row>1273</xdr:row>
      <xdr:rowOff>1666875</xdr:rowOff>
    </xdr:to>
    <xdr:pic>
      <xdr:nvPicPr>
        <xdr:cNvPr id="1273" name="Picture 1272"/>
        <xdr:cNvPicPr>
          <a:picLocks noChangeAspect="1" noChangeArrowheads="1"/>
        </xdr:cNvPicPr>
      </xdr:nvPicPr>
      <xdr:blipFill>
        <a:blip xmlns:r="http://schemas.openxmlformats.org/officeDocument/2006/relationships" r:embed="rId1272">
          <a:extLst>
            <a:ext uri="{28A0092B-C50C-407E-A947-70E740481C1C}">
              <a14:useLocalDpi xmlns:a14="http://schemas.microsoft.com/office/drawing/2010/main" val="0"/>
            </a:ext>
          </a:extLst>
        </a:blip>
        <a:srcRect/>
        <a:stretch>
          <a:fillRect/>
        </a:stretch>
      </xdr:blipFill>
      <xdr:spPr bwMode="auto">
        <a:xfrm>
          <a:off x="1228725" y="2406529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1274</xdr:row>
      <xdr:rowOff>19050</xdr:rowOff>
    </xdr:from>
    <xdr:to>
      <xdr:col>2</xdr:col>
      <xdr:colOff>1733550</xdr:colOff>
      <xdr:row>1274</xdr:row>
      <xdr:rowOff>1666875</xdr:rowOff>
    </xdr:to>
    <xdr:pic>
      <xdr:nvPicPr>
        <xdr:cNvPr id="1274" name="Picture 1273"/>
        <xdr:cNvPicPr>
          <a:picLocks noChangeAspect="1" noChangeArrowheads="1"/>
        </xdr:cNvPicPr>
      </xdr:nvPicPr>
      <xdr:blipFill>
        <a:blip xmlns:r="http://schemas.openxmlformats.org/officeDocument/2006/relationships" r:embed="rId1273">
          <a:extLst>
            <a:ext uri="{28A0092B-C50C-407E-A947-70E740481C1C}">
              <a14:useLocalDpi xmlns:a14="http://schemas.microsoft.com/office/drawing/2010/main" val="0"/>
            </a:ext>
          </a:extLst>
        </a:blip>
        <a:srcRect/>
        <a:stretch>
          <a:fillRect/>
        </a:stretch>
      </xdr:blipFill>
      <xdr:spPr bwMode="auto">
        <a:xfrm>
          <a:off x="1228725" y="2408443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1275</xdr:row>
      <xdr:rowOff>19050</xdr:rowOff>
    </xdr:from>
    <xdr:to>
      <xdr:col>2</xdr:col>
      <xdr:colOff>1733550</xdr:colOff>
      <xdr:row>1275</xdr:row>
      <xdr:rowOff>1666875</xdr:rowOff>
    </xdr:to>
    <xdr:pic>
      <xdr:nvPicPr>
        <xdr:cNvPr id="1275" name="Picture 1274"/>
        <xdr:cNvPicPr>
          <a:picLocks noChangeAspect="1" noChangeArrowheads="1"/>
        </xdr:cNvPicPr>
      </xdr:nvPicPr>
      <xdr:blipFill>
        <a:blip xmlns:r="http://schemas.openxmlformats.org/officeDocument/2006/relationships" r:embed="rId1274">
          <a:extLst>
            <a:ext uri="{28A0092B-C50C-407E-A947-70E740481C1C}">
              <a14:useLocalDpi xmlns:a14="http://schemas.microsoft.com/office/drawing/2010/main" val="0"/>
            </a:ext>
          </a:extLst>
        </a:blip>
        <a:srcRect/>
        <a:stretch>
          <a:fillRect/>
        </a:stretch>
      </xdr:blipFill>
      <xdr:spPr bwMode="auto">
        <a:xfrm>
          <a:off x="1228725" y="2410358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1276</xdr:row>
      <xdr:rowOff>19050</xdr:rowOff>
    </xdr:from>
    <xdr:to>
      <xdr:col>2</xdr:col>
      <xdr:colOff>1733550</xdr:colOff>
      <xdr:row>1276</xdr:row>
      <xdr:rowOff>1666875</xdr:rowOff>
    </xdr:to>
    <xdr:pic>
      <xdr:nvPicPr>
        <xdr:cNvPr id="1276" name="Picture 1275"/>
        <xdr:cNvPicPr>
          <a:picLocks noChangeAspect="1" noChangeArrowheads="1"/>
        </xdr:cNvPicPr>
      </xdr:nvPicPr>
      <xdr:blipFill>
        <a:blip xmlns:r="http://schemas.openxmlformats.org/officeDocument/2006/relationships" r:embed="rId1275">
          <a:extLst>
            <a:ext uri="{28A0092B-C50C-407E-A947-70E740481C1C}">
              <a14:useLocalDpi xmlns:a14="http://schemas.microsoft.com/office/drawing/2010/main" val="0"/>
            </a:ext>
          </a:extLst>
        </a:blip>
        <a:srcRect/>
        <a:stretch>
          <a:fillRect/>
        </a:stretch>
      </xdr:blipFill>
      <xdr:spPr bwMode="auto">
        <a:xfrm>
          <a:off x="1228725" y="2412272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1277</xdr:row>
      <xdr:rowOff>19050</xdr:rowOff>
    </xdr:from>
    <xdr:to>
      <xdr:col>2</xdr:col>
      <xdr:colOff>1733550</xdr:colOff>
      <xdr:row>1277</xdr:row>
      <xdr:rowOff>1666875</xdr:rowOff>
    </xdr:to>
    <xdr:pic>
      <xdr:nvPicPr>
        <xdr:cNvPr id="1277" name="Picture 1276"/>
        <xdr:cNvPicPr>
          <a:picLocks noChangeAspect="1" noChangeArrowheads="1"/>
        </xdr:cNvPicPr>
      </xdr:nvPicPr>
      <xdr:blipFill>
        <a:blip xmlns:r="http://schemas.openxmlformats.org/officeDocument/2006/relationships" r:embed="rId1276">
          <a:extLst>
            <a:ext uri="{28A0092B-C50C-407E-A947-70E740481C1C}">
              <a14:useLocalDpi xmlns:a14="http://schemas.microsoft.com/office/drawing/2010/main" val="0"/>
            </a:ext>
          </a:extLst>
        </a:blip>
        <a:srcRect/>
        <a:stretch>
          <a:fillRect/>
        </a:stretch>
      </xdr:blipFill>
      <xdr:spPr bwMode="auto">
        <a:xfrm>
          <a:off x="1228725" y="2414187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1278</xdr:row>
      <xdr:rowOff>19050</xdr:rowOff>
    </xdr:from>
    <xdr:to>
      <xdr:col>2</xdr:col>
      <xdr:colOff>1733550</xdr:colOff>
      <xdr:row>1278</xdr:row>
      <xdr:rowOff>1666875</xdr:rowOff>
    </xdr:to>
    <xdr:pic>
      <xdr:nvPicPr>
        <xdr:cNvPr id="1278" name="Picture 1277"/>
        <xdr:cNvPicPr>
          <a:picLocks noChangeAspect="1" noChangeArrowheads="1"/>
        </xdr:cNvPicPr>
      </xdr:nvPicPr>
      <xdr:blipFill>
        <a:blip xmlns:r="http://schemas.openxmlformats.org/officeDocument/2006/relationships" r:embed="rId1277">
          <a:extLst>
            <a:ext uri="{28A0092B-C50C-407E-A947-70E740481C1C}">
              <a14:useLocalDpi xmlns:a14="http://schemas.microsoft.com/office/drawing/2010/main" val="0"/>
            </a:ext>
          </a:extLst>
        </a:blip>
        <a:srcRect/>
        <a:stretch>
          <a:fillRect/>
        </a:stretch>
      </xdr:blipFill>
      <xdr:spPr bwMode="auto">
        <a:xfrm>
          <a:off x="1228725" y="2416101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1279</xdr:row>
      <xdr:rowOff>19050</xdr:rowOff>
    </xdr:from>
    <xdr:to>
      <xdr:col>2</xdr:col>
      <xdr:colOff>1733550</xdr:colOff>
      <xdr:row>1279</xdr:row>
      <xdr:rowOff>1666875</xdr:rowOff>
    </xdr:to>
    <xdr:pic>
      <xdr:nvPicPr>
        <xdr:cNvPr id="1279" name="Picture 1278"/>
        <xdr:cNvPicPr>
          <a:picLocks noChangeAspect="1" noChangeArrowheads="1"/>
        </xdr:cNvPicPr>
      </xdr:nvPicPr>
      <xdr:blipFill>
        <a:blip xmlns:r="http://schemas.openxmlformats.org/officeDocument/2006/relationships" r:embed="rId1278">
          <a:extLst>
            <a:ext uri="{28A0092B-C50C-407E-A947-70E740481C1C}">
              <a14:useLocalDpi xmlns:a14="http://schemas.microsoft.com/office/drawing/2010/main" val="0"/>
            </a:ext>
          </a:extLst>
        </a:blip>
        <a:srcRect/>
        <a:stretch>
          <a:fillRect/>
        </a:stretch>
      </xdr:blipFill>
      <xdr:spPr bwMode="auto">
        <a:xfrm>
          <a:off x="1228725" y="2418016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1280</xdr:row>
      <xdr:rowOff>19050</xdr:rowOff>
    </xdr:from>
    <xdr:to>
      <xdr:col>2</xdr:col>
      <xdr:colOff>1733550</xdr:colOff>
      <xdr:row>1280</xdr:row>
      <xdr:rowOff>1666875</xdr:rowOff>
    </xdr:to>
    <xdr:pic>
      <xdr:nvPicPr>
        <xdr:cNvPr id="1280" name="Picture 1279"/>
        <xdr:cNvPicPr>
          <a:picLocks noChangeAspect="1" noChangeArrowheads="1"/>
        </xdr:cNvPicPr>
      </xdr:nvPicPr>
      <xdr:blipFill>
        <a:blip xmlns:r="http://schemas.openxmlformats.org/officeDocument/2006/relationships" r:embed="rId1279">
          <a:extLst>
            <a:ext uri="{28A0092B-C50C-407E-A947-70E740481C1C}">
              <a14:useLocalDpi xmlns:a14="http://schemas.microsoft.com/office/drawing/2010/main" val="0"/>
            </a:ext>
          </a:extLst>
        </a:blip>
        <a:srcRect/>
        <a:stretch>
          <a:fillRect/>
        </a:stretch>
      </xdr:blipFill>
      <xdr:spPr bwMode="auto">
        <a:xfrm>
          <a:off x="1228725" y="2419931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1281</xdr:row>
      <xdr:rowOff>19050</xdr:rowOff>
    </xdr:from>
    <xdr:to>
      <xdr:col>2</xdr:col>
      <xdr:colOff>1733550</xdr:colOff>
      <xdr:row>1281</xdr:row>
      <xdr:rowOff>1666875</xdr:rowOff>
    </xdr:to>
    <xdr:pic>
      <xdr:nvPicPr>
        <xdr:cNvPr id="1281" name="Picture 1280"/>
        <xdr:cNvPicPr>
          <a:picLocks noChangeAspect="1" noChangeArrowheads="1"/>
        </xdr:cNvPicPr>
      </xdr:nvPicPr>
      <xdr:blipFill>
        <a:blip xmlns:r="http://schemas.openxmlformats.org/officeDocument/2006/relationships" r:embed="rId1280">
          <a:extLst>
            <a:ext uri="{28A0092B-C50C-407E-A947-70E740481C1C}">
              <a14:useLocalDpi xmlns:a14="http://schemas.microsoft.com/office/drawing/2010/main" val="0"/>
            </a:ext>
          </a:extLst>
        </a:blip>
        <a:srcRect/>
        <a:stretch>
          <a:fillRect/>
        </a:stretch>
      </xdr:blipFill>
      <xdr:spPr bwMode="auto">
        <a:xfrm>
          <a:off x="1228725" y="2421845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1282</xdr:row>
      <xdr:rowOff>19050</xdr:rowOff>
    </xdr:from>
    <xdr:to>
      <xdr:col>2</xdr:col>
      <xdr:colOff>1733550</xdr:colOff>
      <xdr:row>1282</xdr:row>
      <xdr:rowOff>1666875</xdr:rowOff>
    </xdr:to>
    <xdr:pic>
      <xdr:nvPicPr>
        <xdr:cNvPr id="1282" name="Picture 1281"/>
        <xdr:cNvPicPr>
          <a:picLocks noChangeAspect="1" noChangeArrowheads="1"/>
        </xdr:cNvPicPr>
      </xdr:nvPicPr>
      <xdr:blipFill>
        <a:blip xmlns:r="http://schemas.openxmlformats.org/officeDocument/2006/relationships" r:embed="rId1281">
          <a:extLst>
            <a:ext uri="{28A0092B-C50C-407E-A947-70E740481C1C}">
              <a14:useLocalDpi xmlns:a14="http://schemas.microsoft.com/office/drawing/2010/main" val="0"/>
            </a:ext>
          </a:extLst>
        </a:blip>
        <a:srcRect/>
        <a:stretch>
          <a:fillRect/>
        </a:stretch>
      </xdr:blipFill>
      <xdr:spPr bwMode="auto">
        <a:xfrm>
          <a:off x="1228725" y="2423760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1283</xdr:row>
      <xdr:rowOff>19050</xdr:rowOff>
    </xdr:from>
    <xdr:to>
      <xdr:col>2</xdr:col>
      <xdr:colOff>1733550</xdr:colOff>
      <xdr:row>1283</xdr:row>
      <xdr:rowOff>1666875</xdr:rowOff>
    </xdr:to>
    <xdr:pic>
      <xdr:nvPicPr>
        <xdr:cNvPr id="1283" name="Picture 1282"/>
        <xdr:cNvPicPr>
          <a:picLocks noChangeAspect="1" noChangeArrowheads="1"/>
        </xdr:cNvPicPr>
      </xdr:nvPicPr>
      <xdr:blipFill>
        <a:blip xmlns:r="http://schemas.openxmlformats.org/officeDocument/2006/relationships" r:embed="rId1282">
          <a:extLst>
            <a:ext uri="{28A0092B-C50C-407E-A947-70E740481C1C}">
              <a14:useLocalDpi xmlns:a14="http://schemas.microsoft.com/office/drawing/2010/main" val="0"/>
            </a:ext>
          </a:extLst>
        </a:blip>
        <a:srcRect/>
        <a:stretch>
          <a:fillRect/>
        </a:stretch>
      </xdr:blipFill>
      <xdr:spPr bwMode="auto">
        <a:xfrm>
          <a:off x="1228725" y="2425674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1284</xdr:row>
      <xdr:rowOff>19050</xdr:rowOff>
    </xdr:from>
    <xdr:to>
      <xdr:col>2</xdr:col>
      <xdr:colOff>1733550</xdr:colOff>
      <xdr:row>1284</xdr:row>
      <xdr:rowOff>1666875</xdr:rowOff>
    </xdr:to>
    <xdr:pic>
      <xdr:nvPicPr>
        <xdr:cNvPr id="1284" name="Picture 1283"/>
        <xdr:cNvPicPr>
          <a:picLocks noChangeAspect="1" noChangeArrowheads="1"/>
        </xdr:cNvPicPr>
      </xdr:nvPicPr>
      <xdr:blipFill>
        <a:blip xmlns:r="http://schemas.openxmlformats.org/officeDocument/2006/relationships" r:embed="rId1283">
          <a:extLst>
            <a:ext uri="{28A0092B-C50C-407E-A947-70E740481C1C}">
              <a14:useLocalDpi xmlns:a14="http://schemas.microsoft.com/office/drawing/2010/main" val="0"/>
            </a:ext>
          </a:extLst>
        </a:blip>
        <a:srcRect/>
        <a:stretch>
          <a:fillRect/>
        </a:stretch>
      </xdr:blipFill>
      <xdr:spPr bwMode="auto">
        <a:xfrm>
          <a:off x="1228725" y="2427589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1285</xdr:row>
      <xdr:rowOff>19050</xdr:rowOff>
    </xdr:from>
    <xdr:to>
      <xdr:col>2</xdr:col>
      <xdr:colOff>1733550</xdr:colOff>
      <xdr:row>1285</xdr:row>
      <xdr:rowOff>1666875</xdr:rowOff>
    </xdr:to>
    <xdr:pic>
      <xdr:nvPicPr>
        <xdr:cNvPr id="1285" name="Picture 1284"/>
        <xdr:cNvPicPr>
          <a:picLocks noChangeAspect="1" noChangeArrowheads="1"/>
        </xdr:cNvPicPr>
      </xdr:nvPicPr>
      <xdr:blipFill>
        <a:blip xmlns:r="http://schemas.openxmlformats.org/officeDocument/2006/relationships" r:embed="rId1284">
          <a:extLst>
            <a:ext uri="{28A0092B-C50C-407E-A947-70E740481C1C}">
              <a14:useLocalDpi xmlns:a14="http://schemas.microsoft.com/office/drawing/2010/main" val="0"/>
            </a:ext>
          </a:extLst>
        </a:blip>
        <a:srcRect/>
        <a:stretch>
          <a:fillRect/>
        </a:stretch>
      </xdr:blipFill>
      <xdr:spPr bwMode="auto">
        <a:xfrm>
          <a:off x="1228725" y="2429503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1286</xdr:row>
      <xdr:rowOff>19050</xdr:rowOff>
    </xdr:from>
    <xdr:to>
      <xdr:col>2</xdr:col>
      <xdr:colOff>1733550</xdr:colOff>
      <xdr:row>1286</xdr:row>
      <xdr:rowOff>1666875</xdr:rowOff>
    </xdr:to>
    <xdr:pic>
      <xdr:nvPicPr>
        <xdr:cNvPr id="1286" name="Picture 1285"/>
        <xdr:cNvPicPr>
          <a:picLocks noChangeAspect="1" noChangeArrowheads="1"/>
        </xdr:cNvPicPr>
      </xdr:nvPicPr>
      <xdr:blipFill>
        <a:blip xmlns:r="http://schemas.openxmlformats.org/officeDocument/2006/relationships" r:embed="rId1285">
          <a:extLst>
            <a:ext uri="{28A0092B-C50C-407E-A947-70E740481C1C}">
              <a14:useLocalDpi xmlns:a14="http://schemas.microsoft.com/office/drawing/2010/main" val="0"/>
            </a:ext>
          </a:extLst>
        </a:blip>
        <a:srcRect/>
        <a:stretch>
          <a:fillRect/>
        </a:stretch>
      </xdr:blipFill>
      <xdr:spPr bwMode="auto">
        <a:xfrm>
          <a:off x="1228725" y="2431418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1287</xdr:row>
      <xdr:rowOff>19050</xdr:rowOff>
    </xdr:from>
    <xdr:to>
      <xdr:col>2</xdr:col>
      <xdr:colOff>1733550</xdr:colOff>
      <xdr:row>1287</xdr:row>
      <xdr:rowOff>1666875</xdr:rowOff>
    </xdr:to>
    <xdr:pic>
      <xdr:nvPicPr>
        <xdr:cNvPr id="1287" name="Picture 1286"/>
        <xdr:cNvPicPr>
          <a:picLocks noChangeAspect="1" noChangeArrowheads="1"/>
        </xdr:cNvPicPr>
      </xdr:nvPicPr>
      <xdr:blipFill>
        <a:blip xmlns:r="http://schemas.openxmlformats.org/officeDocument/2006/relationships" r:embed="rId1286">
          <a:extLst>
            <a:ext uri="{28A0092B-C50C-407E-A947-70E740481C1C}">
              <a14:useLocalDpi xmlns:a14="http://schemas.microsoft.com/office/drawing/2010/main" val="0"/>
            </a:ext>
          </a:extLst>
        </a:blip>
        <a:srcRect/>
        <a:stretch>
          <a:fillRect/>
        </a:stretch>
      </xdr:blipFill>
      <xdr:spPr bwMode="auto">
        <a:xfrm>
          <a:off x="1228725" y="2433332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1288</xdr:row>
      <xdr:rowOff>19050</xdr:rowOff>
    </xdr:from>
    <xdr:to>
      <xdr:col>2</xdr:col>
      <xdr:colOff>1733550</xdr:colOff>
      <xdr:row>1288</xdr:row>
      <xdr:rowOff>1666875</xdr:rowOff>
    </xdr:to>
    <xdr:pic>
      <xdr:nvPicPr>
        <xdr:cNvPr id="1288" name="Picture 1287"/>
        <xdr:cNvPicPr>
          <a:picLocks noChangeAspect="1" noChangeArrowheads="1"/>
        </xdr:cNvPicPr>
      </xdr:nvPicPr>
      <xdr:blipFill>
        <a:blip xmlns:r="http://schemas.openxmlformats.org/officeDocument/2006/relationships" r:embed="rId1287">
          <a:extLst>
            <a:ext uri="{28A0092B-C50C-407E-A947-70E740481C1C}">
              <a14:useLocalDpi xmlns:a14="http://schemas.microsoft.com/office/drawing/2010/main" val="0"/>
            </a:ext>
          </a:extLst>
        </a:blip>
        <a:srcRect/>
        <a:stretch>
          <a:fillRect/>
        </a:stretch>
      </xdr:blipFill>
      <xdr:spPr bwMode="auto">
        <a:xfrm>
          <a:off x="1228725" y="2435247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1289</xdr:row>
      <xdr:rowOff>19050</xdr:rowOff>
    </xdr:from>
    <xdr:to>
      <xdr:col>2</xdr:col>
      <xdr:colOff>1733550</xdr:colOff>
      <xdr:row>1289</xdr:row>
      <xdr:rowOff>1666875</xdr:rowOff>
    </xdr:to>
    <xdr:pic>
      <xdr:nvPicPr>
        <xdr:cNvPr id="1289" name="Picture 1288"/>
        <xdr:cNvPicPr>
          <a:picLocks noChangeAspect="1" noChangeArrowheads="1"/>
        </xdr:cNvPicPr>
      </xdr:nvPicPr>
      <xdr:blipFill>
        <a:blip xmlns:r="http://schemas.openxmlformats.org/officeDocument/2006/relationships" r:embed="rId1288">
          <a:extLst>
            <a:ext uri="{28A0092B-C50C-407E-A947-70E740481C1C}">
              <a14:useLocalDpi xmlns:a14="http://schemas.microsoft.com/office/drawing/2010/main" val="0"/>
            </a:ext>
          </a:extLst>
        </a:blip>
        <a:srcRect/>
        <a:stretch>
          <a:fillRect/>
        </a:stretch>
      </xdr:blipFill>
      <xdr:spPr bwMode="auto">
        <a:xfrm>
          <a:off x="1228725" y="243716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1290</xdr:row>
      <xdr:rowOff>19050</xdr:rowOff>
    </xdr:from>
    <xdr:to>
      <xdr:col>2</xdr:col>
      <xdr:colOff>1733550</xdr:colOff>
      <xdr:row>1290</xdr:row>
      <xdr:rowOff>1666875</xdr:rowOff>
    </xdr:to>
    <xdr:pic>
      <xdr:nvPicPr>
        <xdr:cNvPr id="1290" name="Picture 1289"/>
        <xdr:cNvPicPr>
          <a:picLocks noChangeAspect="1" noChangeArrowheads="1"/>
        </xdr:cNvPicPr>
      </xdr:nvPicPr>
      <xdr:blipFill>
        <a:blip xmlns:r="http://schemas.openxmlformats.org/officeDocument/2006/relationships" r:embed="rId1289">
          <a:extLst>
            <a:ext uri="{28A0092B-C50C-407E-A947-70E740481C1C}">
              <a14:useLocalDpi xmlns:a14="http://schemas.microsoft.com/office/drawing/2010/main" val="0"/>
            </a:ext>
          </a:extLst>
        </a:blip>
        <a:srcRect/>
        <a:stretch>
          <a:fillRect/>
        </a:stretch>
      </xdr:blipFill>
      <xdr:spPr bwMode="auto">
        <a:xfrm>
          <a:off x="1228725" y="2439076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1291</xdr:row>
      <xdr:rowOff>19050</xdr:rowOff>
    </xdr:from>
    <xdr:to>
      <xdr:col>2</xdr:col>
      <xdr:colOff>1733550</xdr:colOff>
      <xdr:row>1291</xdr:row>
      <xdr:rowOff>1666875</xdr:rowOff>
    </xdr:to>
    <xdr:pic>
      <xdr:nvPicPr>
        <xdr:cNvPr id="1291" name="Picture 1290"/>
        <xdr:cNvPicPr>
          <a:picLocks noChangeAspect="1" noChangeArrowheads="1"/>
        </xdr:cNvPicPr>
      </xdr:nvPicPr>
      <xdr:blipFill>
        <a:blip xmlns:r="http://schemas.openxmlformats.org/officeDocument/2006/relationships" r:embed="rId1290">
          <a:extLst>
            <a:ext uri="{28A0092B-C50C-407E-A947-70E740481C1C}">
              <a14:useLocalDpi xmlns:a14="http://schemas.microsoft.com/office/drawing/2010/main" val="0"/>
            </a:ext>
          </a:extLst>
        </a:blip>
        <a:srcRect/>
        <a:stretch>
          <a:fillRect/>
        </a:stretch>
      </xdr:blipFill>
      <xdr:spPr bwMode="auto">
        <a:xfrm>
          <a:off x="1228725" y="2440990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1292</xdr:row>
      <xdr:rowOff>19050</xdr:rowOff>
    </xdr:from>
    <xdr:to>
      <xdr:col>2</xdr:col>
      <xdr:colOff>1733550</xdr:colOff>
      <xdr:row>1292</xdr:row>
      <xdr:rowOff>1819275</xdr:rowOff>
    </xdr:to>
    <xdr:pic>
      <xdr:nvPicPr>
        <xdr:cNvPr id="1292" name="Picture 1291"/>
        <xdr:cNvPicPr>
          <a:picLocks noChangeAspect="1" noChangeArrowheads="1"/>
        </xdr:cNvPicPr>
      </xdr:nvPicPr>
      <xdr:blipFill>
        <a:blip xmlns:r="http://schemas.openxmlformats.org/officeDocument/2006/relationships" r:embed="rId1291">
          <a:extLst>
            <a:ext uri="{28A0092B-C50C-407E-A947-70E740481C1C}">
              <a14:useLocalDpi xmlns:a14="http://schemas.microsoft.com/office/drawing/2010/main" val="0"/>
            </a:ext>
          </a:extLst>
        </a:blip>
        <a:srcRect/>
        <a:stretch>
          <a:fillRect/>
        </a:stretch>
      </xdr:blipFill>
      <xdr:spPr bwMode="auto">
        <a:xfrm>
          <a:off x="1228725" y="2442905325"/>
          <a:ext cx="1724025" cy="1800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1293</xdr:row>
      <xdr:rowOff>19050</xdr:rowOff>
    </xdr:from>
    <xdr:to>
      <xdr:col>2</xdr:col>
      <xdr:colOff>1733550</xdr:colOff>
      <xdr:row>1293</xdr:row>
      <xdr:rowOff>1819275</xdr:rowOff>
    </xdr:to>
    <xdr:pic>
      <xdr:nvPicPr>
        <xdr:cNvPr id="1293" name="Picture 1292"/>
        <xdr:cNvPicPr>
          <a:picLocks noChangeAspect="1" noChangeArrowheads="1"/>
        </xdr:cNvPicPr>
      </xdr:nvPicPr>
      <xdr:blipFill>
        <a:blip xmlns:r="http://schemas.openxmlformats.org/officeDocument/2006/relationships" r:embed="rId1292">
          <a:extLst>
            <a:ext uri="{28A0092B-C50C-407E-A947-70E740481C1C}">
              <a14:useLocalDpi xmlns:a14="http://schemas.microsoft.com/office/drawing/2010/main" val="0"/>
            </a:ext>
          </a:extLst>
        </a:blip>
        <a:srcRect/>
        <a:stretch>
          <a:fillRect/>
        </a:stretch>
      </xdr:blipFill>
      <xdr:spPr bwMode="auto">
        <a:xfrm>
          <a:off x="1228725" y="2444991300"/>
          <a:ext cx="1724025" cy="1800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1294</xdr:row>
      <xdr:rowOff>19050</xdr:rowOff>
    </xdr:from>
    <xdr:to>
      <xdr:col>2</xdr:col>
      <xdr:colOff>1733550</xdr:colOff>
      <xdr:row>1294</xdr:row>
      <xdr:rowOff>1819275</xdr:rowOff>
    </xdr:to>
    <xdr:pic>
      <xdr:nvPicPr>
        <xdr:cNvPr id="1294" name="Picture 1293"/>
        <xdr:cNvPicPr>
          <a:picLocks noChangeAspect="1" noChangeArrowheads="1"/>
        </xdr:cNvPicPr>
      </xdr:nvPicPr>
      <xdr:blipFill>
        <a:blip xmlns:r="http://schemas.openxmlformats.org/officeDocument/2006/relationships" r:embed="rId1293">
          <a:extLst>
            <a:ext uri="{28A0092B-C50C-407E-A947-70E740481C1C}">
              <a14:useLocalDpi xmlns:a14="http://schemas.microsoft.com/office/drawing/2010/main" val="0"/>
            </a:ext>
          </a:extLst>
        </a:blip>
        <a:srcRect/>
        <a:stretch>
          <a:fillRect/>
        </a:stretch>
      </xdr:blipFill>
      <xdr:spPr bwMode="auto">
        <a:xfrm>
          <a:off x="1228725" y="2447077275"/>
          <a:ext cx="1724025" cy="1800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1295</xdr:row>
      <xdr:rowOff>19050</xdr:rowOff>
    </xdr:from>
    <xdr:to>
      <xdr:col>2</xdr:col>
      <xdr:colOff>1733550</xdr:colOff>
      <xdr:row>1295</xdr:row>
      <xdr:rowOff>1666875</xdr:rowOff>
    </xdr:to>
    <xdr:pic>
      <xdr:nvPicPr>
        <xdr:cNvPr id="1295" name="Picture 1294"/>
        <xdr:cNvPicPr>
          <a:picLocks noChangeAspect="1" noChangeArrowheads="1"/>
        </xdr:cNvPicPr>
      </xdr:nvPicPr>
      <xdr:blipFill>
        <a:blip xmlns:r="http://schemas.openxmlformats.org/officeDocument/2006/relationships" r:embed="rId1294">
          <a:extLst>
            <a:ext uri="{28A0092B-C50C-407E-A947-70E740481C1C}">
              <a14:useLocalDpi xmlns:a14="http://schemas.microsoft.com/office/drawing/2010/main" val="0"/>
            </a:ext>
          </a:extLst>
        </a:blip>
        <a:srcRect/>
        <a:stretch>
          <a:fillRect/>
        </a:stretch>
      </xdr:blipFill>
      <xdr:spPr bwMode="auto">
        <a:xfrm>
          <a:off x="1228725" y="2449163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1296</xdr:row>
      <xdr:rowOff>19050</xdr:rowOff>
    </xdr:from>
    <xdr:to>
      <xdr:col>2</xdr:col>
      <xdr:colOff>1733550</xdr:colOff>
      <xdr:row>1296</xdr:row>
      <xdr:rowOff>1666875</xdr:rowOff>
    </xdr:to>
    <xdr:pic>
      <xdr:nvPicPr>
        <xdr:cNvPr id="1296" name="Picture 1295"/>
        <xdr:cNvPicPr>
          <a:picLocks noChangeAspect="1" noChangeArrowheads="1"/>
        </xdr:cNvPicPr>
      </xdr:nvPicPr>
      <xdr:blipFill>
        <a:blip xmlns:r="http://schemas.openxmlformats.org/officeDocument/2006/relationships" r:embed="rId1295">
          <a:extLst>
            <a:ext uri="{28A0092B-C50C-407E-A947-70E740481C1C}">
              <a14:useLocalDpi xmlns:a14="http://schemas.microsoft.com/office/drawing/2010/main" val="0"/>
            </a:ext>
          </a:extLst>
        </a:blip>
        <a:srcRect/>
        <a:stretch>
          <a:fillRect/>
        </a:stretch>
      </xdr:blipFill>
      <xdr:spPr bwMode="auto">
        <a:xfrm>
          <a:off x="1228725" y="2451077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1297</xdr:row>
      <xdr:rowOff>19050</xdr:rowOff>
    </xdr:from>
    <xdr:to>
      <xdr:col>2</xdr:col>
      <xdr:colOff>1733550</xdr:colOff>
      <xdr:row>1297</xdr:row>
      <xdr:rowOff>1666875</xdr:rowOff>
    </xdr:to>
    <xdr:pic>
      <xdr:nvPicPr>
        <xdr:cNvPr id="1297" name="Picture 1296"/>
        <xdr:cNvPicPr>
          <a:picLocks noChangeAspect="1" noChangeArrowheads="1"/>
        </xdr:cNvPicPr>
      </xdr:nvPicPr>
      <xdr:blipFill>
        <a:blip xmlns:r="http://schemas.openxmlformats.org/officeDocument/2006/relationships" r:embed="rId1296">
          <a:extLst>
            <a:ext uri="{28A0092B-C50C-407E-A947-70E740481C1C}">
              <a14:useLocalDpi xmlns:a14="http://schemas.microsoft.com/office/drawing/2010/main" val="0"/>
            </a:ext>
          </a:extLst>
        </a:blip>
        <a:srcRect/>
        <a:stretch>
          <a:fillRect/>
        </a:stretch>
      </xdr:blipFill>
      <xdr:spPr bwMode="auto">
        <a:xfrm>
          <a:off x="1228725" y="2452992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1298</xdr:row>
      <xdr:rowOff>19050</xdr:rowOff>
    </xdr:from>
    <xdr:to>
      <xdr:col>2</xdr:col>
      <xdr:colOff>1733550</xdr:colOff>
      <xdr:row>1298</xdr:row>
      <xdr:rowOff>1666875</xdr:rowOff>
    </xdr:to>
    <xdr:pic>
      <xdr:nvPicPr>
        <xdr:cNvPr id="1298" name="Picture 1297"/>
        <xdr:cNvPicPr>
          <a:picLocks noChangeAspect="1" noChangeArrowheads="1"/>
        </xdr:cNvPicPr>
      </xdr:nvPicPr>
      <xdr:blipFill>
        <a:blip xmlns:r="http://schemas.openxmlformats.org/officeDocument/2006/relationships" r:embed="rId1297">
          <a:extLst>
            <a:ext uri="{28A0092B-C50C-407E-A947-70E740481C1C}">
              <a14:useLocalDpi xmlns:a14="http://schemas.microsoft.com/office/drawing/2010/main" val="0"/>
            </a:ext>
          </a:extLst>
        </a:blip>
        <a:srcRect/>
        <a:stretch>
          <a:fillRect/>
        </a:stretch>
      </xdr:blipFill>
      <xdr:spPr bwMode="auto">
        <a:xfrm>
          <a:off x="1228725" y="2454906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1299</xdr:row>
      <xdr:rowOff>19050</xdr:rowOff>
    </xdr:from>
    <xdr:to>
      <xdr:col>2</xdr:col>
      <xdr:colOff>1733550</xdr:colOff>
      <xdr:row>1299</xdr:row>
      <xdr:rowOff>1666875</xdr:rowOff>
    </xdr:to>
    <xdr:pic>
      <xdr:nvPicPr>
        <xdr:cNvPr id="1299" name="Picture 1298"/>
        <xdr:cNvPicPr>
          <a:picLocks noChangeAspect="1" noChangeArrowheads="1"/>
        </xdr:cNvPicPr>
      </xdr:nvPicPr>
      <xdr:blipFill>
        <a:blip xmlns:r="http://schemas.openxmlformats.org/officeDocument/2006/relationships" r:embed="rId1298">
          <a:extLst>
            <a:ext uri="{28A0092B-C50C-407E-A947-70E740481C1C}">
              <a14:useLocalDpi xmlns:a14="http://schemas.microsoft.com/office/drawing/2010/main" val="0"/>
            </a:ext>
          </a:extLst>
        </a:blip>
        <a:srcRect/>
        <a:stretch>
          <a:fillRect/>
        </a:stretch>
      </xdr:blipFill>
      <xdr:spPr bwMode="auto">
        <a:xfrm>
          <a:off x="1228725" y="2456821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1300</xdr:row>
      <xdr:rowOff>19050</xdr:rowOff>
    </xdr:from>
    <xdr:to>
      <xdr:col>2</xdr:col>
      <xdr:colOff>1733550</xdr:colOff>
      <xdr:row>1300</xdr:row>
      <xdr:rowOff>1666875</xdr:rowOff>
    </xdr:to>
    <xdr:pic>
      <xdr:nvPicPr>
        <xdr:cNvPr id="1300" name="Picture 1299"/>
        <xdr:cNvPicPr>
          <a:picLocks noChangeAspect="1" noChangeArrowheads="1"/>
        </xdr:cNvPicPr>
      </xdr:nvPicPr>
      <xdr:blipFill>
        <a:blip xmlns:r="http://schemas.openxmlformats.org/officeDocument/2006/relationships" r:embed="rId1299">
          <a:extLst>
            <a:ext uri="{28A0092B-C50C-407E-A947-70E740481C1C}">
              <a14:useLocalDpi xmlns:a14="http://schemas.microsoft.com/office/drawing/2010/main" val="0"/>
            </a:ext>
          </a:extLst>
        </a:blip>
        <a:srcRect/>
        <a:stretch>
          <a:fillRect/>
        </a:stretch>
      </xdr:blipFill>
      <xdr:spPr bwMode="auto">
        <a:xfrm>
          <a:off x="1228725" y="245873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1301</xdr:row>
      <xdr:rowOff>19050</xdr:rowOff>
    </xdr:from>
    <xdr:to>
      <xdr:col>2</xdr:col>
      <xdr:colOff>1733550</xdr:colOff>
      <xdr:row>1301</xdr:row>
      <xdr:rowOff>1666875</xdr:rowOff>
    </xdr:to>
    <xdr:pic>
      <xdr:nvPicPr>
        <xdr:cNvPr id="1301" name="Picture 1300"/>
        <xdr:cNvPicPr>
          <a:picLocks noChangeAspect="1" noChangeArrowheads="1"/>
        </xdr:cNvPicPr>
      </xdr:nvPicPr>
      <xdr:blipFill>
        <a:blip xmlns:r="http://schemas.openxmlformats.org/officeDocument/2006/relationships" r:embed="rId1300">
          <a:extLst>
            <a:ext uri="{28A0092B-C50C-407E-A947-70E740481C1C}">
              <a14:useLocalDpi xmlns:a14="http://schemas.microsoft.com/office/drawing/2010/main" val="0"/>
            </a:ext>
          </a:extLst>
        </a:blip>
        <a:srcRect/>
        <a:stretch>
          <a:fillRect/>
        </a:stretch>
      </xdr:blipFill>
      <xdr:spPr bwMode="auto">
        <a:xfrm>
          <a:off x="1228725" y="246065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1302</xdr:row>
      <xdr:rowOff>19050</xdr:rowOff>
    </xdr:from>
    <xdr:to>
      <xdr:col>2</xdr:col>
      <xdr:colOff>1733550</xdr:colOff>
      <xdr:row>1302</xdr:row>
      <xdr:rowOff>1666875</xdr:rowOff>
    </xdr:to>
    <xdr:pic>
      <xdr:nvPicPr>
        <xdr:cNvPr id="1302" name="Picture 1301"/>
        <xdr:cNvPicPr>
          <a:picLocks noChangeAspect="1" noChangeArrowheads="1"/>
        </xdr:cNvPicPr>
      </xdr:nvPicPr>
      <xdr:blipFill>
        <a:blip xmlns:r="http://schemas.openxmlformats.org/officeDocument/2006/relationships" r:embed="rId1301">
          <a:extLst>
            <a:ext uri="{28A0092B-C50C-407E-A947-70E740481C1C}">
              <a14:useLocalDpi xmlns:a14="http://schemas.microsoft.com/office/drawing/2010/main" val="0"/>
            </a:ext>
          </a:extLst>
        </a:blip>
        <a:srcRect/>
        <a:stretch>
          <a:fillRect/>
        </a:stretch>
      </xdr:blipFill>
      <xdr:spPr bwMode="auto">
        <a:xfrm>
          <a:off x="1228725" y="246256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1303</xdr:row>
      <xdr:rowOff>19050</xdr:rowOff>
    </xdr:from>
    <xdr:to>
      <xdr:col>2</xdr:col>
      <xdr:colOff>1733550</xdr:colOff>
      <xdr:row>1303</xdr:row>
      <xdr:rowOff>1666875</xdr:rowOff>
    </xdr:to>
    <xdr:pic>
      <xdr:nvPicPr>
        <xdr:cNvPr id="1303" name="Picture 1302"/>
        <xdr:cNvPicPr>
          <a:picLocks noChangeAspect="1" noChangeArrowheads="1"/>
        </xdr:cNvPicPr>
      </xdr:nvPicPr>
      <xdr:blipFill>
        <a:blip xmlns:r="http://schemas.openxmlformats.org/officeDocument/2006/relationships" r:embed="rId1302">
          <a:extLst>
            <a:ext uri="{28A0092B-C50C-407E-A947-70E740481C1C}">
              <a14:useLocalDpi xmlns:a14="http://schemas.microsoft.com/office/drawing/2010/main" val="0"/>
            </a:ext>
          </a:extLst>
        </a:blip>
        <a:srcRect/>
        <a:stretch>
          <a:fillRect/>
        </a:stretch>
      </xdr:blipFill>
      <xdr:spPr bwMode="auto">
        <a:xfrm>
          <a:off x="1228725" y="246447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1304</xdr:row>
      <xdr:rowOff>19050</xdr:rowOff>
    </xdr:from>
    <xdr:to>
      <xdr:col>2</xdr:col>
      <xdr:colOff>1733550</xdr:colOff>
      <xdr:row>1304</xdr:row>
      <xdr:rowOff>1666875</xdr:rowOff>
    </xdr:to>
    <xdr:pic>
      <xdr:nvPicPr>
        <xdr:cNvPr id="1304" name="Picture 1303"/>
        <xdr:cNvPicPr>
          <a:picLocks noChangeAspect="1" noChangeArrowheads="1"/>
        </xdr:cNvPicPr>
      </xdr:nvPicPr>
      <xdr:blipFill>
        <a:blip xmlns:r="http://schemas.openxmlformats.org/officeDocument/2006/relationships" r:embed="rId1303">
          <a:extLst>
            <a:ext uri="{28A0092B-C50C-407E-A947-70E740481C1C}">
              <a14:useLocalDpi xmlns:a14="http://schemas.microsoft.com/office/drawing/2010/main" val="0"/>
            </a:ext>
          </a:extLst>
        </a:blip>
        <a:srcRect/>
        <a:stretch>
          <a:fillRect/>
        </a:stretch>
      </xdr:blipFill>
      <xdr:spPr bwMode="auto">
        <a:xfrm>
          <a:off x="1228725" y="2466393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1305</xdr:row>
      <xdr:rowOff>19050</xdr:rowOff>
    </xdr:from>
    <xdr:to>
      <xdr:col>2</xdr:col>
      <xdr:colOff>1733550</xdr:colOff>
      <xdr:row>1305</xdr:row>
      <xdr:rowOff>1666875</xdr:rowOff>
    </xdr:to>
    <xdr:pic>
      <xdr:nvPicPr>
        <xdr:cNvPr id="1305" name="Picture 1304"/>
        <xdr:cNvPicPr>
          <a:picLocks noChangeAspect="1" noChangeArrowheads="1"/>
        </xdr:cNvPicPr>
      </xdr:nvPicPr>
      <xdr:blipFill>
        <a:blip xmlns:r="http://schemas.openxmlformats.org/officeDocument/2006/relationships" r:embed="rId1304">
          <a:extLst>
            <a:ext uri="{28A0092B-C50C-407E-A947-70E740481C1C}">
              <a14:useLocalDpi xmlns:a14="http://schemas.microsoft.com/office/drawing/2010/main" val="0"/>
            </a:ext>
          </a:extLst>
        </a:blip>
        <a:srcRect/>
        <a:stretch>
          <a:fillRect/>
        </a:stretch>
      </xdr:blipFill>
      <xdr:spPr bwMode="auto">
        <a:xfrm>
          <a:off x="1228725" y="2468308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1306</xdr:row>
      <xdr:rowOff>19050</xdr:rowOff>
    </xdr:from>
    <xdr:to>
      <xdr:col>2</xdr:col>
      <xdr:colOff>1733550</xdr:colOff>
      <xdr:row>1306</xdr:row>
      <xdr:rowOff>1666875</xdr:rowOff>
    </xdr:to>
    <xdr:pic>
      <xdr:nvPicPr>
        <xdr:cNvPr id="1306" name="Picture 1305"/>
        <xdr:cNvPicPr>
          <a:picLocks noChangeAspect="1" noChangeArrowheads="1"/>
        </xdr:cNvPicPr>
      </xdr:nvPicPr>
      <xdr:blipFill>
        <a:blip xmlns:r="http://schemas.openxmlformats.org/officeDocument/2006/relationships" r:embed="rId1305">
          <a:extLst>
            <a:ext uri="{28A0092B-C50C-407E-A947-70E740481C1C}">
              <a14:useLocalDpi xmlns:a14="http://schemas.microsoft.com/office/drawing/2010/main" val="0"/>
            </a:ext>
          </a:extLst>
        </a:blip>
        <a:srcRect/>
        <a:stretch>
          <a:fillRect/>
        </a:stretch>
      </xdr:blipFill>
      <xdr:spPr bwMode="auto">
        <a:xfrm>
          <a:off x="1228725" y="2470223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1307</xdr:row>
      <xdr:rowOff>19050</xdr:rowOff>
    </xdr:from>
    <xdr:to>
      <xdr:col>2</xdr:col>
      <xdr:colOff>1733550</xdr:colOff>
      <xdr:row>1307</xdr:row>
      <xdr:rowOff>1666875</xdr:rowOff>
    </xdr:to>
    <xdr:pic>
      <xdr:nvPicPr>
        <xdr:cNvPr id="1307" name="Picture 1306"/>
        <xdr:cNvPicPr>
          <a:picLocks noChangeAspect="1" noChangeArrowheads="1"/>
        </xdr:cNvPicPr>
      </xdr:nvPicPr>
      <xdr:blipFill>
        <a:blip xmlns:r="http://schemas.openxmlformats.org/officeDocument/2006/relationships" r:embed="rId1306">
          <a:extLst>
            <a:ext uri="{28A0092B-C50C-407E-A947-70E740481C1C}">
              <a14:useLocalDpi xmlns:a14="http://schemas.microsoft.com/office/drawing/2010/main" val="0"/>
            </a:ext>
          </a:extLst>
        </a:blip>
        <a:srcRect/>
        <a:stretch>
          <a:fillRect/>
        </a:stretch>
      </xdr:blipFill>
      <xdr:spPr bwMode="auto">
        <a:xfrm>
          <a:off x="1228725" y="2472137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1308</xdr:row>
      <xdr:rowOff>19050</xdr:rowOff>
    </xdr:from>
    <xdr:to>
      <xdr:col>2</xdr:col>
      <xdr:colOff>1733550</xdr:colOff>
      <xdr:row>1308</xdr:row>
      <xdr:rowOff>1666875</xdr:rowOff>
    </xdr:to>
    <xdr:pic>
      <xdr:nvPicPr>
        <xdr:cNvPr id="1308" name="Picture 1307"/>
        <xdr:cNvPicPr>
          <a:picLocks noChangeAspect="1" noChangeArrowheads="1"/>
        </xdr:cNvPicPr>
      </xdr:nvPicPr>
      <xdr:blipFill>
        <a:blip xmlns:r="http://schemas.openxmlformats.org/officeDocument/2006/relationships" r:embed="rId1307">
          <a:extLst>
            <a:ext uri="{28A0092B-C50C-407E-A947-70E740481C1C}">
              <a14:useLocalDpi xmlns:a14="http://schemas.microsoft.com/office/drawing/2010/main" val="0"/>
            </a:ext>
          </a:extLst>
        </a:blip>
        <a:srcRect/>
        <a:stretch>
          <a:fillRect/>
        </a:stretch>
      </xdr:blipFill>
      <xdr:spPr bwMode="auto">
        <a:xfrm>
          <a:off x="1228725" y="247405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1309</xdr:row>
      <xdr:rowOff>19050</xdr:rowOff>
    </xdr:from>
    <xdr:to>
      <xdr:col>2</xdr:col>
      <xdr:colOff>1733550</xdr:colOff>
      <xdr:row>1309</xdr:row>
      <xdr:rowOff>1666875</xdr:rowOff>
    </xdr:to>
    <xdr:pic>
      <xdr:nvPicPr>
        <xdr:cNvPr id="1309" name="Picture 1308"/>
        <xdr:cNvPicPr>
          <a:picLocks noChangeAspect="1" noChangeArrowheads="1"/>
        </xdr:cNvPicPr>
      </xdr:nvPicPr>
      <xdr:blipFill>
        <a:blip xmlns:r="http://schemas.openxmlformats.org/officeDocument/2006/relationships" r:embed="rId1308">
          <a:extLst>
            <a:ext uri="{28A0092B-C50C-407E-A947-70E740481C1C}">
              <a14:useLocalDpi xmlns:a14="http://schemas.microsoft.com/office/drawing/2010/main" val="0"/>
            </a:ext>
          </a:extLst>
        </a:blip>
        <a:srcRect/>
        <a:stretch>
          <a:fillRect/>
        </a:stretch>
      </xdr:blipFill>
      <xdr:spPr bwMode="auto">
        <a:xfrm>
          <a:off x="1228725" y="247596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1310</xdr:row>
      <xdr:rowOff>19050</xdr:rowOff>
    </xdr:from>
    <xdr:to>
      <xdr:col>2</xdr:col>
      <xdr:colOff>1733550</xdr:colOff>
      <xdr:row>1310</xdr:row>
      <xdr:rowOff>1666875</xdr:rowOff>
    </xdr:to>
    <xdr:pic>
      <xdr:nvPicPr>
        <xdr:cNvPr id="1310" name="Picture 1309"/>
        <xdr:cNvPicPr>
          <a:picLocks noChangeAspect="1" noChangeArrowheads="1"/>
        </xdr:cNvPicPr>
      </xdr:nvPicPr>
      <xdr:blipFill>
        <a:blip xmlns:r="http://schemas.openxmlformats.org/officeDocument/2006/relationships" r:embed="rId1309">
          <a:extLst>
            <a:ext uri="{28A0092B-C50C-407E-A947-70E740481C1C}">
              <a14:useLocalDpi xmlns:a14="http://schemas.microsoft.com/office/drawing/2010/main" val="0"/>
            </a:ext>
          </a:extLst>
        </a:blip>
        <a:srcRect/>
        <a:stretch>
          <a:fillRect/>
        </a:stretch>
      </xdr:blipFill>
      <xdr:spPr bwMode="auto">
        <a:xfrm>
          <a:off x="1228725" y="2477881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1311</xdr:row>
      <xdr:rowOff>19050</xdr:rowOff>
    </xdr:from>
    <xdr:to>
      <xdr:col>2</xdr:col>
      <xdr:colOff>1733550</xdr:colOff>
      <xdr:row>1311</xdr:row>
      <xdr:rowOff>1666875</xdr:rowOff>
    </xdr:to>
    <xdr:pic>
      <xdr:nvPicPr>
        <xdr:cNvPr id="1311" name="Picture 1310"/>
        <xdr:cNvPicPr>
          <a:picLocks noChangeAspect="1" noChangeArrowheads="1"/>
        </xdr:cNvPicPr>
      </xdr:nvPicPr>
      <xdr:blipFill>
        <a:blip xmlns:r="http://schemas.openxmlformats.org/officeDocument/2006/relationships" r:embed="rId1310">
          <a:extLst>
            <a:ext uri="{28A0092B-C50C-407E-A947-70E740481C1C}">
              <a14:useLocalDpi xmlns:a14="http://schemas.microsoft.com/office/drawing/2010/main" val="0"/>
            </a:ext>
          </a:extLst>
        </a:blip>
        <a:srcRect/>
        <a:stretch>
          <a:fillRect/>
        </a:stretch>
      </xdr:blipFill>
      <xdr:spPr bwMode="auto">
        <a:xfrm>
          <a:off x="1228725" y="2479795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1312</xdr:row>
      <xdr:rowOff>19050</xdr:rowOff>
    </xdr:from>
    <xdr:to>
      <xdr:col>2</xdr:col>
      <xdr:colOff>1733550</xdr:colOff>
      <xdr:row>1312</xdr:row>
      <xdr:rowOff>1666875</xdr:rowOff>
    </xdr:to>
    <xdr:pic>
      <xdr:nvPicPr>
        <xdr:cNvPr id="1312" name="Picture 1311"/>
        <xdr:cNvPicPr>
          <a:picLocks noChangeAspect="1" noChangeArrowheads="1"/>
        </xdr:cNvPicPr>
      </xdr:nvPicPr>
      <xdr:blipFill>
        <a:blip xmlns:r="http://schemas.openxmlformats.org/officeDocument/2006/relationships" r:embed="rId1311">
          <a:extLst>
            <a:ext uri="{28A0092B-C50C-407E-A947-70E740481C1C}">
              <a14:useLocalDpi xmlns:a14="http://schemas.microsoft.com/office/drawing/2010/main" val="0"/>
            </a:ext>
          </a:extLst>
        </a:blip>
        <a:srcRect/>
        <a:stretch>
          <a:fillRect/>
        </a:stretch>
      </xdr:blipFill>
      <xdr:spPr bwMode="auto">
        <a:xfrm>
          <a:off x="1228725" y="248171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1313</xdr:row>
      <xdr:rowOff>19050</xdr:rowOff>
    </xdr:from>
    <xdr:to>
      <xdr:col>2</xdr:col>
      <xdr:colOff>1733550</xdr:colOff>
      <xdr:row>1313</xdr:row>
      <xdr:rowOff>1666875</xdr:rowOff>
    </xdr:to>
    <xdr:pic>
      <xdr:nvPicPr>
        <xdr:cNvPr id="1313" name="Picture 1312"/>
        <xdr:cNvPicPr>
          <a:picLocks noChangeAspect="1" noChangeArrowheads="1"/>
        </xdr:cNvPicPr>
      </xdr:nvPicPr>
      <xdr:blipFill>
        <a:blip xmlns:r="http://schemas.openxmlformats.org/officeDocument/2006/relationships" r:embed="rId1312">
          <a:extLst>
            <a:ext uri="{28A0092B-C50C-407E-A947-70E740481C1C}">
              <a14:useLocalDpi xmlns:a14="http://schemas.microsoft.com/office/drawing/2010/main" val="0"/>
            </a:ext>
          </a:extLst>
        </a:blip>
        <a:srcRect/>
        <a:stretch>
          <a:fillRect/>
        </a:stretch>
      </xdr:blipFill>
      <xdr:spPr bwMode="auto">
        <a:xfrm>
          <a:off x="1228725" y="248362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1314</xdr:row>
      <xdr:rowOff>19050</xdr:rowOff>
    </xdr:from>
    <xdr:to>
      <xdr:col>2</xdr:col>
      <xdr:colOff>1733550</xdr:colOff>
      <xdr:row>1314</xdr:row>
      <xdr:rowOff>1666875</xdr:rowOff>
    </xdr:to>
    <xdr:pic>
      <xdr:nvPicPr>
        <xdr:cNvPr id="1314" name="Picture 1313"/>
        <xdr:cNvPicPr>
          <a:picLocks noChangeAspect="1" noChangeArrowheads="1"/>
        </xdr:cNvPicPr>
      </xdr:nvPicPr>
      <xdr:blipFill>
        <a:blip xmlns:r="http://schemas.openxmlformats.org/officeDocument/2006/relationships" r:embed="rId1313">
          <a:extLst>
            <a:ext uri="{28A0092B-C50C-407E-A947-70E740481C1C}">
              <a14:useLocalDpi xmlns:a14="http://schemas.microsoft.com/office/drawing/2010/main" val="0"/>
            </a:ext>
          </a:extLst>
        </a:blip>
        <a:srcRect/>
        <a:stretch>
          <a:fillRect/>
        </a:stretch>
      </xdr:blipFill>
      <xdr:spPr bwMode="auto">
        <a:xfrm>
          <a:off x="1228725" y="248553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1315</xdr:row>
      <xdr:rowOff>19050</xdr:rowOff>
    </xdr:from>
    <xdr:to>
      <xdr:col>2</xdr:col>
      <xdr:colOff>1733550</xdr:colOff>
      <xdr:row>1315</xdr:row>
      <xdr:rowOff>1666875</xdr:rowOff>
    </xdr:to>
    <xdr:pic>
      <xdr:nvPicPr>
        <xdr:cNvPr id="1315" name="Picture 1314"/>
        <xdr:cNvPicPr>
          <a:picLocks noChangeAspect="1" noChangeArrowheads="1"/>
        </xdr:cNvPicPr>
      </xdr:nvPicPr>
      <xdr:blipFill>
        <a:blip xmlns:r="http://schemas.openxmlformats.org/officeDocument/2006/relationships" r:embed="rId1314">
          <a:extLst>
            <a:ext uri="{28A0092B-C50C-407E-A947-70E740481C1C}">
              <a14:useLocalDpi xmlns:a14="http://schemas.microsoft.com/office/drawing/2010/main" val="0"/>
            </a:ext>
          </a:extLst>
        </a:blip>
        <a:srcRect/>
        <a:stretch>
          <a:fillRect/>
        </a:stretch>
      </xdr:blipFill>
      <xdr:spPr bwMode="auto">
        <a:xfrm>
          <a:off x="1228725" y="2487453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1316</xdr:row>
      <xdr:rowOff>19050</xdr:rowOff>
    </xdr:from>
    <xdr:to>
      <xdr:col>2</xdr:col>
      <xdr:colOff>1733550</xdr:colOff>
      <xdr:row>1316</xdr:row>
      <xdr:rowOff>1666875</xdr:rowOff>
    </xdr:to>
    <xdr:pic>
      <xdr:nvPicPr>
        <xdr:cNvPr id="1316" name="Picture 1315"/>
        <xdr:cNvPicPr>
          <a:picLocks noChangeAspect="1" noChangeArrowheads="1"/>
        </xdr:cNvPicPr>
      </xdr:nvPicPr>
      <xdr:blipFill>
        <a:blip xmlns:r="http://schemas.openxmlformats.org/officeDocument/2006/relationships" r:embed="rId1315">
          <a:extLst>
            <a:ext uri="{28A0092B-C50C-407E-A947-70E740481C1C}">
              <a14:useLocalDpi xmlns:a14="http://schemas.microsoft.com/office/drawing/2010/main" val="0"/>
            </a:ext>
          </a:extLst>
        </a:blip>
        <a:srcRect/>
        <a:stretch>
          <a:fillRect/>
        </a:stretch>
      </xdr:blipFill>
      <xdr:spPr bwMode="auto">
        <a:xfrm>
          <a:off x="1228725" y="2489368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1317</xdr:row>
      <xdr:rowOff>19050</xdr:rowOff>
    </xdr:from>
    <xdr:to>
      <xdr:col>2</xdr:col>
      <xdr:colOff>1733550</xdr:colOff>
      <xdr:row>1317</xdr:row>
      <xdr:rowOff>1666875</xdr:rowOff>
    </xdr:to>
    <xdr:pic>
      <xdr:nvPicPr>
        <xdr:cNvPr id="1317" name="Picture 1316"/>
        <xdr:cNvPicPr>
          <a:picLocks noChangeAspect="1" noChangeArrowheads="1"/>
        </xdr:cNvPicPr>
      </xdr:nvPicPr>
      <xdr:blipFill>
        <a:blip xmlns:r="http://schemas.openxmlformats.org/officeDocument/2006/relationships" r:embed="rId1316">
          <a:extLst>
            <a:ext uri="{28A0092B-C50C-407E-A947-70E740481C1C}">
              <a14:useLocalDpi xmlns:a14="http://schemas.microsoft.com/office/drawing/2010/main" val="0"/>
            </a:ext>
          </a:extLst>
        </a:blip>
        <a:srcRect/>
        <a:stretch>
          <a:fillRect/>
        </a:stretch>
      </xdr:blipFill>
      <xdr:spPr bwMode="auto">
        <a:xfrm>
          <a:off x="1228725" y="2491282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1318</xdr:row>
      <xdr:rowOff>19050</xdr:rowOff>
    </xdr:from>
    <xdr:to>
      <xdr:col>2</xdr:col>
      <xdr:colOff>1733550</xdr:colOff>
      <xdr:row>1318</xdr:row>
      <xdr:rowOff>1666875</xdr:rowOff>
    </xdr:to>
    <xdr:pic>
      <xdr:nvPicPr>
        <xdr:cNvPr id="1318" name="Picture 1317"/>
        <xdr:cNvPicPr>
          <a:picLocks noChangeAspect="1" noChangeArrowheads="1"/>
        </xdr:cNvPicPr>
      </xdr:nvPicPr>
      <xdr:blipFill>
        <a:blip xmlns:r="http://schemas.openxmlformats.org/officeDocument/2006/relationships" r:embed="rId1317">
          <a:extLst>
            <a:ext uri="{28A0092B-C50C-407E-A947-70E740481C1C}">
              <a14:useLocalDpi xmlns:a14="http://schemas.microsoft.com/office/drawing/2010/main" val="0"/>
            </a:ext>
          </a:extLst>
        </a:blip>
        <a:srcRect/>
        <a:stretch>
          <a:fillRect/>
        </a:stretch>
      </xdr:blipFill>
      <xdr:spPr bwMode="auto">
        <a:xfrm>
          <a:off x="1228725" y="2493197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1319</xdr:row>
      <xdr:rowOff>19050</xdr:rowOff>
    </xdr:from>
    <xdr:to>
      <xdr:col>2</xdr:col>
      <xdr:colOff>1733550</xdr:colOff>
      <xdr:row>1319</xdr:row>
      <xdr:rowOff>1666875</xdr:rowOff>
    </xdr:to>
    <xdr:pic>
      <xdr:nvPicPr>
        <xdr:cNvPr id="1319" name="Picture 1318"/>
        <xdr:cNvPicPr>
          <a:picLocks noChangeAspect="1" noChangeArrowheads="1"/>
        </xdr:cNvPicPr>
      </xdr:nvPicPr>
      <xdr:blipFill>
        <a:blip xmlns:r="http://schemas.openxmlformats.org/officeDocument/2006/relationships" r:embed="rId1318">
          <a:extLst>
            <a:ext uri="{28A0092B-C50C-407E-A947-70E740481C1C}">
              <a14:useLocalDpi xmlns:a14="http://schemas.microsoft.com/office/drawing/2010/main" val="0"/>
            </a:ext>
          </a:extLst>
        </a:blip>
        <a:srcRect/>
        <a:stretch>
          <a:fillRect/>
        </a:stretch>
      </xdr:blipFill>
      <xdr:spPr bwMode="auto">
        <a:xfrm>
          <a:off x="1228725" y="2495111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1320</xdr:row>
      <xdr:rowOff>19050</xdr:rowOff>
    </xdr:from>
    <xdr:to>
      <xdr:col>2</xdr:col>
      <xdr:colOff>1733550</xdr:colOff>
      <xdr:row>1320</xdr:row>
      <xdr:rowOff>1666875</xdr:rowOff>
    </xdr:to>
    <xdr:pic>
      <xdr:nvPicPr>
        <xdr:cNvPr id="1320" name="Picture 1319"/>
        <xdr:cNvPicPr>
          <a:picLocks noChangeAspect="1" noChangeArrowheads="1"/>
        </xdr:cNvPicPr>
      </xdr:nvPicPr>
      <xdr:blipFill>
        <a:blip xmlns:r="http://schemas.openxmlformats.org/officeDocument/2006/relationships" r:embed="rId1319">
          <a:extLst>
            <a:ext uri="{28A0092B-C50C-407E-A947-70E740481C1C}">
              <a14:useLocalDpi xmlns:a14="http://schemas.microsoft.com/office/drawing/2010/main" val="0"/>
            </a:ext>
          </a:extLst>
        </a:blip>
        <a:srcRect/>
        <a:stretch>
          <a:fillRect/>
        </a:stretch>
      </xdr:blipFill>
      <xdr:spPr bwMode="auto">
        <a:xfrm>
          <a:off x="1228725" y="2497026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1321</xdr:row>
      <xdr:rowOff>19050</xdr:rowOff>
    </xdr:from>
    <xdr:to>
      <xdr:col>2</xdr:col>
      <xdr:colOff>1733550</xdr:colOff>
      <xdr:row>1321</xdr:row>
      <xdr:rowOff>1666875</xdr:rowOff>
    </xdr:to>
    <xdr:pic>
      <xdr:nvPicPr>
        <xdr:cNvPr id="1321" name="Picture 1320"/>
        <xdr:cNvPicPr>
          <a:picLocks noChangeAspect="1" noChangeArrowheads="1"/>
        </xdr:cNvPicPr>
      </xdr:nvPicPr>
      <xdr:blipFill>
        <a:blip xmlns:r="http://schemas.openxmlformats.org/officeDocument/2006/relationships" r:embed="rId1320">
          <a:extLst>
            <a:ext uri="{28A0092B-C50C-407E-A947-70E740481C1C}">
              <a14:useLocalDpi xmlns:a14="http://schemas.microsoft.com/office/drawing/2010/main" val="0"/>
            </a:ext>
          </a:extLst>
        </a:blip>
        <a:srcRect/>
        <a:stretch>
          <a:fillRect/>
        </a:stretch>
      </xdr:blipFill>
      <xdr:spPr bwMode="auto">
        <a:xfrm>
          <a:off x="1228725" y="249894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1322</xdr:row>
      <xdr:rowOff>19050</xdr:rowOff>
    </xdr:from>
    <xdr:to>
      <xdr:col>2</xdr:col>
      <xdr:colOff>1733550</xdr:colOff>
      <xdr:row>1322</xdr:row>
      <xdr:rowOff>1666875</xdr:rowOff>
    </xdr:to>
    <xdr:pic>
      <xdr:nvPicPr>
        <xdr:cNvPr id="1322" name="Picture 1321"/>
        <xdr:cNvPicPr>
          <a:picLocks noChangeAspect="1" noChangeArrowheads="1"/>
        </xdr:cNvPicPr>
      </xdr:nvPicPr>
      <xdr:blipFill>
        <a:blip xmlns:r="http://schemas.openxmlformats.org/officeDocument/2006/relationships" r:embed="rId1321">
          <a:extLst>
            <a:ext uri="{28A0092B-C50C-407E-A947-70E740481C1C}">
              <a14:useLocalDpi xmlns:a14="http://schemas.microsoft.com/office/drawing/2010/main" val="0"/>
            </a:ext>
          </a:extLst>
        </a:blip>
        <a:srcRect/>
        <a:stretch>
          <a:fillRect/>
        </a:stretch>
      </xdr:blipFill>
      <xdr:spPr bwMode="auto">
        <a:xfrm>
          <a:off x="1228725" y="2500855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1323</xdr:row>
      <xdr:rowOff>19050</xdr:rowOff>
    </xdr:from>
    <xdr:to>
      <xdr:col>2</xdr:col>
      <xdr:colOff>1733550</xdr:colOff>
      <xdr:row>1323</xdr:row>
      <xdr:rowOff>1666875</xdr:rowOff>
    </xdr:to>
    <xdr:pic>
      <xdr:nvPicPr>
        <xdr:cNvPr id="1323" name="Picture 1322"/>
        <xdr:cNvPicPr>
          <a:picLocks noChangeAspect="1" noChangeArrowheads="1"/>
        </xdr:cNvPicPr>
      </xdr:nvPicPr>
      <xdr:blipFill>
        <a:blip xmlns:r="http://schemas.openxmlformats.org/officeDocument/2006/relationships" r:embed="rId1322">
          <a:extLst>
            <a:ext uri="{28A0092B-C50C-407E-A947-70E740481C1C}">
              <a14:useLocalDpi xmlns:a14="http://schemas.microsoft.com/office/drawing/2010/main" val="0"/>
            </a:ext>
          </a:extLst>
        </a:blip>
        <a:srcRect/>
        <a:stretch>
          <a:fillRect/>
        </a:stretch>
      </xdr:blipFill>
      <xdr:spPr bwMode="auto">
        <a:xfrm>
          <a:off x="1228725" y="2502769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1324</xdr:row>
      <xdr:rowOff>19050</xdr:rowOff>
    </xdr:from>
    <xdr:to>
      <xdr:col>2</xdr:col>
      <xdr:colOff>1733550</xdr:colOff>
      <xdr:row>1324</xdr:row>
      <xdr:rowOff>1666875</xdr:rowOff>
    </xdr:to>
    <xdr:pic>
      <xdr:nvPicPr>
        <xdr:cNvPr id="1324" name="Picture 1323"/>
        <xdr:cNvPicPr>
          <a:picLocks noChangeAspect="1" noChangeArrowheads="1"/>
        </xdr:cNvPicPr>
      </xdr:nvPicPr>
      <xdr:blipFill>
        <a:blip xmlns:r="http://schemas.openxmlformats.org/officeDocument/2006/relationships" r:embed="rId1323">
          <a:extLst>
            <a:ext uri="{28A0092B-C50C-407E-A947-70E740481C1C}">
              <a14:useLocalDpi xmlns:a14="http://schemas.microsoft.com/office/drawing/2010/main" val="0"/>
            </a:ext>
          </a:extLst>
        </a:blip>
        <a:srcRect/>
        <a:stretch>
          <a:fillRect/>
        </a:stretch>
      </xdr:blipFill>
      <xdr:spPr bwMode="auto">
        <a:xfrm>
          <a:off x="1228725" y="250468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1325</xdr:row>
      <xdr:rowOff>19050</xdr:rowOff>
    </xdr:from>
    <xdr:to>
      <xdr:col>2</xdr:col>
      <xdr:colOff>1733550</xdr:colOff>
      <xdr:row>1325</xdr:row>
      <xdr:rowOff>1666875</xdr:rowOff>
    </xdr:to>
    <xdr:pic>
      <xdr:nvPicPr>
        <xdr:cNvPr id="1325" name="Picture 1324"/>
        <xdr:cNvPicPr>
          <a:picLocks noChangeAspect="1" noChangeArrowheads="1"/>
        </xdr:cNvPicPr>
      </xdr:nvPicPr>
      <xdr:blipFill>
        <a:blip xmlns:r="http://schemas.openxmlformats.org/officeDocument/2006/relationships" r:embed="rId1324">
          <a:extLst>
            <a:ext uri="{28A0092B-C50C-407E-A947-70E740481C1C}">
              <a14:useLocalDpi xmlns:a14="http://schemas.microsoft.com/office/drawing/2010/main" val="0"/>
            </a:ext>
          </a:extLst>
        </a:blip>
        <a:srcRect/>
        <a:stretch>
          <a:fillRect/>
        </a:stretch>
      </xdr:blipFill>
      <xdr:spPr bwMode="auto">
        <a:xfrm>
          <a:off x="1228725" y="250659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1326</xdr:row>
      <xdr:rowOff>19050</xdr:rowOff>
    </xdr:from>
    <xdr:to>
      <xdr:col>2</xdr:col>
      <xdr:colOff>1733550</xdr:colOff>
      <xdr:row>1326</xdr:row>
      <xdr:rowOff>1666875</xdr:rowOff>
    </xdr:to>
    <xdr:pic>
      <xdr:nvPicPr>
        <xdr:cNvPr id="1326" name="Picture 1325"/>
        <xdr:cNvPicPr>
          <a:picLocks noChangeAspect="1" noChangeArrowheads="1"/>
        </xdr:cNvPicPr>
      </xdr:nvPicPr>
      <xdr:blipFill>
        <a:blip xmlns:r="http://schemas.openxmlformats.org/officeDocument/2006/relationships" r:embed="rId1325">
          <a:extLst>
            <a:ext uri="{28A0092B-C50C-407E-A947-70E740481C1C}">
              <a14:useLocalDpi xmlns:a14="http://schemas.microsoft.com/office/drawing/2010/main" val="0"/>
            </a:ext>
          </a:extLst>
        </a:blip>
        <a:srcRect/>
        <a:stretch>
          <a:fillRect/>
        </a:stretch>
      </xdr:blipFill>
      <xdr:spPr bwMode="auto">
        <a:xfrm>
          <a:off x="1228725" y="2508513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1327</xdr:row>
      <xdr:rowOff>19050</xdr:rowOff>
    </xdr:from>
    <xdr:to>
      <xdr:col>2</xdr:col>
      <xdr:colOff>1733550</xdr:colOff>
      <xdr:row>1327</xdr:row>
      <xdr:rowOff>1666875</xdr:rowOff>
    </xdr:to>
    <xdr:pic>
      <xdr:nvPicPr>
        <xdr:cNvPr id="1327" name="Picture 1326"/>
        <xdr:cNvPicPr>
          <a:picLocks noChangeAspect="1" noChangeArrowheads="1"/>
        </xdr:cNvPicPr>
      </xdr:nvPicPr>
      <xdr:blipFill>
        <a:blip xmlns:r="http://schemas.openxmlformats.org/officeDocument/2006/relationships" r:embed="rId1326">
          <a:extLst>
            <a:ext uri="{28A0092B-C50C-407E-A947-70E740481C1C}">
              <a14:useLocalDpi xmlns:a14="http://schemas.microsoft.com/office/drawing/2010/main" val="0"/>
            </a:ext>
          </a:extLst>
        </a:blip>
        <a:srcRect/>
        <a:stretch>
          <a:fillRect/>
        </a:stretch>
      </xdr:blipFill>
      <xdr:spPr bwMode="auto">
        <a:xfrm>
          <a:off x="1228725" y="2510428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1328</xdr:row>
      <xdr:rowOff>19050</xdr:rowOff>
    </xdr:from>
    <xdr:to>
      <xdr:col>2</xdr:col>
      <xdr:colOff>1733550</xdr:colOff>
      <xdr:row>1328</xdr:row>
      <xdr:rowOff>1666875</xdr:rowOff>
    </xdr:to>
    <xdr:pic>
      <xdr:nvPicPr>
        <xdr:cNvPr id="1328" name="Picture 1327"/>
        <xdr:cNvPicPr>
          <a:picLocks noChangeAspect="1" noChangeArrowheads="1"/>
        </xdr:cNvPicPr>
      </xdr:nvPicPr>
      <xdr:blipFill>
        <a:blip xmlns:r="http://schemas.openxmlformats.org/officeDocument/2006/relationships" r:embed="rId1327">
          <a:extLst>
            <a:ext uri="{28A0092B-C50C-407E-A947-70E740481C1C}">
              <a14:useLocalDpi xmlns:a14="http://schemas.microsoft.com/office/drawing/2010/main" val="0"/>
            </a:ext>
          </a:extLst>
        </a:blip>
        <a:srcRect/>
        <a:stretch>
          <a:fillRect/>
        </a:stretch>
      </xdr:blipFill>
      <xdr:spPr bwMode="auto">
        <a:xfrm>
          <a:off x="1228725" y="2512342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1329</xdr:row>
      <xdr:rowOff>19050</xdr:rowOff>
    </xdr:from>
    <xdr:to>
      <xdr:col>2</xdr:col>
      <xdr:colOff>1733550</xdr:colOff>
      <xdr:row>1329</xdr:row>
      <xdr:rowOff>1666875</xdr:rowOff>
    </xdr:to>
    <xdr:pic>
      <xdr:nvPicPr>
        <xdr:cNvPr id="1329" name="Picture 1328"/>
        <xdr:cNvPicPr>
          <a:picLocks noChangeAspect="1" noChangeArrowheads="1"/>
        </xdr:cNvPicPr>
      </xdr:nvPicPr>
      <xdr:blipFill>
        <a:blip xmlns:r="http://schemas.openxmlformats.org/officeDocument/2006/relationships" r:embed="rId1328">
          <a:extLst>
            <a:ext uri="{28A0092B-C50C-407E-A947-70E740481C1C}">
              <a14:useLocalDpi xmlns:a14="http://schemas.microsoft.com/office/drawing/2010/main" val="0"/>
            </a:ext>
          </a:extLst>
        </a:blip>
        <a:srcRect/>
        <a:stretch>
          <a:fillRect/>
        </a:stretch>
      </xdr:blipFill>
      <xdr:spPr bwMode="auto">
        <a:xfrm>
          <a:off x="1228725" y="2514257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1330</xdr:row>
      <xdr:rowOff>19050</xdr:rowOff>
    </xdr:from>
    <xdr:to>
      <xdr:col>2</xdr:col>
      <xdr:colOff>1733550</xdr:colOff>
      <xdr:row>1330</xdr:row>
      <xdr:rowOff>1666875</xdr:rowOff>
    </xdr:to>
    <xdr:pic>
      <xdr:nvPicPr>
        <xdr:cNvPr id="1330" name="Picture 1329"/>
        <xdr:cNvPicPr>
          <a:picLocks noChangeAspect="1" noChangeArrowheads="1"/>
        </xdr:cNvPicPr>
      </xdr:nvPicPr>
      <xdr:blipFill>
        <a:blip xmlns:r="http://schemas.openxmlformats.org/officeDocument/2006/relationships" r:embed="rId1329">
          <a:extLst>
            <a:ext uri="{28A0092B-C50C-407E-A947-70E740481C1C}">
              <a14:useLocalDpi xmlns:a14="http://schemas.microsoft.com/office/drawing/2010/main" val="0"/>
            </a:ext>
          </a:extLst>
        </a:blip>
        <a:srcRect/>
        <a:stretch>
          <a:fillRect/>
        </a:stretch>
      </xdr:blipFill>
      <xdr:spPr bwMode="auto">
        <a:xfrm>
          <a:off x="1228725" y="2516171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1331</xdr:row>
      <xdr:rowOff>19050</xdr:rowOff>
    </xdr:from>
    <xdr:to>
      <xdr:col>2</xdr:col>
      <xdr:colOff>1733550</xdr:colOff>
      <xdr:row>1331</xdr:row>
      <xdr:rowOff>1666875</xdr:rowOff>
    </xdr:to>
    <xdr:pic>
      <xdr:nvPicPr>
        <xdr:cNvPr id="1331" name="Picture 1330"/>
        <xdr:cNvPicPr>
          <a:picLocks noChangeAspect="1" noChangeArrowheads="1"/>
        </xdr:cNvPicPr>
      </xdr:nvPicPr>
      <xdr:blipFill>
        <a:blip xmlns:r="http://schemas.openxmlformats.org/officeDocument/2006/relationships" r:embed="rId1330">
          <a:extLst>
            <a:ext uri="{28A0092B-C50C-407E-A947-70E740481C1C}">
              <a14:useLocalDpi xmlns:a14="http://schemas.microsoft.com/office/drawing/2010/main" val="0"/>
            </a:ext>
          </a:extLst>
        </a:blip>
        <a:srcRect/>
        <a:stretch>
          <a:fillRect/>
        </a:stretch>
      </xdr:blipFill>
      <xdr:spPr bwMode="auto">
        <a:xfrm>
          <a:off x="1228725" y="2518086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1332</xdr:row>
      <xdr:rowOff>19050</xdr:rowOff>
    </xdr:from>
    <xdr:to>
      <xdr:col>2</xdr:col>
      <xdr:colOff>1733550</xdr:colOff>
      <xdr:row>1332</xdr:row>
      <xdr:rowOff>1666875</xdr:rowOff>
    </xdr:to>
    <xdr:pic>
      <xdr:nvPicPr>
        <xdr:cNvPr id="1332" name="Picture 1331"/>
        <xdr:cNvPicPr>
          <a:picLocks noChangeAspect="1" noChangeArrowheads="1"/>
        </xdr:cNvPicPr>
      </xdr:nvPicPr>
      <xdr:blipFill>
        <a:blip xmlns:r="http://schemas.openxmlformats.org/officeDocument/2006/relationships" r:embed="rId1331">
          <a:extLst>
            <a:ext uri="{28A0092B-C50C-407E-A947-70E740481C1C}">
              <a14:useLocalDpi xmlns:a14="http://schemas.microsoft.com/office/drawing/2010/main" val="0"/>
            </a:ext>
          </a:extLst>
        </a:blip>
        <a:srcRect/>
        <a:stretch>
          <a:fillRect/>
        </a:stretch>
      </xdr:blipFill>
      <xdr:spPr bwMode="auto">
        <a:xfrm>
          <a:off x="1228725" y="2520000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1333</xdr:row>
      <xdr:rowOff>19050</xdr:rowOff>
    </xdr:from>
    <xdr:to>
      <xdr:col>2</xdr:col>
      <xdr:colOff>1733550</xdr:colOff>
      <xdr:row>1333</xdr:row>
      <xdr:rowOff>1666875</xdr:rowOff>
    </xdr:to>
    <xdr:pic>
      <xdr:nvPicPr>
        <xdr:cNvPr id="1333" name="Picture 1332"/>
        <xdr:cNvPicPr>
          <a:picLocks noChangeAspect="1" noChangeArrowheads="1"/>
        </xdr:cNvPicPr>
      </xdr:nvPicPr>
      <xdr:blipFill>
        <a:blip xmlns:r="http://schemas.openxmlformats.org/officeDocument/2006/relationships" r:embed="rId1332">
          <a:extLst>
            <a:ext uri="{28A0092B-C50C-407E-A947-70E740481C1C}">
              <a14:useLocalDpi xmlns:a14="http://schemas.microsoft.com/office/drawing/2010/main" val="0"/>
            </a:ext>
          </a:extLst>
        </a:blip>
        <a:srcRect/>
        <a:stretch>
          <a:fillRect/>
        </a:stretch>
      </xdr:blipFill>
      <xdr:spPr bwMode="auto">
        <a:xfrm>
          <a:off x="1228725" y="2521915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1334</xdr:row>
      <xdr:rowOff>19050</xdr:rowOff>
    </xdr:from>
    <xdr:to>
      <xdr:col>2</xdr:col>
      <xdr:colOff>1733550</xdr:colOff>
      <xdr:row>1334</xdr:row>
      <xdr:rowOff>1666875</xdr:rowOff>
    </xdr:to>
    <xdr:pic>
      <xdr:nvPicPr>
        <xdr:cNvPr id="1334" name="Picture 1333"/>
        <xdr:cNvPicPr>
          <a:picLocks noChangeAspect="1" noChangeArrowheads="1"/>
        </xdr:cNvPicPr>
      </xdr:nvPicPr>
      <xdr:blipFill>
        <a:blip xmlns:r="http://schemas.openxmlformats.org/officeDocument/2006/relationships" r:embed="rId1333">
          <a:extLst>
            <a:ext uri="{28A0092B-C50C-407E-A947-70E740481C1C}">
              <a14:useLocalDpi xmlns:a14="http://schemas.microsoft.com/office/drawing/2010/main" val="0"/>
            </a:ext>
          </a:extLst>
        </a:blip>
        <a:srcRect/>
        <a:stretch>
          <a:fillRect/>
        </a:stretch>
      </xdr:blipFill>
      <xdr:spPr bwMode="auto">
        <a:xfrm>
          <a:off x="1228725" y="2523829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1335</xdr:row>
      <xdr:rowOff>19050</xdr:rowOff>
    </xdr:from>
    <xdr:to>
      <xdr:col>2</xdr:col>
      <xdr:colOff>1733550</xdr:colOff>
      <xdr:row>1335</xdr:row>
      <xdr:rowOff>1666875</xdr:rowOff>
    </xdr:to>
    <xdr:pic>
      <xdr:nvPicPr>
        <xdr:cNvPr id="1335" name="Picture 1334"/>
        <xdr:cNvPicPr>
          <a:picLocks noChangeAspect="1" noChangeArrowheads="1"/>
        </xdr:cNvPicPr>
      </xdr:nvPicPr>
      <xdr:blipFill>
        <a:blip xmlns:r="http://schemas.openxmlformats.org/officeDocument/2006/relationships" r:embed="rId1334">
          <a:extLst>
            <a:ext uri="{28A0092B-C50C-407E-A947-70E740481C1C}">
              <a14:useLocalDpi xmlns:a14="http://schemas.microsoft.com/office/drawing/2010/main" val="0"/>
            </a:ext>
          </a:extLst>
        </a:blip>
        <a:srcRect/>
        <a:stretch>
          <a:fillRect/>
        </a:stretch>
      </xdr:blipFill>
      <xdr:spPr bwMode="auto">
        <a:xfrm>
          <a:off x="1228725" y="252574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1336</xdr:row>
      <xdr:rowOff>19050</xdr:rowOff>
    </xdr:from>
    <xdr:to>
      <xdr:col>2</xdr:col>
      <xdr:colOff>1733550</xdr:colOff>
      <xdr:row>1336</xdr:row>
      <xdr:rowOff>1666875</xdr:rowOff>
    </xdr:to>
    <xdr:pic>
      <xdr:nvPicPr>
        <xdr:cNvPr id="1336" name="Picture 1335"/>
        <xdr:cNvPicPr>
          <a:picLocks noChangeAspect="1" noChangeArrowheads="1"/>
        </xdr:cNvPicPr>
      </xdr:nvPicPr>
      <xdr:blipFill>
        <a:blip xmlns:r="http://schemas.openxmlformats.org/officeDocument/2006/relationships" r:embed="rId1335">
          <a:extLst>
            <a:ext uri="{28A0092B-C50C-407E-A947-70E740481C1C}">
              <a14:useLocalDpi xmlns:a14="http://schemas.microsoft.com/office/drawing/2010/main" val="0"/>
            </a:ext>
          </a:extLst>
        </a:blip>
        <a:srcRect/>
        <a:stretch>
          <a:fillRect/>
        </a:stretch>
      </xdr:blipFill>
      <xdr:spPr bwMode="auto">
        <a:xfrm>
          <a:off x="1228725" y="2527658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1337</xdr:row>
      <xdr:rowOff>19050</xdr:rowOff>
    </xdr:from>
    <xdr:to>
      <xdr:col>2</xdr:col>
      <xdr:colOff>1733550</xdr:colOff>
      <xdr:row>1337</xdr:row>
      <xdr:rowOff>1666875</xdr:rowOff>
    </xdr:to>
    <xdr:pic>
      <xdr:nvPicPr>
        <xdr:cNvPr id="1337" name="Picture 1336"/>
        <xdr:cNvPicPr>
          <a:picLocks noChangeAspect="1" noChangeArrowheads="1"/>
        </xdr:cNvPicPr>
      </xdr:nvPicPr>
      <xdr:blipFill>
        <a:blip xmlns:r="http://schemas.openxmlformats.org/officeDocument/2006/relationships" r:embed="rId1336">
          <a:extLst>
            <a:ext uri="{28A0092B-C50C-407E-A947-70E740481C1C}">
              <a14:useLocalDpi xmlns:a14="http://schemas.microsoft.com/office/drawing/2010/main" val="0"/>
            </a:ext>
          </a:extLst>
        </a:blip>
        <a:srcRect/>
        <a:stretch>
          <a:fillRect/>
        </a:stretch>
      </xdr:blipFill>
      <xdr:spPr bwMode="auto">
        <a:xfrm>
          <a:off x="1228725" y="2529573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1338</xdr:row>
      <xdr:rowOff>19050</xdr:rowOff>
    </xdr:from>
    <xdr:to>
      <xdr:col>2</xdr:col>
      <xdr:colOff>1733550</xdr:colOff>
      <xdr:row>1338</xdr:row>
      <xdr:rowOff>1666875</xdr:rowOff>
    </xdr:to>
    <xdr:pic>
      <xdr:nvPicPr>
        <xdr:cNvPr id="1338" name="Picture 1337"/>
        <xdr:cNvPicPr>
          <a:picLocks noChangeAspect="1" noChangeArrowheads="1"/>
        </xdr:cNvPicPr>
      </xdr:nvPicPr>
      <xdr:blipFill>
        <a:blip xmlns:r="http://schemas.openxmlformats.org/officeDocument/2006/relationships" r:embed="rId1337">
          <a:extLst>
            <a:ext uri="{28A0092B-C50C-407E-A947-70E740481C1C}">
              <a14:useLocalDpi xmlns:a14="http://schemas.microsoft.com/office/drawing/2010/main" val="0"/>
            </a:ext>
          </a:extLst>
        </a:blip>
        <a:srcRect/>
        <a:stretch>
          <a:fillRect/>
        </a:stretch>
      </xdr:blipFill>
      <xdr:spPr bwMode="auto">
        <a:xfrm>
          <a:off x="1228725" y="2531487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1339</xdr:row>
      <xdr:rowOff>19050</xdr:rowOff>
    </xdr:from>
    <xdr:to>
      <xdr:col>2</xdr:col>
      <xdr:colOff>1733550</xdr:colOff>
      <xdr:row>1339</xdr:row>
      <xdr:rowOff>1666875</xdr:rowOff>
    </xdr:to>
    <xdr:pic>
      <xdr:nvPicPr>
        <xdr:cNvPr id="1339" name="Picture 1338"/>
        <xdr:cNvPicPr>
          <a:picLocks noChangeAspect="1" noChangeArrowheads="1"/>
        </xdr:cNvPicPr>
      </xdr:nvPicPr>
      <xdr:blipFill>
        <a:blip xmlns:r="http://schemas.openxmlformats.org/officeDocument/2006/relationships" r:embed="rId1338">
          <a:extLst>
            <a:ext uri="{28A0092B-C50C-407E-A947-70E740481C1C}">
              <a14:useLocalDpi xmlns:a14="http://schemas.microsoft.com/office/drawing/2010/main" val="0"/>
            </a:ext>
          </a:extLst>
        </a:blip>
        <a:srcRect/>
        <a:stretch>
          <a:fillRect/>
        </a:stretch>
      </xdr:blipFill>
      <xdr:spPr bwMode="auto">
        <a:xfrm>
          <a:off x="1228725" y="2533402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1340</xdr:row>
      <xdr:rowOff>19050</xdr:rowOff>
    </xdr:from>
    <xdr:to>
      <xdr:col>2</xdr:col>
      <xdr:colOff>1733550</xdr:colOff>
      <xdr:row>1340</xdr:row>
      <xdr:rowOff>1666875</xdr:rowOff>
    </xdr:to>
    <xdr:pic>
      <xdr:nvPicPr>
        <xdr:cNvPr id="1340" name="Picture 1339"/>
        <xdr:cNvPicPr>
          <a:picLocks noChangeAspect="1" noChangeArrowheads="1"/>
        </xdr:cNvPicPr>
      </xdr:nvPicPr>
      <xdr:blipFill>
        <a:blip xmlns:r="http://schemas.openxmlformats.org/officeDocument/2006/relationships" r:embed="rId1339">
          <a:extLst>
            <a:ext uri="{28A0092B-C50C-407E-A947-70E740481C1C}">
              <a14:useLocalDpi xmlns:a14="http://schemas.microsoft.com/office/drawing/2010/main" val="0"/>
            </a:ext>
          </a:extLst>
        </a:blip>
        <a:srcRect/>
        <a:stretch>
          <a:fillRect/>
        </a:stretch>
      </xdr:blipFill>
      <xdr:spPr bwMode="auto">
        <a:xfrm>
          <a:off x="1228725" y="2535316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1341</xdr:row>
      <xdr:rowOff>19050</xdr:rowOff>
    </xdr:from>
    <xdr:to>
      <xdr:col>2</xdr:col>
      <xdr:colOff>1733550</xdr:colOff>
      <xdr:row>1341</xdr:row>
      <xdr:rowOff>1666875</xdr:rowOff>
    </xdr:to>
    <xdr:pic>
      <xdr:nvPicPr>
        <xdr:cNvPr id="1341" name="Picture 1340"/>
        <xdr:cNvPicPr>
          <a:picLocks noChangeAspect="1" noChangeArrowheads="1"/>
        </xdr:cNvPicPr>
      </xdr:nvPicPr>
      <xdr:blipFill>
        <a:blip xmlns:r="http://schemas.openxmlformats.org/officeDocument/2006/relationships" r:embed="rId1340">
          <a:extLst>
            <a:ext uri="{28A0092B-C50C-407E-A947-70E740481C1C}">
              <a14:useLocalDpi xmlns:a14="http://schemas.microsoft.com/office/drawing/2010/main" val="0"/>
            </a:ext>
          </a:extLst>
        </a:blip>
        <a:srcRect/>
        <a:stretch>
          <a:fillRect/>
        </a:stretch>
      </xdr:blipFill>
      <xdr:spPr bwMode="auto">
        <a:xfrm>
          <a:off x="1228725" y="2537231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1342</xdr:row>
      <xdr:rowOff>19050</xdr:rowOff>
    </xdr:from>
    <xdr:to>
      <xdr:col>2</xdr:col>
      <xdr:colOff>1733550</xdr:colOff>
      <xdr:row>1342</xdr:row>
      <xdr:rowOff>1666875</xdr:rowOff>
    </xdr:to>
    <xdr:pic>
      <xdr:nvPicPr>
        <xdr:cNvPr id="1342" name="Picture 1341"/>
        <xdr:cNvPicPr>
          <a:picLocks noChangeAspect="1" noChangeArrowheads="1"/>
        </xdr:cNvPicPr>
      </xdr:nvPicPr>
      <xdr:blipFill>
        <a:blip xmlns:r="http://schemas.openxmlformats.org/officeDocument/2006/relationships" r:embed="rId1341">
          <a:extLst>
            <a:ext uri="{28A0092B-C50C-407E-A947-70E740481C1C}">
              <a14:useLocalDpi xmlns:a14="http://schemas.microsoft.com/office/drawing/2010/main" val="0"/>
            </a:ext>
          </a:extLst>
        </a:blip>
        <a:srcRect/>
        <a:stretch>
          <a:fillRect/>
        </a:stretch>
      </xdr:blipFill>
      <xdr:spPr bwMode="auto">
        <a:xfrm>
          <a:off x="1228725" y="2539145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1343</xdr:row>
      <xdr:rowOff>19050</xdr:rowOff>
    </xdr:from>
    <xdr:to>
      <xdr:col>2</xdr:col>
      <xdr:colOff>1733550</xdr:colOff>
      <xdr:row>1343</xdr:row>
      <xdr:rowOff>1666875</xdr:rowOff>
    </xdr:to>
    <xdr:pic>
      <xdr:nvPicPr>
        <xdr:cNvPr id="1343" name="Picture 1342"/>
        <xdr:cNvPicPr>
          <a:picLocks noChangeAspect="1" noChangeArrowheads="1"/>
        </xdr:cNvPicPr>
      </xdr:nvPicPr>
      <xdr:blipFill>
        <a:blip xmlns:r="http://schemas.openxmlformats.org/officeDocument/2006/relationships" r:embed="rId1342">
          <a:extLst>
            <a:ext uri="{28A0092B-C50C-407E-A947-70E740481C1C}">
              <a14:useLocalDpi xmlns:a14="http://schemas.microsoft.com/office/drawing/2010/main" val="0"/>
            </a:ext>
          </a:extLst>
        </a:blip>
        <a:srcRect/>
        <a:stretch>
          <a:fillRect/>
        </a:stretch>
      </xdr:blipFill>
      <xdr:spPr bwMode="auto">
        <a:xfrm>
          <a:off x="1228725" y="2541060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1344</xdr:row>
      <xdr:rowOff>19050</xdr:rowOff>
    </xdr:from>
    <xdr:to>
      <xdr:col>2</xdr:col>
      <xdr:colOff>1733550</xdr:colOff>
      <xdr:row>1344</xdr:row>
      <xdr:rowOff>1666875</xdr:rowOff>
    </xdr:to>
    <xdr:pic>
      <xdr:nvPicPr>
        <xdr:cNvPr id="1344" name="Picture 1343"/>
        <xdr:cNvPicPr>
          <a:picLocks noChangeAspect="1" noChangeArrowheads="1"/>
        </xdr:cNvPicPr>
      </xdr:nvPicPr>
      <xdr:blipFill>
        <a:blip xmlns:r="http://schemas.openxmlformats.org/officeDocument/2006/relationships" r:embed="rId1343">
          <a:extLst>
            <a:ext uri="{28A0092B-C50C-407E-A947-70E740481C1C}">
              <a14:useLocalDpi xmlns:a14="http://schemas.microsoft.com/office/drawing/2010/main" val="0"/>
            </a:ext>
          </a:extLst>
        </a:blip>
        <a:srcRect/>
        <a:stretch>
          <a:fillRect/>
        </a:stretch>
      </xdr:blipFill>
      <xdr:spPr bwMode="auto">
        <a:xfrm>
          <a:off x="1228725" y="2542974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1345</xdr:row>
      <xdr:rowOff>19050</xdr:rowOff>
    </xdr:from>
    <xdr:to>
      <xdr:col>2</xdr:col>
      <xdr:colOff>1733550</xdr:colOff>
      <xdr:row>1345</xdr:row>
      <xdr:rowOff>1666875</xdr:rowOff>
    </xdr:to>
    <xdr:pic>
      <xdr:nvPicPr>
        <xdr:cNvPr id="1345" name="Picture 1344"/>
        <xdr:cNvPicPr>
          <a:picLocks noChangeAspect="1" noChangeArrowheads="1"/>
        </xdr:cNvPicPr>
      </xdr:nvPicPr>
      <xdr:blipFill>
        <a:blip xmlns:r="http://schemas.openxmlformats.org/officeDocument/2006/relationships" r:embed="rId1344">
          <a:extLst>
            <a:ext uri="{28A0092B-C50C-407E-A947-70E740481C1C}">
              <a14:useLocalDpi xmlns:a14="http://schemas.microsoft.com/office/drawing/2010/main" val="0"/>
            </a:ext>
          </a:extLst>
        </a:blip>
        <a:srcRect/>
        <a:stretch>
          <a:fillRect/>
        </a:stretch>
      </xdr:blipFill>
      <xdr:spPr bwMode="auto">
        <a:xfrm>
          <a:off x="1228725" y="2544889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1346</xdr:row>
      <xdr:rowOff>19050</xdr:rowOff>
    </xdr:from>
    <xdr:to>
      <xdr:col>2</xdr:col>
      <xdr:colOff>1733550</xdr:colOff>
      <xdr:row>1346</xdr:row>
      <xdr:rowOff>1666875</xdr:rowOff>
    </xdr:to>
    <xdr:pic>
      <xdr:nvPicPr>
        <xdr:cNvPr id="1346" name="Picture 1345"/>
        <xdr:cNvPicPr>
          <a:picLocks noChangeAspect="1" noChangeArrowheads="1"/>
        </xdr:cNvPicPr>
      </xdr:nvPicPr>
      <xdr:blipFill>
        <a:blip xmlns:r="http://schemas.openxmlformats.org/officeDocument/2006/relationships" r:embed="rId1345">
          <a:extLst>
            <a:ext uri="{28A0092B-C50C-407E-A947-70E740481C1C}">
              <a14:useLocalDpi xmlns:a14="http://schemas.microsoft.com/office/drawing/2010/main" val="0"/>
            </a:ext>
          </a:extLst>
        </a:blip>
        <a:srcRect/>
        <a:stretch>
          <a:fillRect/>
        </a:stretch>
      </xdr:blipFill>
      <xdr:spPr bwMode="auto">
        <a:xfrm>
          <a:off x="1228725" y="254680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1347</xdr:row>
      <xdr:rowOff>19050</xdr:rowOff>
    </xdr:from>
    <xdr:to>
      <xdr:col>2</xdr:col>
      <xdr:colOff>1733550</xdr:colOff>
      <xdr:row>1347</xdr:row>
      <xdr:rowOff>1666875</xdr:rowOff>
    </xdr:to>
    <xdr:pic>
      <xdr:nvPicPr>
        <xdr:cNvPr id="1347" name="Picture 1346"/>
        <xdr:cNvPicPr>
          <a:picLocks noChangeAspect="1" noChangeArrowheads="1"/>
        </xdr:cNvPicPr>
      </xdr:nvPicPr>
      <xdr:blipFill>
        <a:blip xmlns:r="http://schemas.openxmlformats.org/officeDocument/2006/relationships" r:embed="rId1346">
          <a:extLst>
            <a:ext uri="{28A0092B-C50C-407E-A947-70E740481C1C}">
              <a14:useLocalDpi xmlns:a14="http://schemas.microsoft.com/office/drawing/2010/main" val="0"/>
            </a:ext>
          </a:extLst>
        </a:blip>
        <a:srcRect/>
        <a:stretch>
          <a:fillRect/>
        </a:stretch>
      </xdr:blipFill>
      <xdr:spPr bwMode="auto">
        <a:xfrm>
          <a:off x="1228725" y="254871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1348</xdr:row>
      <xdr:rowOff>19050</xdr:rowOff>
    </xdr:from>
    <xdr:to>
      <xdr:col>2</xdr:col>
      <xdr:colOff>1733550</xdr:colOff>
      <xdr:row>1348</xdr:row>
      <xdr:rowOff>1666875</xdr:rowOff>
    </xdr:to>
    <xdr:pic>
      <xdr:nvPicPr>
        <xdr:cNvPr id="1348" name="Picture 1347"/>
        <xdr:cNvPicPr>
          <a:picLocks noChangeAspect="1" noChangeArrowheads="1"/>
        </xdr:cNvPicPr>
      </xdr:nvPicPr>
      <xdr:blipFill>
        <a:blip xmlns:r="http://schemas.openxmlformats.org/officeDocument/2006/relationships" r:embed="rId1347">
          <a:extLst>
            <a:ext uri="{28A0092B-C50C-407E-A947-70E740481C1C}">
              <a14:useLocalDpi xmlns:a14="http://schemas.microsoft.com/office/drawing/2010/main" val="0"/>
            </a:ext>
          </a:extLst>
        </a:blip>
        <a:srcRect/>
        <a:stretch>
          <a:fillRect/>
        </a:stretch>
      </xdr:blipFill>
      <xdr:spPr bwMode="auto">
        <a:xfrm>
          <a:off x="1228725" y="2550633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1349</xdr:row>
      <xdr:rowOff>19050</xdr:rowOff>
    </xdr:from>
    <xdr:to>
      <xdr:col>2</xdr:col>
      <xdr:colOff>1733550</xdr:colOff>
      <xdr:row>1349</xdr:row>
      <xdr:rowOff>1666875</xdr:rowOff>
    </xdr:to>
    <xdr:pic>
      <xdr:nvPicPr>
        <xdr:cNvPr id="1349" name="Picture 1348"/>
        <xdr:cNvPicPr>
          <a:picLocks noChangeAspect="1" noChangeArrowheads="1"/>
        </xdr:cNvPicPr>
      </xdr:nvPicPr>
      <xdr:blipFill>
        <a:blip xmlns:r="http://schemas.openxmlformats.org/officeDocument/2006/relationships" r:embed="rId1348">
          <a:extLst>
            <a:ext uri="{28A0092B-C50C-407E-A947-70E740481C1C}">
              <a14:useLocalDpi xmlns:a14="http://schemas.microsoft.com/office/drawing/2010/main" val="0"/>
            </a:ext>
          </a:extLst>
        </a:blip>
        <a:srcRect/>
        <a:stretch>
          <a:fillRect/>
        </a:stretch>
      </xdr:blipFill>
      <xdr:spPr bwMode="auto">
        <a:xfrm>
          <a:off x="1228725" y="2552547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1350</xdr:row>
      <xdr:rowOff>19050</xdr:rowOff>
    </xdr:from>
    <xdr:to>
      <xdr:col>2</xdr:col>
      <xdr:colOff>1733550</xdr:colOff>
      <xdr:row>1350</xdr:row>
      <xdr:rowOff>1666875</xdr:rowOff>
    </xdr:to>
    <xdr:pic>
      <xdr:nvPicPr>
        <xdr:cNvPr id="1350" name="Picture 1349"/>
        <xdr:cNvPicPr>
          <a:picLocks noChangeAspect="1" noChangeArrowheads="1"/>
        </xdr:cNvPicPr>
      </xdr:nvPicPr>
      <xdr:blipFill>
        <a:blip xmlns:r="http://schemas.openxmlformats.org/officeDocument/2006/relationships" r:embed="rId1349">
          <a:extLst>
            <a:ext uri="{28A0092B-C50C-407E-A947-70E740481C1C}">
              <a14:useLocalDpi xmlns:a14="http://schemas.microsoft.com/office/drawing/2010/main" val="0"/>
            </a:ext>
          </a:extLst>
        </a:blip>
        <a:srcRect/>
        <a:stretch>
          <a:fillRect/>
        </a:stretch>
      </xdr:blipFill>
      <xdr:spPr bwMode="auto">
        <a:xfrm>
          <a:off x="1228725" y="2554462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1351</xdr:row>
      <xdr:rowOff>19050</xdr:rowOff>
    </xdr:from>
    <xdr:to>
      <xdr:col>2</xdr:col>
      <xdr:colOff>1733550</xdr:colOff>
      <xdr:row>1351</xdr:row>
      <xdr:rowOff>1666875</xdr:rowOff>
    </xdr:to>
    <xdr:pic>
      <xdr:nvPicPr>
        <xdr:cNvPr id="1351" name="Picture 1350"/>
        <xdr:cNvPicPr>
          <a:picLocks noChangeAspect="1" noChangeArrowheads="1"/>
        </xdr:cNvPicPr>
      </xdr:nvPicPr>
      <xdr:blipFill>
        <a:blip xmlns:r="http://schemas.openxmlformats.org/officeDocument/2006/relationships" r:embed="rId1350">
          <a:extLst>
            <a:ext uri="{28A0092B-C50C-407E-A947-70E740481C1C}">
              <a14:useLocalDpi xmlns:a14="http://schemas.microsoft.com/office/drawing/2010/main" val="0"/>
            </a:ext>
          </a:extLst>
        </a:blip>
        <a:srcRect/>
        <a:stretch>
          <a:fillRect/>
        </a:stretch>
      </xdr:blipFill>
      <xdr:spPr bwMode="auto">
        <a:xfrm>
          <a:off x="1228725" y="2556376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1352</xdr:row>
      <xdr:rowOff>19050</xdr:rowOff>
    </xdr:from>
    <xdr:to>
      <xdr:col>2</xdr:col>
      <xdr:colOff>1733550</xdr:colOff>
      <xdr:row>1352</xdr:row>
      <xdr:rowOff>1666875</xdr:rowOff>
    </xdr:to>
    <xdr:pic>
      <xdr:nvPicPr>
        <xdr:cNvPr id="1352" name="Picture 1351"/>
        <xdr:cNvPicPr>
          <a:picLocks noChangeAspect="1" noChangeArrowheads="1"/>
        </xdr:cNvPicPr>
      </xdr:nvPicPr>
      <xdr:blipFill>
        <a:blip xmlns:r="http://schemas.openxmlformats.org/officeDocument/2006/relationships" r:embed="rId1351">
          <a:extLst>
            <a:ext uri="{28A0092B-C50C-407E-A947-70E740481C1C}">
              <a14:useLocalDpi xmlns:a14="http://schemas.microsoft.com/office/drawing/2010/main" val="0"/>
            </a:ext>
          </a:extLst>
        </a:blip>
        <a:srcRect/>
        <a:stretch>
          <a:fillRect/>
        </a:stretch>
      </xdr:blipFill>
      <xdr:spPr bwMode="auto">
        <a:xfrm>
          <a:off x="1228725" y="2558291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1353</xdr:row>
      <xdr:rowOff>19050</xdr:rowOff>
    </xdr:from>
    <xdr:to>
      <xdr:col>2</xdr:col>
      <xdr:colOff>1733550</xdr:colOff>
      <xdr:row>1353</xdr:row>
      <xdr:rowOff>1666875</xdr:rowOff>
    </xdr:to>
    <xdr:pic>
      <xdr:nvPicPr>
        <xdr:cNvPr id="1353" name="Picture 1352"/>
        <xdr:cNvPicPr>
          <a:picLocks noChangeAspect="1" noChangeArrowheads="1"/>
        </xdr:cNvPicPr>
      </xdr:nvPicPr>
      <xdr:blipFill>
        <a:blip xmlns:r="http://schemas.openxmlformats.org/officeDocument/2006/relationships" r:embed="rId1352">
          <a:extLst>
            <a:ext uri="{28A0092B-C50C-407E-A947-70E740481C1C}">
              <a14:useLocalDpi xmlns:a14="http://schemas.microsoft.com/office/drawing/2010/main" val="0"/>
            </a:ext>
          </a:extLst>
        </a:blip>
        <a:srcRect/>
        <a:stretch>
          <a:fillRect/>
        </a:stretch>
      </xdr:blipFill>
      <xdr:spPr bwMode="auto">
        <a:xfrm>
          <a:off x="1228725" y="2560205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1354</xdr:row>
      <xdr:rowOff>19050</xdr:rowOff>
    </xdr:from>
    <xdr:to>
      <xdr:col>2</xdr:col>
      <xdr:colOff>1733550</xdr:colOff>
      <xdr:row>1354</xdr:row>
      <xdr:rowOff>1666875</xdr:rowOff>
    </xdr:to>
    <xdr:pic>
      <xdr:nvPicPr>
        <xdr:cNvPr id="1354" name="Picture 1353"/>
        <xdr:cNvPicPr>
          <a:picLocks noChangeAspect="1" noChangeArrowheads="1"/>
        </xdr:cNvPicPr>
      </xdr:nvPicPr>
      <xdr:blipFill>
        <a:blip xmlns:r="http://schemas.openxmlformats.org/officeDocument/2006/relationships" r:embed="rId1353">
          <a:extLst>
            <a:ext uri="{28A0092B-C50C-407E-A947-70E740481C1C}">
              <a14:useLocalDpi xmlns:a14="http://schemas.microsoft.com/office/drawing/2010/main" val="0"/>
            </a:ext>
          </a:extLst>
        </a:blip>
        <a:srcRect/>
        <a:stretch>
          <a:fillRect/>
        </a:stretch>
      </xdr:blipFill>
      <xdr:spPr bwMode="auto">
        <a:xfrm>
          <a:off x="1228725" y="2562120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1355</xdr:row>
      <xdr:rowOff>19050</xdr:rowOff>
    </xdr:from>
    <xdr:to>
      <xdr:col>2</xdr:col>
      <xdr:colOff>1733550</xdr:colOff>
      <xdr:row>1355</xdr:row>
      <xdr:rowOff>1666875</xdr:rowOff>
    </xdr:to>
    <xdr:pic>
      <xdr:nvPicPr>
        <xdr:cNvPr id="1355" name="Picture 1354"/>
        <xdr:cNvPicPr>
          <a:picLocks noChangeAspect="1" noChangeArrowheads="1"/>
        </xdr:cNvPicPr>
      </xdr:nvPicPr>
      <xdr:blipFill>
        <a:blip xmlns:r="http://schemas.openxmlformats.org/officeDocument/2006/relationships" r:embed="rId1354">
          <a:extLst>
            <a:ext uri="{28A0092B-C50C-407E-A947-70E740481C1C}">
              <a14:useLocalDpi xmlns:a14="http://schemas.microsoft.com/office/drawing/2010/main" val="0"/>
            </a:ext>
          </a:extLst>
        </a:blip>
        <a:srcRect/>
        <a:stretch>
          <a:fillRect/>
        </a:stretch>
      </xdr:blipFill>
      <xdr:spPr bwMode="auto">
        <a:xfrm>
          <a:off x="1228725" y="2564034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1356</xdr:row>
      <xdr:rowOff>19050</xdr:rowOff>
    </xdr:from>
    <xdr:to>
      <xdr:col>2</xdr:col>
      <xdr:colOff>1733550</xdr:colOff>
      <xdr:row>1356</xdr:row>
      <xdr:rowOff>1666875</xdr:rowOff>
    </xdr:to>
    <xdr:pic>
      <xdr:nvPicPr>
        <xdr:cNvPr id="1356" name="Picture 1355"/>
        <xdr:cNvPicPr>
          <a:picLocks noChangeAspect="1" noChangeArrowheads="1"/>
        </xdr:cNvPicPr>
      </xdr:nvPicPr>
      <xdr:blipFill>
        <a:blip xmlns:r="http://schemas.openxmlformats.org/officeDocument/2006/relationships" r:embed="rId1355">
          <a:extLst>
            <a:ext uri="{28A0092B-C50C-407E-A947-70E740481C1C}">
              <a14:useLocalDpi xmlns:a14="http://schemas.microsoft.com/office/drawing/2010/main" val="0"/>
            </a:ext>
          </a:extLst>
        </a:blip>
        <a:srcRect/>
        <a:stretch>
          <a:fillRect/>
        </a:stretch>
      </xdr:blipFill>
      <xdr:spPr bwMode="auto">
        <a:xfrm>
          <a:off x="1228725" y="2565949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1357</xdr:row>
      <xdr:rowOff>19050</xdr:rowOff>
    </xdr:from>
    <xdr:to>
      <xdr:col>2</xdr:col>
      <xdr:colOff>1733550</xdr:colOff>
      <xdr:row>1357</xdr:row>
      <xdr:rowOff>1666875</xdr:rowOff>
    </xdr:to>
    <xdr:pic>
      <xdr:nvPicPr>
        <xdr:cNvPr id="1357" name="Picture 1356"/>
        <xdr:cNvPicPr>
          <a:picLocks noChangeAspect="1" noChangeArrowheads="1"/>
        </xdr:cNvPicPr>
      </xdr:nvPicPr>
      <xdr:blipFill>
        <a:blip xmlns:r="http://schemas.openxmlformats.org/officeDocument/2006/relationships" r:embed="rId1356">
          <a:extLst>
            <a:ext uri="{28A0092B-C50C-407E-A947-70E740481C1C}">
              <a14:useLocalDpi xmlns:a14="http://schemas.microsoft.com/office/drawing/2010/main" val="0"/>
            </a:ext>
          </a:extLst>
        </a:blip>
        <a:srcRect/>
        <a:stretch>
          <a:fillRect/>
        </a:stretch>
      </xdr:blipFill>
      <xdr:spPr bwMode="auto">
        <a:xfrm>
          <a:off x="1228725" y="2567863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1358</xdr:row>
      <xdr:rowOff>19050</xdr:rowOff>
    </xdr:from>
    <xdr:to>
      <xdr:col>2</xdr:col>
      <xdr:colOff>1733550</xdr:colOff>
      <xdr:row>1358</xdr:row>
      <xdr:rowOff>1666875</xdr:rowOff>
    </xdr:to>
    <xdr:pic>
      <xdr:nvPicPr>
        <xdr:cNvPr id="1358" name="Picture 1357"/>
        <xdr:cNvPicPr>
          <a:picLocks noChangeAspect="1" noChangeArrowheads="1"/>
        </xdr:cNvPicPr>
      </xdr:nvPicPr>
      <xdr:blipFill>
        <a:blip xmlns:r="http://schemas.openxmlformats.org/officeDocument/2006/relationships" r:embed="rId1357">
          <a:extLst>
            <a:ext uri="{28A0092B-C50C-407E-A947-70E740481C1C}">
              <a14:useLocalDpi xmlns:a14="http://schemas.microsoft.com/office/drawing/2010/main" val="0"/>
            </a:ext>
          </a:extLst>
        </a:blip>
        <a:srcRect/>
        <a:stretch>
          <a:fillRect/>
        </a:stretch>
      </xdr:blipFill>
      <xdr:spPr bwMode="auto">
        <a:xfrm>
          <a:off x="1228725" y="2569778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1359</xdr:row>
      <xdr:rowOff>19050</xdr:rowOff>
    </xdr:from>
    <xdr:to>
      <xdr:col>2</xdr:col>
      <xdr:colOff>1733550</xdr:colOff>
      <xdr:row>1359</xdr:row>
      <xdr:rowOff>1666875</xdr:rowOff>
    </xdr:to>
    <xdr:pic>
      <xdr:nvPicPr>
        <xdr:cNvPr id="1359" name="Picture 1358"/>
        <xdr:cNvPicPr>
          <a:picLocks noChangeAspect="1" noChangeArrowheads="1"/>
        </xdr:cNvPicPr>
      </xdr:nvPicPr>
      <xdr:blipFill>
        <a:blip xmlns:r="http://schemas.openxmlformats.org/officeDocument/2006/relationships" r:embed="rId1358">
          <a:extLst>
            <a:ext uri="{28A0092B-C50C-407E-A947-70E740481C1C}">
              <a14:useLocalDpi xmlns:a14="http://schemas.microsoft.com/office/drawing/2010/main" val="0"/>
            </a:ext>
          </a:extLst>
        </a:blip>
        <a:srcRect/>
        <a:stretch>
          <a:fillRect/>
        </a:stretch>
      </xdr:blipFill>
      <xdr:spPr bwMode="auto">
        <a:xfrm>
          <a:off x="1228725" y="2571692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1360</xdr:row>
      <xdr:rowOff>19050</xdr:rowOff>
    </xdr:from>
    <xdr:to>
      <xdr:col>2</xdr:col>
      <xdr:colOff>1733550</xdr:colOff>
      <xdr:row>1360</xdr:row>
      <xdr:rowOff>1666875</xdr:rowOff>
    </xdr:to>
    <xdr:pic>
      <xdr:nvPicPr>
        <xdr:cNvPr id="1360" name="Picture 1359"/>
        <xdr:cNvPicPr>
          <a:picLocks noChangeAspect="1" noChangeArrowheads="1"/>
        </xdr:cNvPicPr>
      </xdr:nvPicPr>
      <xdr:blipFill>
        <a:blip xmlns:r="http://schemas.openxmlformats.org/officeDocument/2006/relationships" r:embed="rId1359">
          <a:extLst>
            <a:ext uri="{28A0092B-C50C-407E-A947-70E740481C1C}">
              <a14:useLocalDpi xmlns:a14="http://schemas.microsoft.com/office/drawing/2010/main" val="0"/>
            </a:ext>
          </a:extLst>
        </a:blip>
        <a:srcRect/>
        <a:stretch>
          <a:fillRect/>
        </a:stretch>
      </xdr:blipFill>
      <xdr:spPr bwMode="auto">
        <a:xfrm>
          <a:off x="1228725" y="2573607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1361</xdr:row>
      <xdr:rowOff>19050</xdr:rowOff>
    </xdr:from>
    <xdr:to>
      <xdr:col>2</xdr:col>
      <xdr:colOff>1733550</xdr:colOff>
      <xdr:row>1361</xdr:row>
      <xdr:rowOff>1666875</xdr:rowOff>
    </xdr:to>
    <xdr:pic>
      <xdr:nvPicPr>
        <xdr:cNvPr id="1361" name="Picture 1360"/>
        <xdr:cNvPicPr>
          <a:picLocks noChangeAspect="1" noChangeArrowheads="1"/>
        </xdr:cNvPicPr>
      </xdr:nvPicPr>
      <xdr:blipFill>
        <a:blip xmlns:r="http://schemas.openxmlformats.org/officeDocument/2006/relationships" r:embed="rId1360">
          <a:extLst>
            <a:ext uri="{28A0092B-C50C-407E-A947-70E740481C1C}">
              <a14:useLocalDpi xmlns:a14="http://schemas.microsoft.com/office/drawing/2010/main" val="0"/>
            </a:ext>
          </a:extLst>
        </a:blip>
        <a:srcRect/>
        <a:stretch>
          <a:fillRect/>
        </a:stretch>
      </xdr:blipFill>
      <xdr:spPr bwMode="auto">
        <a:xfrm>
          <a:off x="1228725" y="2575521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1362</xdr:row>
      <xdr:rowOff>19050</xdr:rowOff>
    </xdr:from>
    <xdr:to>
      <xdr:col>2</xdr:col>
      <xdr:colOff>1733550</xdr:colOff>
      <xdr:row>1362</xdr:row>
      <xdr:rowOff>1666875</xdr:rowOff>
    </xdr:to>
    <xdr:pic>
      <xdr:nvPicPr>
        <xdr:cNvPr id="1362" name="Picture 1361"/>
        <xdr:cNvPicPr>
          <a:picLocks noChangeAspect="1" noChangeArrowheads="1"/>
        </xdr:cNvPicPr>
      </xdr:nvPicPr>
      <xdr:blipFill>
        <a:blip xmlns:r="http://schemas.openxmlformats.org/officeDocument/2006/relationships" r:embed="rId1361">
          <a:extLst>
            <a:ext uri="{28A0092B-C50C-407E-A947-70E740481C1C}">
              <a14:useLocalDpi xmlns:a14="http://schemas.microsoft.com/office/drawing/2010/main" val="0"/>
            </a:ext>
          </a:extLst>
        </a:blip>
        <a:srcRect/>
        <a:stretch>
          <a:fillRect/>
        </a:stretch>
      </xdr:blipFill>
      <xdr:spPr bwMode="auto">
        <a:xfrm>
          <a:off x="1228725" y="2577436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1363</xdr:row>
      <xdr:rowOff>19050</xdr:rowOff>
    </xdr:from>
    <xdr:to>
      <xdr:col>2</xdr:col>
      <xdr:colOff>1733550</xdr:colOff>
      <xdr:row>1363</xdr:row>
      <xdr:rowOff>1666875</xdr:rowOff>
    </xdr:to>
    <xdr:pic>
      <xdr:nvPicPr>
        <xdr:cNvPr id="1363" name="Picture 1362"/>
        <xdr:cNvPicPr>
          <a:picLocks noChangeAspect="1" noChangeArrowheads="1"/>
        </xdr:cNvPicPr>
      </xdr:nvPicPr>
      <xdr:blipFill>
        <a:blip xmlns:r="http://schemas.openxmlformats.org/officeDocument/2006/relationships" r:embed="rId1362">
          <a:extLst>
            <a:ext uri="{28A0092B-C50C-407E-A947-70E740481C1C}">
              <a14:useLocalDpi xmlns:a14="http://schemas.microsoft.com/office/drawing/2010/main" val="0"/>
            </a:ext>
          </a:extLst>
        </a:blip>
        <a:srcRect/>
        <a:stretch>
          <a:fillRect/>
        </a:stretch>
      </xdr:blipFill>
      <xdr:spPr bwMode="auto">
        <a:xfrm>
          <a:off x="1228725" y="2579350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1364</xdr:row>
      <xdr:rowOff>19050</xdr:rowOff>
    </xdr:from>
    <xdr:to>
      <xdr:col>2</xdr:col>
      <xdr:colOff>1733550</xdr:colOff>
      <xdr:row>1364</xdr:row>
      <xdr:rowOff>1666875</xdr:rowOff>
    </xdr:to>
    <xdr:pic>
      <xdr:nvPicPr>
        <xdr:cNvPr id="1364" name="Picture 1363"/>
        <xdr:cNvPicPr>
          <a:picLocks noChangeAspect="1" noChangeArrowheads="1"/>
        </xdr:cNvPicPr>
      </xdr:nvPicPr>
      <xdr:blipFill>
        <a:blip xmlns:r="http://schemas.openxmlformats.org/officeDocument/2006/relationships" r:embed="rId1363">
          <a:extLst>
            <a:ext uri="{28A0092B-C50C-407E-A947-70E740481C1C}">
              <a14:useLocalDpi xmlns:a14="http://schemas.microsoft.com/office/drawing/2010/main" val="0"/>
            </a:ext>
          </a:extLst>
        </a:blip>
        <a:srcRect/>
        <a:stretch>
          <a:fillRect/>
        </a:stretch>
      </xdr:blipFill>
      <xdr:spPr bwMode="auto">
        <a:xfrm>
          <a:off x="1228725" y="258126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1365</xdr:row>
      <xdr:rowOff>19050</xdr:rowOff>
    </xdr:from>
    <xdr:to>
      <xdr:col>2</xdr:col>
      <xdr:colOff>1733550</xdr:colOff>
      <xdr:row>1365</xdr:row>
      <xdr:rowOff>1666875</xdr:rowOff>
    </xdr:to>
    <xdr:pic>
      <xdr:nvPicPr>
        <xdr:cNvPr id="1365" name="Picture 1364"/>
        <xdr:cNvPicPr>
          <a:picLocks noChangeAspect="1" noChangeArrowheads="1"/>
        </xdr:cNvPicPr>
      </xdr:nvPicPr>
      <xdr:blipFill>
        <a:blip xmlns:r="http://schemas.openxmlformats.org/officeDocument/2006/relationships" r:embed="rId1364">
          <a:extLst>
            <a:ext uri="{28A0092B-C50C-407E-A947-70E740481C1C}">
              <a14:useLocalDpi xmlns:a14="http://schemas.microsoft.com/office/drawing/2010/main" val="0"/>
            </a:ext>
          </a:extLst>
        </a:blip>
        <a:srcRect/>
        <a:stretch>
          <a:fillRect/>
        </a:stretch>
      </xdr:blipFill>
      <xdr:spPr bwMode="auto">
        <a:xfrm>
          <a:off x="1228725" y="2583180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1366</xdr:row>
      <xdr:rowOff>19050</xdr:rowOff>
    </xdr:from>
    <xdr:to>
      <xdr:col>2</xdr:col>
      <xdr:colOff>1733550</xdr:colOff>
      <xdr:row>1366</xdr:row>
      <xdr:rowOff>1666875</xdr:rowOff>
    </xdr:to>
    <xdr:pic>
      <xdr:nvPicPr>
        <xdr:cNvPr id="1366" name="Picture 1365"/>
        <xdr:cNvPicPr>
          <a:picLocks noChangeAspect="1" noChangeArrowheads="1"/>
        </xdr:cNvPicPr>
      </xdr:nvPicPr>
      <xdr:blipFill>
        <a:blip xmlns:r="http://schemas.openxmlformats.org/officeDocument/2006/relationships" r:embed="rId1365">
          <a:extLst>
            <a:ext uri="{28A0092B-C50C-407E-A947-70E740481C1C}">
              <a14:useLocalDpi xmlns:a14="http://schemas.microsoft.com/office/drawing/2010/main" val="0"/>
            </a:ext>
          </a:extLst>
        </a:blip>
        <a:srcRect/>
        <a:stretch>
          <a:fillRect/>
        </a:stretch>
      </xdr:blipFill>
      <xdr:spPr bwMode="auto">
        <a:xfrm>
          <a:off x="1228725" y="2585094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1367</xdr:row>
      <xdr:rowOff>19050</xdr:rowOff>
    </xdr:from>
    <xdr:to>
      <xdr:col>2</xdr:col>
      <xdr:colOff>1733550</xdr:colOff>
      <xdr:row>1367</xdr:row>
      <xdr:rowOff>1666875</xdr:rowOff>
    </xdr:to>
    <xdr:pic>
      <xdr:nvPicPr>
        <xdr:cNvPr id="1367" name="Picture 1366"/>
        <xdr:cNvPicPr>
          <a:picLocks noChangeAspect="1" noChangeArrowheads="1"/>
        </xdr:cNvPicPr>
      </xdr:nvPicPr>
      <xdr:blipFill>
        <a:blip xmlns:r="http://schemas.openxmlformats.org/officeDocument/2006/relationships" r:embed="rId1366">
          <a:extLst>
            <a:ext uri="{28A0092B-C50C-407E-A947-70E740481C1C}">
              <a14:useLocalDpi xmlns:a14="http://schemas.microsoft.com/office/drawing/2010/main" val="0"/>
            </a:ext>
          </a:extLst>
        </a:blip>
        <a:srcRect/>
        <a:stretch>
          <a:fillRect/>
        </a:stretch>
      </xdr:blipFill>
      <xdr:spPr bwMode="auto">
        <a:xfrm>
          <a:off x="1228725" y="2587009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1368</xdr:row>
      <xdr:rowOff>19050</xdr:rowOff>
    </xdr:from>
    <xdr:to>
      <xdr:col>2</xdr:col>
      <xdr:colOff>1733550</xdr:colOff>
      <xdr:row>1368</xdr:row>
      <xdr:rowOff>1666875</xdr:rowOff>
    </xdr:to>
    <xdr:pic>
      <xdr:nvPicPr>
        <xdr:cNvPr id="1368" name="Picture 1367"/>
        <xdr:cNvPicPr>
          <a:picLocks noChangeAspect="1" noChangeArrowheads="1"/>
        </xdr:cNvPicPr>
      </xdr:nvPicPr>
      <xdr:blipFill>
        <a:blip xmlns:r="http://schemas.openxmlformats.org/officeDocument/2006/relationships" r:embed="rId1367">
          <a:extLst>
            <a:ext uri="{28A0092B-C50C-407E-A947-70E740481C1C}">
              <a14:useLocalDpi xmlns:a14="http://schemas.microsoft.com/office/drawing/2010/main" val="0"/>
            </a:ext>
          </a:extLst>
        </a:blip>
        <a:srcRect/>
        <a:stretch>
          <a:fillRect/>
        </a:stretch>
      </xdr:blipFill>
      <xdr:spPr bwMode="auto">
        <a:xfrm>
          <a:off x="1228725" y="2588923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1369</xdr:row>
      <xdr:rowOff>19050</xdr:rowOff>
    </xdr:from>
    <xdr:to>
      <xdr:col>2</xdr:col>
      <xdr:colOff>1733550</xdr:colOff>
      <xdr:row>1369</xdr:row>
      <xdr:rowOff>1666875</xdr:rowOff>
    </xdr:to>
    <xdr:pic>
      <xdr:nvPicPr>
        <xdr:cNvPr id="1369" name="Picture 1368"/>
        <xdr:cNvPicPr>
          <a:picLocks noChangeAspect="1" noChangeArrowheads="1"/>
        </xdr:cNvPicPr>
      </xdr:nvPicPr>
      <xdr:blipFill>
        <a:blip xmlns:r="http://schemas.openxmlformats.org/officeDocument/2006/relationships" r:embed="rId1368">
          <a:extLst>
            <a:ext uri="{28A0092B-C50C-407E-A947-70E740481C1C}">
              <a14:useLocalDpi xmlns:a14="http://schemas.microsoft.com/office/drawing/2010/main" val="0"/>
            </a:ext>
          </a:extLst>
        </a:blip>
        <a:srcRect/>
        <a:stretch>
          <a:fillRect/>
        </a:stretch>
      </xdr:blipFill>
      <xdr:spPr bwMode="auto">
        <a:xfrm>
          <a:off x="1228725" y="2590838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1370</xdr:row>
      <xdr:rowOff>19050</xdr:rowOff>
    </xdr:from>
    <xdr:to>
      <xdr:col>2</xdr:col>
      <xdr:colOff>1733550</xdr:colOff>
      <xdr:row>1370</xdr:row>
      <xdr:rowOff>1666875</xdr:rowOff>
    </xdr:to>
    <xdr:pic>
      <xdr:nvPicPr>
        <xdr:cNvPr id="1370" name="Picture 1369"/>
        <xdr:cNvPicPr>
          <a:picLocks noChangeAspect="1" noChangeArrowheads="1"/>
        </xdr:cNvPicPr>
      </xdr:nvPicPr>
      <xdr:blipFill>
        <a:blip xmlns:r="http://schemas.openxmlformats.org/officeDocument/2006/relationships" r:embed="rId1369">
          <a:extLst>
            <a:ext uri="{28A0092B-C50C-407E-A947-70E740481C1C}">
              <a14:useLocalDpi xmlns:a14="http://schemas.microsoft.com/office/drawing/2010/main" val="0"/>
            </a:ext>
          </a:extLst>
        </a:blip>
        <a:srcRect/>
        <a:stretch>
          <a:fillRect/>
        </a:stretch>
      </xdr:blipFill>
      <xdr:spPr bwMode="auto">
        <a:xfrm>
          <a:off x="1228725" y="2592752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1371</xdr:row>
      <xdr:rowOff>19050</xdr:rowOff>
    </xdr:from>
    <xdr:to>
      <xdr:col>2</xdr:col>
      <xdr:colOff>1733550</xdr:colOff>
      <xdr:row>1371</xdr:row>
      <xdr:rowOff>1666875</xdr:rowOff>
    </xdr:to>
    <xdr:pic>
      <xdr:nvPicPr>
        <xdr:cNvPr id="1371" name="Picture 1370"/>
        <xdr:cNvPicPr>
          <a:picLocks noChangeAspect="1" noChangeArrowheads="1"/>
        </xdr:cNvPicPr>
      </xdr:nvPicPr>
      <xdr:blipFill>
        <a:blip xmlns:r="http://schemas.openxmlformats.org/officeDocument/2006/relationships" r:embed="rId1370">
          <a:extLst>
            <a:ext uri="{28A0092B-C50C-407E-A947-70E740481C1C}">
              <a14:useLocalDpi xmlns:a14="http://schemas.microsoft.com/office/drawing/2010/main" val="0"/>
            </a:ext>
          </a:extLst>
        </a:blip>
        <a:srcRect/>
        <a:stretch>
          <a:fillRect/>
        </a:stretch>
      </xdr:blipFill>
      <xdr:spPr bwMode="auto">
        <a:xfrm>
          <a:off x="1228725" y="2594667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1372</xdr:row>
      <xdr:rowOff>19050</xdr:rowOff>
    </xdr:from>
    <xdr:to>
      <xdr:col>2</xdr:col>
      <xdr:colOff>1733550</xdr:colOff>
      <xdr:row>1372</xdr:row>
      <xdr:rowOff>1666875</xdr:rowOff>
    </xdr:to>
    <xdr:pic>
      <xdr:nvPicPr>
        <xdr:cNvPr id="1372" name="Picture 1371"/>
        <xdr:cNvPicPr>
          <a:picLocks noChangeAspect="1" noChangeArrowheads="1"/>
        </xdr:cNvPicPr>
      </xdr:nvPicPr>
      <xdr:blipFill>
        <a:blip xmlns:r="http://schemas.openxmlformats.org/officeDocument/2006/relationships" r:embed="rId1371">
          <a:extLst>
            <a:ext uri="{28A0092B-C50C-407E-A947-70E740481C1C}">
              <a14:useLocalDpi xmlns:a14="http://schemas.microsoft.com/office/drawing/2010/main" val="0"/>
            </a:ext>
          </a:extLst>
        </a:blip>
        <a:srcRect/>
        <a:stretch>
          <a:fillRect/>
        </a:stretch>
      </xdr:blipFill>
      <xdr:spPr bwMode="auto">
        <a:xfrm>
          <a:off x="1228725" y="2596581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1373</xdr:row>
      <xdr:rowOff>19050</xdr:rowOff>
    </xdr:from>
    <xdr:to>
      <xdr:col>2</xdr:col>
      <xdr:colOff>1733550</xdr:colOff>
      <xdr:row>1373</xdr:row>
      <xdr:rowOff>1666875</xdr:rowOff>
    </xdr:to>
    <xdr:pic>
      <xdr:nvPicPr>
        <xdr:cNvPr id="1373" name="Picture 1372"/>
        <xdr:cNvPicPr>
          <a:picLocks noChangeAspect="1" noChangeArrowheads="1"/>
        </xdr:cNvPicPr>
      </xdr:nvPicPr>
      <xdr:blipFill>
        <a:blip xmlns:r="http://schemas.openxmlformats.org/officeDocument/2006/relationships" r:embed="rId1372">
          <a:extLst>
            <a:ext uri="{28A0092B-C50C-407E-A947-70E740481C1C}">
              <a14:useLocalDpi xmlns:a14="http://schemas.microsoft.com/office/drawing/2010/main" val="0"/>
            </a:ext>
          </a:extLst>
        </a:blip>
        <a:srcRect/>
        <a:stretch>
          <a:fillRect/>
        </a:stretch>
      </xdr:blipFill>
      <xdr:spPr bwMode="auto">
        <a:xfrm>
          <a:off x="1228725" y="2598496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1374</xdr:row>
      <xdr:rowOff>19050</xdr:rowOff>
    </xdr:from>
    <xdr:to>
      <xdr:col>2</xdr:col>
      <xdr:colOff>1733550</xdr:colOff>
      <xdr:row>1374</xdr:row>
      <xdr:rowOff>1666875</xdr:rowOff>
    </xdr:to>
    <xdr:pic>
      <xdr:nvPicPr>
        <xdr:cNvPr id="1374" name="Picture 1373"/>
        <xdr:cNvPicPr>
          <a:picLocks noChangeAspect="1" noChangeArrowheads="1"/>
        </xdr:cNvPicPr>
      </xdr:nvPicPr>
      <xdr:blipFill>
        <a:blip xmlns:r="http://schemas.openxmlformats.org/officeDocument/2006/relationships" r:embed="rId1373">
          <a:extLst>
            <a:ext uri="{28A0092B-C50C-407E-A947-70E740481C1C}">
              <a14:useLocalDpi xmlns:a14="http://schemas.microsoft.com/office/drawing/2010/main" val="0"/>
            </a:ext>
          </a:extLst>
        </a:blip>
        <a:srcRect/>
        <a:stretch>
          <a:fillRect/>
        </a:stretch>
      </xdr:blipFill>
      <xdr:spPr bwMode="auto">
        <a:xfrm>
          <a:off x="1228725" y="260041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1375</xdr:row>
      <xdr:rowOff>19050</xdr:rowOff>
    </xdr:from>
    <xdr:to>
      <xdr:col>2</xdr:col>
      <xdr:colOff>1733550</xdr:colOff>
      <xdr:row>1375</xdr:row>
      <xdr:rowOff>1666875</xdr:rowOff>
    </xdr:to>
    <xdr:pic>
      <xdr:nvPicPr>
        <xdr:cNvPr id="1375" name="Picture 1374"/>
        <xdr:cNvPicPr>
          <a:picLocks noChangeAspect="1" noChangeArrowheads="1"/>
        </xdr:cNvPicPr>
      </xdr:nvPicPr>
      <xdr:blipFill>
        <a:blip xmlns:r="http://schemas.openxmlformats.org/officeDocument/2006/relationships" r:embed="rId1374">
          <a:extLst>
            <a:ext uri="{28A0092B-C50C-407E-A947-70E740481C1C}">
              <a14:useLocalDpi xmlns:a14="http://schemas.microsoft.com/office/drawing/2010/main" val="0"/>
            </a:ext>
          </a:extLst>
        </a:blip>
        <a:srcRect/>
        <a:stretch>
          <a:fillRect/>
        </a:stretch>
      </xdr:blipFill>
      <xdr:spPr bwMode="auto">
        <a:xfrm>
          <a:off x="1228725" y="260232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1376</xdr:row>
      <xdr:rowOff>19050</xdr:rowOff>
    </xdr:from>
    <xdr:to>
      <xdr:col>2</xdr:col>
      <xdr:colOff>1733550</xdr:colOff>
      <xdr:row>1376</xdr:row>
      <xdr:rowOff>1666875</xdr:rowOff>
    </xdr:to>
    <xdr:pic>
      <xdr:nvPicPr>
        <xdr:cNvPr id="1376" name="Picture 1375"/>
        <xdr:cNvPicPr>
          <a:picLocks noChangeAspect="1" noChangeArrowheads="1"/>
        </xdr:cNvPicPr>
      </xdr:nvPicPr>
      <xdr:blipFill>
        <a:blip xmlns:r="http://schemas.openxmlformats.org/officeDocument/2006/relationships" r:embed="rId1375">
          <a:extLst>
            <a:ext uri="{28A0092B-C50C-407E-A947-70E740481C1C}">
              <a14:useLocalDpi xmlns:a14="http://schemas.microsoft.com/office/drawing/2010/main" val="0"/>
            </a:ext>
          </a:extLst>
        </a:blip>
        <a:srcRect/>
        <a:stretch>
          <a:fillRect/>
        </a:stretch>
      </xdr:blipFill>
      <xdr:spPr bwMode="auto">
        <a:xfrm>
          <a:off x="1228725" y="2604239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1377</xdr:row>
      <xdr:rowOff>19050</xdr:rowOff>
    </xdr:from>
    <xdr:to>
      <xdr:col>2</xdr:col>
      <xdr:colOff>1733550</xdr:colOff>
      <xdr:row>1377</xdr:row>
      <xdr:rowOff>1666875</xdr:rowOff>
    </xdr:to>
    <xdr:pic>
      <xdr:nvPicPr>
        <xdr:cNvPr id="1377" name="Picture 1376"/>
        <xdr:cNvPicPr>
          <a:picLocks noChangeAspect="1" noChangeArrowheads="1"/>
        </xdr:cNvPicPr>
      </xdr:nvPicPr>
      <xdr:blipFill>
        <a:blip xmlns:r="http://schemas.openxmlformats.org/officeDocument/2006/relationships" r:embed="rId1376">
          <a:extLst>
            <a:ext uri="{28A0092B-C50C-407E-A947-70E740481C1C}">
              <a14:useLocalDpi xmlns:a14="http://schemas.microsoft.com/office/drawing/2010/main" val="0"/>
            </a:ext>
          </a:extLst>
        </a:blip>
        <a:srcRect/>
        <a:stretch>
          <a:fillRect/>
        </a:stretch>
      </xdr:blipFill>
      <xdr:spPr bwMode="auto">
        <a:xfrm>
          <a:off x="1228725" y="2606154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1378</xdr:row>
      <xdr:rowOff>19050</xdr:rowOff>
    </xdr:from>
    <xdr:to>
      <xdr:col>2</xdr:col>
      <xdr:colOff>1733550</xdr:colOff>
      <xdr:row>1378</xdr:row>
      <xdr:rowOff>1666875</xdr:rowOff>
    </xdr:to>
    <xdr:pic>
      <xdr:nvPicPr>
        <xdr:cNvPr id="1378" name="Picture 1377"/>
        <xdr:cNvPicPr>
          <a:picLocks noChangeAspect="1" noChangeArrowheads="1"/>
        </xdr:cNvPicPr>
      </xdr:nvPicPr>
      <xdr:blipFill>
        <a:blip xmlns:r="http://schemas.openxmlformats.org/officeDocument/2006/relationships" r:embed="rId1377">
          <a:extLst>
            <a:ext uri="{28A0092B-C50C-407E-A947-70E740481C1C}">
              <a14:useLocalDpi xmlns:a14="http://schemas.microsoft.com/office/drawing/2010/main" val="0"/>
            </a:ext>
          </a:extLst>
        </a:blip>
        <a:srcRect/>
        <a:stretch>
          <a:fillRect/>
        </a:stretch>
      </xdr:blipFill>
      <xdr:spPr bwMode="auto">
        <a:xfrm>
          <a:off x="1228725" y="2608068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1379</xdr:row>
      <xdr:rowOff>19050</xdr:rowOff>
    </xdr:from>
    <xdr:to>
      <xdr:col>2</xdr:col>
      <xdr:colOff>1733550</xdr:colOff>
      <xdr:row>1379</xdr:row>
      <xdr:rowOff>1666875</xdr:rowOff>
    </xdr:to>
    <xdr:pic>
      <xdr:nvPicPr>
        <xdr:cNvPr id="1379" name="Picture 1378"/>
        <xdr:cNvPicPr>
          <a:picLocks noChangeAspect="1" noChangeArrowheads="1"/>
        </xdr:cNvPicPr>
      </xdr:nvPicPr>
      <xdr:blipFill>
        <a:blip xmlns:r="http://schemas.openxmlformats.org/officeDocument/2006/relationships" r:embed="rId1378">
          <a:extLst>
            <a:ext uri="{28A0092B-C50C-407E-A947-70E740481C1C}">
              <a14:useLocalDpi xmlns:a14="http://schemas.microsoft.com/office/drawing/2010/main" val="0"/>
            </a:ext>
          </a:extLst>
        </a:blip>
        <a:srcRect/>
        <a:stretch>
          <a:fillRect/>
        </a:stretch>
      </xdr:blipFill>
      <xdr:spPr bwMode="auto">
        <a:xfrm>
          <a:off x="1228725" y="2609983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1380</xdr:row>
      <xdr:rowOff>19050</xdr:rowOff>
    </xdr:from>
    <xdr:to>
      <xdr:col>2</xdr:col>
      <xdr:colOff>1733550</xdr:colOff>
      <xdr:row>1380</xdr:row>
      <xdr:rowOff>1666875</xdr:rowOff>
    </xdr:to>
    <xdr:pic>
      <xdr:nvPicPr>
        <xdr:cNvPr id="1380" name="Picture 1379"/>
        <xdr:cNvPicPr>
          <a:picLocks noChangeAspect="1" noChangeArrowheads="1"/>
        </xdr:cNvPicPr>
      </xdr:nvPicPr>
      <xdr:blipFill>
        <a:blip xmlns:r="http://schemas.openxmlformats.org/officeDocument/2006/relationships" r:embed="rId1379">
          <a:extLst>
            <a:ext uri="{28A0092B-C50C-407E-A947-70E740481C1C}">
              <a14:useLocalDpi xmlns:a14="http://schemas.microsoft.com/office/drawing/2010/main" val="0"/>
            </a:ext>
          </a:extLst>
        </a:blip>
        <a:srcRect/>
        <a:stretch>
          <a:fillRect/>
        </a:stretch>
      </xdr:blipFill>
      <xdr:spPr bwMode="auto">
        <a:xfrm>
          <a:off x="1228725" y="2611897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1381</xdr:row>
      <xdr:rowOff>19050</xdr:rowOff>
    </xdr:from>
    <xdr:to>
      <xdr:col>2</xdr:col>
      <xdr:colOff>1733550</xdr:colOff>
      <xdr:row>1381</xdr:row>
      <xdr:rowOff>1666875</xdr:rowOff>
    </xdr:to>
    <xdr:pic>
      <xdr:nvPicPr>
        <xdr:cNvPr id="1381" name="Picture 1380"/>
        <xdr:cNvPicPr>
          <a:picLocks noChangeAspect="1" noChangeArrowheads="1"/>
        </xdr:cNvPicPr>
      </xdr:nvPicPr>
      <xdr:blipFill>
        <a:blip xmlns:r="http://schemas.openxmlformats.org/officeDocument/2006/relationships" r:embed="rId1380">
          <a:extLst>
            <a:ext uri="{28A0092B-C50C-407E-A947-70E740481C1C}">
              <a14:useLocalDpi xmlns:a14="http://schemas.microsoft.com/office/drawing/2010/main" val="0"/>
            </a:ext>
          </a:extLst>
        </a:blip>
        <a:srcRect/>
        <a:stretch>
          <a:fillRect/>
        </a:stretch>
      </xdr:blipFill>
      <xdr:spPr bwMode="auto">
        <a:xfrm>
          <a:off x="1228725" y="261381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1382</xdr:row>
      <xdr:rowOff>19050</xdr:rowOff>
    </xdr:from>
    <xdr:to>
      <xdr:col>2</xdr:col>
      <xdr:colOff>1733550</xdr:colOff>
      <xdr:row>1382</xdr:row>
      <xdr:rowOff>1666875</xdr:rowOff>
    </xdr:to>
    <xdr:pic>
      <xdr:nvPicPr>
        <xdr:cNvPr id="1382" name="Picture 1381"/>
        <xdr:cNvPicPr>
          <a:picLocks noChangeAspect="1" noChangeArrowheads="1"/>
        </xdr:cNvPicPr>
      </xdr:nvPicPr>
      <xdr:blipFill>
        <a:blip xmlns:r="http://schemas.openxmlformats.org/officeDocument/2006/relationships" r:embed="rId1381">
          <a:extLst>
            <a:ext uri="{28A0092B-C50C-407E-A947-70E740481C1C}">
              <a14:useLocalDpi xmlns:a14="http://schemas.microsoft.com/office/drawing/2010/main" val="0"/>
            </a:ext>
          </a:extLst>
        </a:blip>
        <a:srcRect/>
        <a:stretch>
          <a:fillRect/>
        </a:stretch>
      </xdr:blipFill>
      <xdr:spPr bwMode="auto">
        <a:xfrm>
          <a:off x="1228725" y="2615726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1383</xdr:row>
      <xdr:rowOff>19050</xdr:rowOff>
    </xdr:from>
    <xdr:to>
      <xdr:col>2</xdr:col>
      <xdr:colOff>1733550</xdr:colOff>
      <xdr:row>1383</xdr:row>
      <xdr:rowOff>1666875</xdr:rowOff>
    </xdr:to>
    <xdr:pic>
      <xdr:nvPicPr>
        <xdr:cNvPr id="1383" name="Picture 1382"/>
        <xdr:cNvPicPr>
          <a:picLocks noChangeAspect="1" noChangeArrowheads="1"/>
        </xdr:cNvPicPr>
      </xdr:nvPicPr>
      <xdr:blipFill>
        <a:blip xmlns:r="http://schemas.openxmlformats.org/officeDocument/2006/relationships" r:embed="rId1382">
          <a:extLst>
            <a:ext uri="{28A0092B-C50C-407E-A947-70E740481C1C}">
              <a14:useLocalDpi xmlns:a14="http://schemas.microsoft.com/office/drawing/2010/main" val="0"/>
            </a:ext>
          </a:extLst>
        </a:blip>
        <a:srcRect/>
        <a:stretch>
          <a:fillRect/>
        </a:stretch>
      </xdr:blipFill>
      <xdr:spPr bwMode="auto">
        <a:xfrm>
          <a:off x="1228725" y="2617641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1384</xdr:row>
      <xdr:rowOff>19050</xdr:rowOff>
    </xdr:from>
    <xdr:to>
      <xdr:col>2</xdr:col>
      <xdr:colOff>1733550</xdr:colOff>
      <xdr:row>1384</xdr:row>
      <xdr:rowOff>1666875</xdr:rowOff>
    </xdr:to>
    <xdr:pic>
      <xdr:nvPicPr>
        <xdr:cNvPr id="1384" name="Picture 1383"/>
        <xdr:cNvPicPr>
          <a:picLocks noChangeAspect="1" noChangeArrowheads="1"/>
        </xdr:cNvPicPr>
      </xdr:nvPicPr>
      <xdr:blipFill>
        <a:blip xmlns:r="http://schemas.openxmlformats.org/officeDocument/2006/relationships" r:embed="rId1383">
          <a:extLst>
            <a:ext uri="{28A0092B-C50C-407E-A947-70E740481C1C}">
              <a14:useLocalDpi xmlns:a14="http://schemas.microsoft.com/office/drawing/2010/main" val="0"/>
            </a:ext>
          </a:extLst>
        </a:blip>
        <a:srcRect/>
        <a:stretch>
          <a:fillRect/>
        </a:stretch>
      </xdr:blipFill>
      <xdr:spPr bwMode="auto">
        <a:xfrm>
          <a:off x="1228725" y="2619555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1385</xdr:row>
      <xdr:rowOff>19050</xdr:rowOff>
    </xdr:from>
    <xdr:to>
      <xdr:col>2</xdr:col>
      <xdr:colOff>1733550</xdr:colOff>
      <xdr:row>1385</xdr:row>
      <xdr:rowOff>1666875</xdr:rowOff>
    </xdr:to>
    <xdr:pic>
      <xdr:nvPicPr>
        <xdr:cNvPr id="1385" name="Picture 1384"/>
        <xdr:cNvPicPr>
          <a:picLocks noChangeAspect="1" noChangeArrowheads="1"/>
        </xdr:cNvPicPr>
      </xdr:nvPicPr>
      <xdr:blipFill>
        <a:blip xmlns:r="http://schemas.openxmlformats.org/officeDocument/2006/relationships" r:embed="rId1384">
          <a:extLst>
            <a:ext uri="{28A0092B-C50C-407E-A947-70E740481C1C}">
              <a14:useLocalDpi xmlns:a14="http://schemas.microsoft.com/office/drawing/2010/main" val="0"/>
            </a:ext>
          </a:extLst>
        </a:blip>
        <a:srcRect/>
        <a:stretch>
          <a:fillRect/>
        </a:stretch>
      </xdr:blipFill>
      <xdr:spPr bwMode="auto">
        <a:xfrm>
          <a:off x="1228725" y="2621470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1386</xdr:row>
      <xdr:rowOff>19050</xdr:rowOff>
    </xdr:from>
    <xdr:to>
      <xdr:col>2</xdr:col>
      <xdr:colOff>1733550</xdr:colOff>
      <xdr:row>1386</xdr:row>
      <xdr:rowOff>1666875</xdr:rowOff>
    </xdr:to>
    <xdr:pic>
      <xdr:nvPicPr>
        <xdr:cNvPr id="1386" name="Picture 1385"/>
        <xdr:cNvPicPr>
          <a:picLocks noChangeAspect="1" noChangeArrowheads="1"/>
        </xdr:cNvPicPr>
      </xdr:nvPicPr>
      <xdr:blipFill>
        <a:blip xmlns:r="http://schemas.openxmlformats.org/officeDocument/2006/relationships" r:embed="rId1385">
          <a:extLst>
            <a:ext uri="{28A0092B-C50C-407E-A947-70E740481C1C}">
              <a14:useLocalDpi xmlns:a14="http://schemas.microsoft.com/office/drawing/2010/main" val="0"/>
            </a:ext>
          </a:extLst>
        </a:blip>
        <a:srcRect/>
        <a:stretch>
          <a:fillRect/>
        </a:stretch>
      </xdr:blipFill>
      <xdr:spPr bwMode="auto">
        <a:xfrm>
          <a:off x="1228725" y="2623385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1387</xdr:row>
      <xdr:rowOff>19050</xdr:rowOff>
    </xdr:from>
    <xdr:to>
      <xdr:col>2</xdr:col>
      <xdr:colOff>1733550</xdr:colOff>
      <xdr:row>1387</xdr:row>
      <xdr:rowOff>1666875</xdr:rowOff>
    </xdr:to>
    <xdr:pic>
      <xdr:nvPicPr>
        <xdr:cNvPr id="1387" name="Picture 1386"/>
        <xdr:cNvPicPr>
          <a:picLocks noChangeAspect="1" noChangeArrowheads="1"/>
        </xdr:cNvPicPr>
      </xdr:nvPicPr>
      <xdr:blipFill>
        <a:blip xmlns:r="http://schemas.openxmlformats.org/officeDocument/2006/relationships" r:embed="rId1386">
          <a:extLst>
            <a:ext uri="{28A0092B-C50C-407E-A947-70E740481C1C}">
              <a14:useLocalDpi xmlns:a14="http://schemas.microsoft.com/office/drawing/2010/main" val="0"/>
            </a:ext>
          </a:extLst>
        </a:blip>
        <a:srcRect/>
        <a:stretch>
          <a:fillRect/>
        </a:stretch>
      </xdr:blipFill>
      <xdr:spPr bwMode="auto">
        <a:xfrm>
          <a:off x="1228725" y="2625299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1388</xdr:row>
      <xdr:rowOff>19050</xdr:rowOff>
    </xdr:from>
    <xdr:to>
      <xdr:col>2</xdr:col>
      <xdr:colOff>1733550</xdr:colOff>
      <xdr:row>1388</xdr:row>
      <xdr:rowOff>1666875</xdr:rowOff>
    </xdr:to>
    <xdr:pic>
      <xdr:nvPicPr>
        <xdr:cNvPr id="1388" name="Picture 1387"/>
        <xdr:cNvPicPr>
          <a:picLocks noChangeAspect="1" noChangeArrowheads="1"/>
        </xdr:cNvPicPr>
      </xdr:nvPicPr>
      <xdr:blipFill>
        <a:blip xmlns:r="http://schemas.openxmlformats.org/officeDocument/2006/relationships" r:embed="rId1387">
          <a:extLst>
            <a:ext uri="{28A0092B-C50C-407E-A947-70E740481C1C}">
              <a14:useLocalDpi xmlns:a14="http://schemas.microsoft.com/office/drawing/2010/main" val="0"/>
            </a:ext>
          </a:extLst>
        </a:blip>
        <a:srcRect/>
        <a:stretch>
          <a:fillRect/>
        </a:stretch>
      </xdr:blipFill>
      <xdr:spPr bwMode="auto">
        <a:xfrm>
          <a:off x="1228725" y="2627214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1389</xdr:row>
      <xdr:rowOff>19050</xdr:rowOff>
    </xdr:from>
    <xdr:to>
      <xdr:col>2</xdr:col>
      <xdr:colOff>1733550</xdr:colOff>
      <xdr:row>1389</xdr:row>
      <xdr:rowOff>1666875</xdr:rowOff>
    </xdr:to>
    <xdr:pic>
      <xdr:nvPicPr>
        <xdr:cNvPr id="1389" name="Picture 1388"/>
        <xdr:cNvPicPr>
          <a:picLocks noChangeAspect="1" noChangeArrowheads="1"/>
        </xdr:cNvPicPr>
      </xdr:nvPicPr>
      <xdr:blipFill>
        <a:blip xmlns:r="http://schemas.openxmlformats.org/officeDocument/2006/relationships" r:embed="rId1388">
          <a:extLst>
            <a:ext uri="{28A0092B-C50C-407E-A947-70E740481C1C}">
              <a14:useLocalDpi xmlns:a14="http://schemas.microsoft.com/office/drawing/2010/main" val="0"/>
            </a:ext>
          </a:extLst>
        </a:blip>
        <a:srcRect/>
        <a:stretch>
          <a:fillRect/>
        </a:stretch>
      </xdr:blipFill>
      <xdr:spPr bwMode="auto">
        <a:xfrm>
          <a:off x="1228725" y="262912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1390</xdr:row>
      <xdr:rowOff>19050</xdr:rowOff>
    </xdr:from>
    <xdr:to>
      <xdr:col>2</xdr:col>
      <xdr:colOff>1733550</xdr:colOff>
      <xdr:row>1390</xdr:row>
      <xdr:rowOff>1666875</xdr:rowOff>
    </xdr:to>
    <xdr:pic>
      <xdr:nvPicPr>
        <xdr:cNvPr id="1390" name="Picture 1389"/>
        <xdr:cNvPicPr>
          <a:picLocks noChangeAspect="1" noChangeArrowheads="1"/>
        </xdr:cNvPicPr>
      </xdr:nvPicPr>
      <xdr:blipFill>
        <a:blip xmlns:r="http://schemas.openxmlformats.org/officeDocument/2006/relationships" r:embed="rId1389">
          <a:extLst>
            <a:ext uri="{28A0092B-C50C-407E-A947-70E740481C1C}">
              <a14:useLocalDpi xmlns:a14="http://schemas.microsoft.com/office/drawing/2010/main" val="0"/>
            </a:ext>
          </a:extLst>
        </a:blip>
        <a:srcRect/>
        <a:stretch>
          <a:fillRect/>
        </a:stretch>
      </xdr:blipFill>
      <xdr:spPr bwMode="auto">
        <a:xfrm>
          <a:off x="1228725" y="2631043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1391</xdr:row>
      <xdr:rowOff>19050</xdr:rowOff>
    </xdr:from>
    <xdr:to>
      <xdr:col>2</xdr:col>
      <xdr:colOff>1733550</xdr:colOff>
      <xdr:row>1391</xdr:row>
      <xdr:rowOff>1666875</xdr:rowOff>
    </xdr:to>
    <xdr:pic>
      <xdr:nvPicPr>
        <xdr:cNvPr id="1391" name="Picture 1390"/>
        <xdr:cNvPicPr>
          <a:picLocks noChangeAspect="1" noChangeArrowheads="1"/>
        </xdr:cNvPicPr>
      </xdr:nvPicPr>
      <xdr:blipFill>
        <a:blip xmlns:r="http://schemas.openxmlformats.org/officeDocument/2006/relationships" r:embed="rId1390">
          <a:extLst>
            <a:ext uri="{28A0092B-C50C-407E-A947-70E740481C1C}">
              <a14:useLocalDpi xmlns:a14="http://schemas.microsoft.com/office/drawing/2010/main" val="0"/>
            </a:ext>
          </a:extLst>
        </a:blip>
        <a:srcRect/>
        <a:stretch>
          <a:fillRect/>
        </a:stretch>
      </xdr:blipFill>
      <xdr:spPr bwMode="auto">
        <a:xfrm>
          <a:off x="1228725" y="2632957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1392</xdr:row>
      <xdr:rowOff>19050</xdr:rowOff>
    </xdr:from>
    <xdr:to>
      <xdr:col>2</xdr:col>
      <xdr:colOff>1733550</xdr:colOff>
      <xdr:row>1392</xdr:row>
      <xdr:rowOff>1666875</xdr:rowOff>
    </xdr:to>
    <xdr:pic>
      <xdr:nvPicPr>
        <xdr:cNvPr id="1392" name="Picture 1391"/>
        <xdr:cNvPicPr>
          <a:picLocks noChangeAspect="1" noChangeArrowheads="1"/>
        </xdr:cNvPicPr>
      </xdr:nvPicPr>
      <xdr:blipFill>
        <a:blip xmlns:r="http://schemas.openxmlformats.org/officeDocument/2006/relationships" r:embed="rId1391">
          <a:extLst>
            <a:ext uri="{28A0092B-C50C-407E-A947-70E740481C1C}">
              <a14:useLocalDpi xmlns:a14="http://schemas.microsoft.com/office/drawing/2010/main" val="0"/>
            </a:ext>
          </a:extLst>
        </a:blip>
        <a:srcRect/>
        <a:stretch>
          <a:fillRect/>
        </a:stretch>
      </xdr:blipFill>
      <xdr:spPr bwMode="auto">
        <a:xfrm>
          <a:off x="1228725" y="2634872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1393</xdr:row>
      <xdr:rowOff>19050</xdr:rowOff>
    </xdr:from>
    <xdr:to>
      <xdr:col>2</xdr:col>
      <xdr:colOff>1733550</xdr:colOff>
      <xdr:row>1393</xdr:row>
      <xdr:rowOff>1666875</xdr:rowOff>
    </xdr:to>
    <xdr:pic>
      <xdr:nvPicPr>
        <xdr:cNvPr id="1393" name="Picture 1392"/>
        <xdr:cNvPicPr>
          <a:picLocks noChangeAspect="1" noChangeArrowheads="1"/>
        </xdr:cNvPicPr>
      </xdr:nvPicPr>
      <xdr:blipFill>
        <a:blip xmlns:r="http://schemas.openxmlformats.org/officeDocument/2006/relationships" r:embed="rId1392">
          <a:extLst>
            <a:ext uri="{28A0092B-C50C-407E-A947-70E740481C1C}">
              <a14:useLocalDpi xmlns:a14="http://schemas.microsoft.com/office/drawing/2010/main" val="0"/>
            </a:ext>
          </a:extLst>
        </a:blip>
        <a:srcRect/>
        <a:stretch>
          <a:fillRect/>
        </a:stretch>
      </xdr:blipFill>
      <xdr:spPr bwMode="auto">
        <a:xfrm>
          <a:off x="1228725" y="2636786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1394</xdr:row>
      <xdr:rowOff>19050</xdr:rowOff>
    </xdr:from>
    <xdr:to>
      <xdr:col>2</xdr:col>
      <xdr:colOff>1733550</xdr:colOff>
      <xdr:row>1394</xdr:row>
      <xdr:rowOff>1666875</xdr:rowOff>
    </xdr:to>
    <xdr:pic>
      <xdr:nvPicPr>
        <xdr:cNvPr id="1394" name="Picture 1393"/>
        <xdr:cNvPicPr>
          <a:picLocks noChangeAspect="1" noChangeArrowheads="1"/>
        </xdr:cNvPicPr>
      </xdr:nvPicPr>
      <xdr:blipFill>
        <a:blip xmlns:r="http://schemas.openxmlformats.org/officeDocument/2006/relationships" r:embed="rId1393">
          <a:extLst>
            <a:ext uri="{28A0092B-C50C-407E-A947-70E740481C1C}">
              <a14:useLocalDpi xmlns:a14="http://schemas.microsoft.com/office/drawing/2010/main" val="0"/>
            </a:ext>
          </a:extLst>
        </a:blip>
        <a:srcRect/>
        <a:stretch>
          <a:fillRect/>
        </a:stretch>
      </xdr:blipFill>
      <xdr:spPr bwMode="auto">
        <a:xfrm>
          <a:off x="1228725" y="2638701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1395</xdr:row>
      <xdr:rowOff>19050</xdr:rowOff>
    </xdr:from>
    <xdr:to>
      <xdr:col>2</xdr:col>
      <xdr:colOff>1733550</xdr:colOff>
      <xdr:row>1395</xdr:row>
      <xdr:rowOff>1666875</xdr:rowOff>
    </xdr:to>
    <xdr:pic>
      <xdr:nvPicPr>
        <xdr:cNvPr id="1395" name="Picture 1394"/>
        <xdr:cNvPicPr>
          <a:picLocks noChangeAspect="1" noChangeArrowheads="1"/>
        </xdr:cNvPicPr>
      </xdr:nvPicPr>
      <xdr:blipFill>
        <a:blip xmlns:r="http://schemas.openxmlformats.org/officeDocument/2006/relationships" r:embed="rId1394">
          <a:extLst>
            <a:ext uri="{28A0092B-C50C-407E-A947-70E740481C1C}">
              <a14:useLocalDpi xmlns:a14="http://schemas.microsoft.com/office/drawing/2010/main" val="0"/>
            </a:ext>
          </a:extLst>
        </a:blip>
        <a:srcRect/>
        <a:stretch>
          <a:fillRect/>
        </a:stretch>
      </xdr:blipFill>
      <xdr:spPr bwMode="auto">
        <a:xfrm>
          <a:off x="1228725" y="2640615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1396</xdr:row>
      <xdr:rowOff>19050</xdr:rowOff>
    </xdr:from>
    <xdr:to>
      <xdr:col>2</xdr:col>
      <xdr:colOff>1733550</xdr:colOff>
      <xdr:row>1396</xdr:row>
      <xdr:rowOff>1666875</xdr:rowOff>
    </xdr:to>
    <xdr:pic>
      <xdr:nvPicPr>
        <xdr:cNvPr id="1396" name="Picture 1395"/>
        <xdr:cNvPicPr>
          <a:picLocks noChangeAspect="1" noChangeArrowheads="1"/>
        </xdr:cNvPicPr>
      </xdr:nvPicPr>
      <xdr:blipFill>
        <a:blip xmlns:r="http://schemas.openxmlformats.org/officeDocument/2006/relationships" r:embed="rId1395">
          <a:extLst>
            <a:ext uri="{28A0092B-C50C-407E-A947-70E740481C1C}">
              <a14:useLocalDpi xmlns:a14="http://schemas.microsoft.com/office/drawing/2010/main" val="0"/>
            </a:ext>
          </a:extLst>
        </a:blip>
        <a:srcRect/>
        <a:stretch>
          <a:fillRect/>
        </a:stretch>
      </xdr:blipFill>
      <xdr:spPr bwMode="auto">
        <a:xfrm>
          <a:off x="1228725" y="2642530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1397</xdr:row>
      <xdr:rowOff>19050</xdr:rowOff>
    </xdr:from>
    <xdr:to>
      <xdr:col>2</xdr:col>
      <xdr:colOff>1733550</xdr:colOff>
      <xdr:row>1397</xdr:row>
      <xdr:rowOff>1666875</xdr:rowOff>
    </xdr:to>
    <xdr:pic>
      <xdr:nvPicPr>
        <xdr:cNvPr id="1397" name="Picture 1396"/>
        <xdr:cNvPicPr>
          <a:picLocks noChangeAspect="1" noChangeArrowheads="1"/>
        </xdr:cNvPicPr>
      </xdr:nvPicPr>
      <xdr:blipFill>
        <a:blip xmlns:r="http://schemas.openxmlformats.org/officeDocument/2006/relationships" r:embed="rId1396">
          <a:extLst>
            <a:ext uri="{28A0092B-C50C-407E-A947-70E740481C1C}">
              <a14:useLocalDpi xmlns:a14="http://schemas.microsoft.com/office/drawing/2010/main" val="0"/>
            </a:ext>
          </a:extLst>
        </a:blip>
        <a:srcRect/>
        <a:stretch>
          <a:fillRect/>
        </a:stretch>
      </xdr:blipFill>
      <xdr:spPr bwMode="auto">
        <a:xfrm>
          <a:off x="1228725" y="2644444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1398</xdr:row>
      <xdr:rowOff>19050</xdr:rowOff>
    </xdr:from>
    <xdr:to>
      <xdr:col>2</xdr:col>
      <xdr:colOff>1733550</xdr:colOff>
      <xdr:row>1398</xdr:row>
      <xdr:rowOff>1666875</xdr:rowOff>
    </xdr:to>
    <xdr:pic>
      <xdr:nvPicPr>
        <xdr:cNvPr id="1398" name="Picture 1397"/>
        <xdr:cNvPicPr>
          <a:picLocks noChangeAspect="1" noChangeArrowheads="1"/>
        </xdr:cNvPicPr>
      </xdr:nvPicPr>
      <xdr:blipFill>
        <a:blip xmlns:r="http://schemas.openxmlformats.org/officeDocument/2006/relationships" r:embed="rId1397">
          <a:extLst>
            <a:ext uri="{28A0092B-C50C-407E-A947-70E740481C1C}">
              <a14:useLocalDpi xmlns:a14="http://schemas.microsoft.com/office/drawing/2010/main" val="0"/>
            </a:ext>
          </a:extLst>
        </a:blip>
        <a:srcRect/>
        <a:stretch>
          <a:fillRect/>
        </a:stretch>
      </xdr:blipFill>
      <xdr:spPr bwMode="auto">
        <a:xfrm>
          <a:off x="1228725" y="2646359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1399</xdr:row>
      <xdr:rowOff>19050</xdr:rowOff>
    </xdr:from>
    <xdr:to>
      <xdr:col>2</xdr:col>
      <xdr:colOff>1733550</xdr:colOff>
      <xdr:row>1399</xdr:row>
      <xdr:rowOff>1666875</xdr:rowOff>
    </xdr:to>
    <xdr:pic>
      <xdr:nvPicPr>
        <xdr:cNvPr id="1399" name="Picture 1398"/>
        <xdr:cNvPicPr>
          <a:picLocks noChangeAspect="1" noChangeArrowheads="1"/>
        </xdr:cNvPicPr>
      </xdr:nvPicPr>
      <xdr:blipFill>
        <a:blip xmlns:r="http://schemas.openxmlformats.org/officeDocument/2006/relationships" r:embed="rId1398">
          <a:extLst>
            <a:ext uri="{28A0092B-C50C-407E-A947-70E740481C1C}">
              <a14:useLocalDpi xmlns:a14="http://schemas.microsoft.com/office/drawing/2010/main" val="0"/>
            </a:ext>
          </a:extLst>
        </a:blip>
        <a:srcRect/>
        <a:stretch>
          <a:fillRect/>
        </a:stretch>
      </xdr:blipFill>
      <xdr:spPr bwMode="auto">
        <a:xfrm>
          <a:off x="1228725" y="264827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1400</xdr:row>
      <xdr:rowOff>19050</xdr:rowOff>
    </xdr:from>
    <xdr:to>
      <xdr:col>2</xdr:col>
      <xdr:colOff>1733550</xdr:colOff>
      <xdr:row>1400</xdr:row>
      <xdr:rowOff>1666875</xdr:rowOff>
    </xdr:to>
    <xdr:pic>
      <xdr:nvPicPr>
        <xdr:cNvPr id="1400" name="Picture 1399"/>
        <xdr:cNvPicPr>
          <a:picLocks noChangeAspect="1" noChangeArrowheads="1"/>
        </xdr:cNvPicPr>
      </xdr:nvPicPr>
      <xdr:blipFill>
        <a:blip xmlns:r="http://schemas.openxmlformats.org/officeDocument/2006/relationships" r:embed="rId1399">
          <a:extLst>
            <a:ext uri="{28A0092B-C50C-407E-A947-70E740481C1C}">
              <a14:useLocalDpi xmlns:a14="http://schemas.microsoft.com/office/drawing/2010/main" val="0"/>
            </a:ext>
          </a:extLst>
        </a:blip>
        <a:srcRect/>
        <a:stretch>
          <a:fillRect/>
        </a:stretch>
      </xdr:blipFill>
      <xdr:spPr bwMode="auto">
        <a:xfrm>
          <a:off x="1228725" y="2650188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1401</xdr:row>
      <xdr:rowOff>19050</xdr:rowOff>
    </xdr:from>
    <xdr:to>
      <xdr:col>2</xdr:col>
      <xdr:colOff>1733550</xdr:colOff>
      <xdr:row>1401</xdr:row>
      <xdr:rowOff>1666875</xdr:rowOff>
    </xdr:to>
    <xdr:pic>
      <xdr:nvPicPr>
        <xdr:cNvPr id="1401" name="Picture 1400"/>
        <xdr:cNvPicPr>
          <a:picLocks noChangeAspect="1" noChangeArrowheads="1"/>
        </xdr:cNvPicPr>
      </xdr:nvPicPr>
      <xdr:blipFill>
        <a:blip xmlns:r="http://schemas.openxmlformats.org/officeDocument/2006/relationships" r:embed="rId1400">
          <a:extLst>
            <a:ext uri="{28A0092B-C50C-407E-A947-70E740481C1C}">
              <a14:useLocalDpi xmlns:a14="http://schemas.microsoft.com/office/drawing/2010/main" val="0"/>
            </a:ext>
          </a:extLst>
        </a:blip>
        <a:srcRect/>
        <a:stretch>
          <a:fillRect/>
        </a:stretch>
      </xdr:blipFill>
      <xdr:spPr bwMode="auto">
        <a:xfrm>
          <a:off x="1228725" y="265210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1402</xdr:row>
      <xdr:rowOff>19050</xdr:rowOff>
    </xdr:from>
    <xdr:to>
      <xdr:col>2</xdr:col>
      <xdr:colOff>1733550</xdr:colOff>
      <xdr:row>1402</xdr:row>
      <xdr:rowOff>1666875</xdr:rowOff>
    </xdr:to>
    <xdr:pic>
      <xdr:nvPicPr>
        <xdr:cNvPr id="1402" name="Picture 1401"/>
        <xdr:cNvPicPr>
          <a:picLocks noChangeAspect="1" noChangeArrowheads="1"/>
        </xdr:cNvPicPr>
      </xdr:nvPicPr>
      <xdr:blipFill>
        <a:blip xmlns:r="http://schemas.openxmlformats.org/officeDocument/2006/relationships" r:embed="rId1401">
          <a:extLst>
            <a:ext uri="{28A0092B-C50C-407E-A947-70E740481C1C}">
              <a14:useLocalDpi xmlns:a14="http://schemas.microsoft.com/office/drawing/2010/main" val="0"/>
            </a:ext>
          </a:extLst>
        </a:blip>
        <a:srcRect/>
        <a:stretch>
          <a:fillRect/>
        </a:stretch>
      </xdr:blipFill>
      <xdr:spPr bwMode="auto">
        <a:xfrm>
          <a:off x="1228725" y="265401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1403</xdr:row>
      <xdr:rowOff>19050</xdr:rowOff>
    </xdr:from>
    <xdr:to>
      <xdr:col>2</xdr:col>
      <xdr:colOff>1733550</xdr:colOff>
      <xdr:row>1403</xdr:row>
      <xdr:rowOff>1666875</xdr:rowOff>
    </xdr:to>
    <xdr:pic>
      <xdr:nvPicPr>
        <xdr:cNvPr id="1403" name="Picture 1402"/>
        <xdr:cNvPicPr>
          <a:picLocks noChangeAspect="1" noChangeArrowheads="1"/>
        </xdr:cNvPicPr>
      </xdr:nvPicPr>
      <xdr:blipFill>
        <a:blip xmlns:r="http://schemas.openxmlformats.org/officeDocument/2006/relationships" r:embed="rId1402">
          <a:extLst>
            <a:ext uri="{28A0092B-C50C-407E-A947-70E740481C1C}">
              <a14:useLocalDpi xmlns:a14="http://schemas.microsoft.com/office/drawing/2010/main" val="0"/>
            </a:ext>
          </a:extLst>
        </a:blip>
        <a:srcRect/>
        <a:stretch>
          <a:fillRect/>
        </a:stretch>
      </xdr:blipFill>
      <xdr:spPr bwMode="auto">
        <a:xfrm>
          <a:off x="1228725" y="2655931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1404</xdr:row>
      <xdr:rowOff>19050</xdr:rowOff>
    </xdr:from>
    <xdr:to>
      <xdr:col>2</xdr:col>
      <xdr:colOff>1733550</xdr:colOff>
      <xdr:row>1404</xdr:row>
      <xdr:rowOff>1666875</xdr:rowOff>
    </xdr:to>
    <xdr:pic>
      <xdr:nvPicPr>
        <xdr:cNvPr id="1404" name="Picture 1403"/>
        <xdr:cNvPicPr>
          <a:picLocks noChangeAspect="1" noChangeArrowheads="1"/>
        </xdr:cNvPicPr>
      </xdr:nvPicPr>
      <xdr:blipFill>
        <a:blip xmlns:r="http://schemas.openxmlformats.org/officeDocument/2006/relationships" r:embed="rId1403">
          <a:extLst>
            <a:ext uri="{28A0092B-C50C-407E-A947-70E740481C1C}">
              <a14:useLocalDpi xmlns:a14="http://schemas.microsoft.com/office/drawing/2010/main" val="0"/>
            </a:ext>
          </a:extLst>
        </a:blip>
        <a:srcRect/>
        <a:stretch>
          <a:fillRect/>
        </a:stretch>
      </xdr:blipFill>
      <xdr:spPr bwMode="auto">
        <a:xfrm>
          <a:off x="1228725" y="2657846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1405</xdr:row>
      <xdr:rowOff>19050</xdr:rowOff>
    </xdr:from>
    <xdr:to>
      <xdr:col>2</xdr:col>
      <xdr:colOff>1733550</xdr:colOff>
      <xdr:row>1405</xdr:row>
      <xdr:rowOff>1666875</xdr:rowOff>
    </xdr:to>
    <xdr:pic>
      <xdr:nvPicPr>
        <xdr:cNvPr id="1405" name="Picture 1404"/>
        <xdr:cNvPicPr>
          <a:picLocks noChangeAspect="1" noChangeArrowheads="1"/>
        </xdr:cNvPicPr>
      </xdr:nvPicPr>
      <xdr:blipFill>
        <a:blip xmlns:r="http://schemas.openxmlformats.org/officeDocument/2006/relationships" r:embed="rId1404">
          <a:extLst>
            <a:ext uri="{28A0092B-C50C-407E-A947-70E740481C1C}">
              <a14:useLocalDpi xmlns:a14="http://schemas.microsoft.com/office/drawing/2010/main" val="0"/>
            </a:ext>
          </a:extLst>
        </a:blip>
        <a:srcRect/>
        <a:stretch>
          <a:fillRect/>
        </a:stretch>
      </xdr:blipFill>
      <xdr:spPr bwMode="auto">
        <a:xfrm>
          <a:off x="1228725" y="2659761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1406</xdr:row>
      <xdr:rowOff>19050</xdr:rowOff>
    </xdr:from>
    <xdr:to>
      <xdr:col>2</xdr:col>
      <xdr:colOff>1733550</xdr:colOff>
      <xdr:row>1406</xdr:row>
      <xdr:rowOff>1666875</xdr:rowOff>
    </xdr:to>
    <xdr:pic>
      <xdr:nvPicPr>
        <xdr:cNvPr id="1406" name="Picture 1405"/>
        <xdr:cNvPicPr>
          <a:picLocks noChangeAspect="1" noChangeArrowheads="1"/>
        </xdr:cNvPicPr>
      </xdr:nvPicPr>
      <xdr:blipFill>
        <a:blip xmlns:r="http://schemas.openxmlformats.org/officeDocument/2006/relationships" r:embed="rId1405">
          <a:extLst>
            <a:ext uri="{28A0092B-C50C-407E-A947-70E740481C1C}">
              <a14:useLocalDpi xmlns:a14="http://schemas.microsoft.com/office/drawing/2010/main" val="0"/>
            </a:ext>
          </a:extLst>
        </a:blip>
        <a:srcRect/>
        <a:stretch>
          <a:fillRect/>
        </a:stretch>
      </xdr:blipFill>
      <xdr:spPr bwMode="auto">
        <a:xfrm>
          <a:off x="1228725" y="2661675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1407</xdr:row>
      <xdr:rowOff>19050</xdr:rowOff>
    </xdr:from>
    <xdr:to>
      <xdr:col>2</xdr:col>
      <xdr:colOff>1733550</xdr:colOff>
      <xdr:row>1407</xdr:row>
      <xdr:rowOff>1666875</xdr:rowOff>
    </xdr:to>
    <xdr:pic>
      <xdr:nvPicPr>
        <xdr:cNvPr id="1407" name="Picture 1406"/>
        <xdr:cNvPicPr>
          <a:picLocks noChangeAspect="1" noChangeArrowheads="1"/>
        </xdr:cNvPicPr>
      </xdr:nvPicPr>
      <xdr:blipFill>
        <a:blip xmlns:r="http://schemas.openxmlformats.org/officeDocument/2006/relationships" r:embed="rId1406">
          <a:extLst>
            <a:ext uri="{28A0092B-C50C-407E-A947-70E740481C1C}">
              <a14:useLocalDpi xmlns:a14="http://schemas.microsoft.com/office/drawing/2010/main" val="0"/>
            </a:ext>
          </a:extLst>
        </a:blip>
        <a:srcRect/>
        <a:stretch>
          <a:fillRect/>
        </a:stretch>
      </xdr:blipFill>
      <xdr:spPr bwMode="auto">
        <a:xfrm>
          <a:off x="1228725" y="2663590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1408</xdr:row>
      <xdr:rowOff>19050</xdr:rowOff>
    </xdr:from>
    <xdr:to>
      <xdr:col>2</xdr:col>
      <xdr:colOff>1733550</xdr:colOff>
      <xdr:row>1408</xdr:row>
      <xdr:rowOff>1666875</xdr:rowOff>
    </xdr:to>
    <xdr:pic>
      <xdr:nvPicPr>
        <xdr:cNvPr id="1408" name="Picture 1407"/>
        <xdr:cNvPicPr>
          <a:picLocks noChangeAspect="1" noChangeArrowheads="1"/>
        </xdr:cNvPicPr>
      </xdr:nvPicPr>
      <xdr:blipFill>
        <a:blip xmlns:r="http://schemas.openxmlformats.org/officeDocument/2006/relationships" r:embed="rId1407">
          <a:extLst>
            <a:ext uri="{28A0092B-C50C-407E-A947-70E740481C1C}">
              <a14:useLocalDpi xmlns:a14="http://schemas.microsoft.com/office/drawing/2010/main" val="0"/>
            </a:ext>
          </a:extLst>
        </a:blip>
        <a:srcRect/>
        <a:stretch>
          <a:fillRect/>
        </a:stretch>
      </xdr:blipFill>
      <xdr:spPr bwMode="auto">
        <a:xfrm>
          <a:off x="1228725" y="2665504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1409</xdr:row>
      <xdr:rowOff>19050</xdr:rowOff>
    </xdr:from>
    <xdr:to>
      <xdr:col>2</xdr:col>
      <xdr:colOff>1733550</xdr:colOff>
      <xdr:row>1409</xdr:row>
      <xdr:rowOff>1666875</xdr:rowOff>
    </xdr:to>
    <xdr:pic>
      <xdr:nvPicPr>
        <xdr:cNvPr id="1409" name="Picture 1408"/>
        <xdr:cNvPicPr>
          <a:picLocks noChangeAspect="1" noChangeArrowheads="1"/>
        </xdr:cNvPicPr>
      </xdr:nvPicPr>
      <xdr:blipFill>
        <a:blip xmlns:r="http://schemas.openxmlformats.org/officeDocument/2006/relationships" r:embed="rId1408">
          <a:extLst>
            <a:ext uri="{28A0092B-C50C-407E-A947-70E740481C1C}">
              <a14:useLocalDpi xmlns:a14="http://schemas.microsoft.com/office/drawing/2010/main" val="0"/>
            </a:ext>
          </a:extLst>
        </a:blip>
        <a:srcRect/>
        <a:stretch>
          <a:fillRect/>
        </a:stretch>
      </xdr:blipFill>
      <xdr:spPr bwMode="auto">
        <a:xfrm>
          <a:off x="1228725" y="2667419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1410</xdr:row>
      <xdr:rowOff>19050</xdr:rowOff>
    </xdr:from>
    <xdr:to>
      <xdr:col>2</xdr:col>
      <xdr:colOff>1733550</xdr:colOff>
      <xdr:row>1410</xdr:row>
      <xdr:rowOff>1666875</xdr:rowOff>
    </xdr:to>
    <xdr:pic>
      <xdr:nvPicPr>
        <xdr:cNvPr id="1410" name="Picture 1409"/>
        <xdr:cNvPicPr>
          <a:picLocks noChangeAspect="1" noChangeArrowheads="1"/>
        </xdr:cNvPicPr>
      </xdr:nvPicPr>
      <xdr:blipFill>
        <a:blip xmlns:r="http://schemas.openxmlformats.org/officeDocument/2006/relationships" r:embed="rId1409">
          <a:extLst>
            <a:ext uri="{28A0092B-C50C-407E-A947-70E740481C1C}">
              <a14:useLocalDpi xmlns:a14="http://schemas.microsoft.com/office/drawing/2010/main" val="0"/>
            </a:ext>
          </a:extLst>
        </a:blip>
        <a:srcRect/>
        <a:stretch>
          <a:fillRect/>
        </a:stretch>
      </xdr:blipFill>
      <xdr:spPr bwMode="auto">
        <a:xfrm>
          <a:off x="1228725" y="2669333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1411</xdr:row>
      <xdr:rowOff>19050</xdr:rowOff>
    </xdr:from>
    <xdr:to>
      <xdr:col>2</xdr:col>
      <xdr:colOff>1733550</xdr:colOff>
      <xdr:row>1411</xdr:row>
      <xdr:rowOff>1666875</xdr:rowOff>
    </xdr:to>
    <xdr:pic>
      <xdr:nvPicPr>
        <xdr:cNvPr id="1411" name="Picture 1410"/>
        <xdr:cNvPicPr>
          <a:picLocks noChangeAspect="1" noChangeArrowheads="1"/>
        </xdr:cNvPicPr>
      </xdr:nvPicPr>
      <xdr:blipFill>
        <a:blip xmlns:r="http://schemas.openxmlformats.org/officeDocument/2006/relationships" r:embed="rId1410">
          <a:extLst>
            <a:ext uri="{28A0092B-C50C-407E-A947-70E740481C1C}">
              <a14:useLocalDpi xmlns:a14="http://schemas.microsoft.com/office/drawing/2010/main" val="0"/>
            </a:ext>
          </a:extLst>
        </a:blip>
        <a:srcRect/>
        <a:stretch>
          <a:fillRect/>
        </a:stretch>
      </xdr:blipFill>
      <xdr:spPr bwMode="auto">
        <a:xfrm>
          <a:off x="1228725" y="267124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1412</xdr:row>
      <xdr:rowOff>19050</xdr:rowOff>
    </xdr:from>
    <xdr:to>
      <xdr:col>2</xdr:col>
      <xdr:colOff>1733550</xdr:colOff>
      <xdr:row>1412</xdr:row>
      <xdr:rowOff>1666875</xdr:rowOff>
    </xdr:to>
    <xdr:pic>
      <xdr:nvPicPr>
        <xdr:cNvPr id="1412" name="Picture 1411"/>
        <xdr:cNvPicPr>
          <a:picLocks noChangeAspect="1" noChangeArrowheads="1"/>
        </xdr:cNvPicPr>
      </xdr:nvPicPr>
      <xdr:blipFill>
        <a:blip xmlns:r="http://schemas.openxmlformats.org/officeDocument/2006/relationships" r:embed="rId1411">
          <a:extLst>
            <a:ext uri="{28A0092B-C50C-407E-A947-70E740481C1C}">
              <a14:useLocalDpi xmlns:a14="http://schemas.microsoft.com/office/drawing/2010/main" val="0"/>
            </a:ext>
          </a:extLst>
        </a:blip>
        <a:srcRect/>
        <a:stretch>
          <a:fillRect/>
        </a:stretch>
      </xdr:blipFill>
      <xdr:spPr bwMode="auto">
        <a:xfrm>
          <a:off x="1228725" y="2673162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1413</xdr:row>
      <xdr:rowOff>19050</xdr:rowOff>
    </xdr:from>
    <xdr:to>
      <xdr:col>2</xdr:col>
      <xdr:colOff>1733550</xdr:colOff>
      <xdr:row>1413</xdr:row>
      <xdr:rowOff>1666875</xdr:rowOff>
    </xdr:to>
    <xdr:pic>
      <xdr:nvPicPr>
        <xdr:cNvPr id="1413" name="Picture 1412"/>
        <xdr:cNvPicPr>
          <a:picLocks noChangeAspect="1" noChangeArrowheads="1"/>
        </xdr:cNvPicPr>
      </xdr:nvPicPr>
      <xdr:blipFill>
        <a:blip xmlns:r="http://schemas.openxmlformats.org/officeDocument/2006/relationships" r:embed="rId1412">
          <a:extLst>
            <a:ext uri="{28A0092B-C50C-407E-A947-70E740481C1C}">
              <a14:useLocalDpi xmlns:a14="http://schemas.microsoft.com/office/drawing/2010/main" val="0"/>
            </a:ext>
          </a:extLst>
        </a:blip>
        <a:srcRect/>
        <a:stretch>
          <a:fillRect/>
        </a:stretch>
      </xdr:blipFill>
      <xdr:spPr bwMode="auto">
        <a:xfrm>
          <a:off x="1228725" y="2675077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1414</xdr:row>
      <xdr:rowOff>19050</xdr:rowOff>
    </xdr:from>
    <xdr:to>
      <xdr:col>2</xdr:col>
      <xdr:colOff>1733550</xdr:colOff>
      <xdr:row>1414</xdr:row>
      <xdr:rowOff>1666875</xdr:rowOff>
    </xdr:to>
    <xdr:pic>
      <xdr:nvPicPr>
        <xdr:cNvPr id="1414" name="Picture 1413"/>
        <xdr:cNvPicPr>
          <a:picLocks noChangeAspect="1" noChangeArrowheads="1"/>
        </xdr:cNvPicPr>
      </xdr:nvPicPr>
      <xdr:blipFill>
        <a:blip xmlns:r="http://schemas.openxmlformats.org/officeDocument/2006/relationships" r:embed="rId1413">
          <a:extLst>
            <a:ext uri="{28A0092B-C50C-407E-A947-70E740481C1C}">
              <a14:useLocalDpi xmlns:a14="http://schemas.microsoft.com/office/drawing/2010/main" val="0"/>
            </a:ext>
          </a:extLst>
        </a:blip>
        <a:srcRect/>
        <a:stretch>
          <a:fillRect/>
        </a:stretch>
      </xdr:blipFill>
      <xdr:spPr bwMode="auto">
        <a:xfrm>
          <a:off x="1228725" y="2676991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1415</xdr:row>
      <xdr:rowOff>19050</xdr:rowOff>
    </xdr:from>
    <xdr:to>
      <xdr:col>2</xdr:col>
      <xdr:colOff>1733550</xdr:colOff>
      <xdr:row>1415</xdr:row>
      <xdr:rowOff>1666875</xdr:rowOff>
    </xdr:to>
    <xdr:pic>
      <xdr:nvPicPr>
        <xdr:cNvPr id="1415" name="Picture 1414"/>
        <xdr:cNvPicPr>
          <a:picLocks noChangeAspect="1" noChangeArrowheads="1"/>
        </xdr:cNvPicPr>
      </xdr:nvPicPr>
      <xdr:blipFill>
        <a:blip xmlns:r="http://schemas.openxmlformats.org/officeDocument/2006/relationships" r:embed="rId1414">
          <a:extLst>
            <a:ext uri="{28A0092B-C50C-407E-A947-70E740481C1C}">
              <a14:useLocalDpi xmlns:a14="http://schemas.microsoft.com/office/drawing/2010/main" val="0"/>
            </a:ext>
          </a:extLst>
        </a:blip>
        <a:srcRect/>
        <a:stretch>
          <a:fillRect/>
        </a:stretch>
      </xdr:blipFill>
      <xdr:spPr bwMode="auto">
        <a:xfrm>
          <a:off x="1228725" y="2678906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1416</xdr:row>
      <xdr:rowOff>19050</xdr:rowOff>
    </xdr:from>
    <xdr:to>
      <xdr:col>2</xdr:col>
      <xdr:colOff>1733550</xdr:colOff>
      <xdr:row>1416</xdr:row>
      <xdr:rowOff>1666875</xdr:rowOff>
    </xdr:to>
    <xdr:pic>
      <xdr:nvPicPr>
        <xdr:cNvPr id="1416" name="Picture 1415"/>
        <xdr:cNvPicPr>
          <a:picLocks noChangeAspect="1" noChangeArrowheads="1"/>
        </xdr:cNvPicPr>
      </xdr:nvPicPr>
      <xdr:blipFill>
        <a:blip xmlns:r="http://schemas.openxmlformats.org/officeDocument/2006/relationships" r:embed="rId1415">
          <a:extLst>
            <a:ext uri="{28A0092B-C50C-407E-A947-70E740481C1C}">
              <a14:useLocalDpi xmlns:a14="http://schemas.microsoft.com/office/drawing/2010/main" val="0"/>
            </a:ext>
          </a:extLst>
        </a:blip>
        <a:srcRect/>
        <a:stretch>
          <a:fillRect/>
        </a:stretch>
      </xdr:blipFill>
      <xdr:spPr bwMode="auto">
        <a:xfrm>
          <a:off x="1228725" y="2680820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1417</xdr:row>
      <xdr:rowOff>19050</xdr:rowOff>
    </xdr:from>
    <xdr:to>
      <xdr:col>2</xdr:col>
      <xdr:colOff>1733550</xdr:colOff>
      <xdr:row>1417</xdr:row>
      <xdr:rowOff>1666875</xdr:rowOff>
    </xdr:to>
    <xdr:pic>
      <xdr:nvPicPr>
        <xdr:cNvPr id="1417" name="Picture 1416"/>
        <xdr:cNvPicPr>
          <a:picLocks noChangeAspect="1" noChangeArrowheads="1"/>
        </xdr:cNvPicPr>
      </xdr:nvPicPr>
      <xdr:blipFill>
        <a:blip xmlns:r="http://schemas.openxmlformats.org/officeDocument/2006/relationships" r:embed="rId1416">
          <a:extLst>
            <a:ext uri="{28A0092B-C50C-407E-A947-70E740481C1C}">
              <a14:useLocalDpi xmlns:a14="http://schemas.microsoft.com/office/drawing/2010/main" val="0"/>
            </a:ext>
          </a:extLst>
        </a:blip>
        <a:srcRect/>
        <a:stretch>
          <a:fillRect/>
        </a:stretch>
      </xdr:blipFill>
      <xdr:spPr bwMode="auto">
        <a:xfrm>
          <a:off x="1228725" y="2682735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1418</xdr:row>
      <xdr:rowOff>19050</xdr:rowOff>
    </xdr:from>
    <xdr:to>
      <xdr:col>2</xdr:col>
      <xdr:colOff>1733550</xdr:colOff>
      <xdr:row>1418</xdr:row>
      <xdr:rowOff>1666875</xdr:rowOff>
    </xdr:to>
    <xdr:pic>
      <xdr:nvPicPr>
        <xdr:cNvPr id="1418" name="Picture 1417"/>
        <xdr:cNvPicPr>
          <a:picLocks noChangeAspect="1" noChangeArrowheads="1"/>
        </xdr:cNvPicPr>
      </xdr:nvPicPr>
      <xdr:blipFill>
        <a:blip xmlns:r="http://schemas.openxmlformats.org/officeDocument/2006/relationships" r:embed="rId1417">
          <a:extLst>
            <a:ext uri="{28A0092B-C50C-407E-A947-70E740481C1C}">
              <a14:useLocalDpi xmlns:a14="http://schemas.microsoft.com/office/drawing/2010/main" val="0"/>
            </a:ext>
          </a:extLst>
        </a:blip>
        <a:srcRect/>
        <a:stretch>
          <a:fillRect/>
        </a:stretch>
      </xdr:blipFill>
      <xdr:spPr bwMode="auto">
        <a:xfrm>
          <a:off x="1228725" y="2684649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1419</xdr:row>
      <xdr:rowOff>19050</xdr:rowOff>
    </xdr:from>
    <xdr:to>
      <xdr:col>2</xdr:col>
      <xdr:colOff>1733550</xdr:colOff>
      <xdr:row>1419</xdr:row>
      <xdr:rowOff>1666875</xdr:rowOff>
    </xdr:to>
    <xdr:pic>
      <xdr:nvPicPr>
        <xdr:cNvPr id="1419" name="Picture 1418"/>
        <xdr:cNvPicPr>
          <a:picLocks noChangeAspect="1" noChangeArrowheads="1"/>
        </xdr:cNvPicPr>
      </xdr:nvPicPr>
      <xdr:blipFill>
        <a:blip xmlns:r="http://schemas.openxmlformats.org/officeDocument/2006/relationships" r:embed="rId1418">
          <a:extLst>
            <a:ext uri="{28A0092B-C50C-407E-A947-70E740481C1C}">
              <a14:useLocalDpi xmlns:a14="http://schemas.microsoft.com/office/drawing/2010/main" val="0"/>
            </a:ext>
          </a:extLst>
        </a:blip>
        <a:srcRect/>
        <a:stretch>
          <a:fillRect/>
        </a:stretch>
      </xdr:blipFill>
      <xdr:spPr bwMode="auto">
        <a:xfrm>
          <a:off x="1228725" y="2686564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1420</xdr:row>
      <xdr:rowOff>19050</xdr:rowOff>
    </xdr:from>
    <xdr:to>
      <xdr:col>2</xdr:col>
      <xdr:colOff>1733550</xdr:colOff>
      <xdr:row>1420</xdr:row>
      <xdr:rowOff>1666875</xdr:rowOff>
    </xdr:to>
    <xdr:pic>
      <xdr:nvPicPr>
        <xdr:cNvPr id="1420" name="Picture 1419"/>
        <xdr:cNvPicPr>
          <a:picLocks noChangeAspect="1" noChangeArrowheads="1"/>
        </xdr:cNvPicPr>
      </xdr:nvPicPr>
      <xdr:blipFill>
        <a:blip xmlns:r="http://schemas.openxmlformats.org/officeDocument/2006/relationships" r:embed="rId1419">
          <a:extLst>
            <a:ext uri="{28A0092B-C50C-407E-A947-70E740481C1C}">
              <a14:useLocalDpi xmlns:a14="http://schemas.microsoft.com/office/drawing/2010/main" val="0"/>
            </a:ext>
          </a:extLst>
        </a:blip>
        <a:srcRect/>
        <a:stretch>
          <a:fillRect/>
        </a:stretch>
      </xdr:blipFill>
      <xdr:spPr bwMode="auto">
        <a:xfrm>
          <a:off x="1228725" y="2688478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1421</xdr:row>
      <xdr:rowOff>19050</xdr:rowOff>
    </xdr:from>
    <xdr:to>
      <xdr:col>2</xdr:col>
      <xdr:colOff>1733550</xdr:colOff>
      <xdr:row>1421</xdr:row>
      <xdr:rowOff>1666875</xdr:rowOff>
    </xdr:to>
    <xdr:pic>
      <xdr:nvPicPr>
        <xdr:cNvPr id="1421" name="Picture 1420"/>
        <xdr:cNvPicPr>
          <a:picLocks noChangeAspect="1" noChangeArrowheads="1"/>
        </xdr:cNvPicPr>
      </xdr:nvPicPr>
      <xdr:blipFill>
        <a:blip xmlns:r="http://schemas.openxmlformats.org/officeDocument/2006/relationships" r:embed="rId1420">
          <a:extLst>
            <a:ext uri="{28A0092B-C50C-407E-A947-70E740481C1C}">
              <a14:useLocalDpi xmlns:a14="http://schemas.microsoft.com/office/drawing/2010/main" val="0"/>
            </a:ext>
          </a:extLst>
        </a:blip>
        <a:srcRect/>
        <a:stretch>
          <a:fillRect/>
        </a:stretch>
      </xdr:blipFill>
      <xdr:spPr bwMode="auto">
        <a:xfrm>
          <a:off x="1228725" y="2690393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1422</xdr:row>
      <xdr:rowOff>19050</xdr:rowOff>
    </xdr:from>
    <xdr:to>
      <xdr:col>2</xdr:col>
      <xdr:colOff>1733550</xdr:colOff>
      <xdr:row>1422</xdr:row>
      <xdr:rowOff>1666875</xdr:rowOff>
    </xdr:to>
    <xdr:pic>
      <xdr:nvPicPr>
        <xdr:cNvPr id="1422" name="Picture 1421"/>
        <xdr:cNvPicPr>
          <a:picLocks noChangeAspect="1" noChangeArrowheads="1"/>
        </xdr:cNvPicPr>
      </xdr:nvPicPr>
      <xdr:blipFill>
        <a:blip xmlns:r="http://schemas.openxmlformats.org/officeDocument/2006/relationships" r:embed="rId1421">
          <a:extLst>
            <a:ext uri="{28A0092B-C50C-407E-A947-70E740481C1C}">
              <a14:useLocalDpi xmlns:a14="http://schemas.microsoft.com/office/drawing/2010/main" val="0"/>
            </a:ext>
          </a:extLst>
        </a:blip>
        <a:srcRect/>
        <a:stretch>
          <a:fillRect/>
        </a:stretch>
      </xdr:blipFill>
      <xdr:spPr bwMode="auto">
        <a:xfrm>
          <a:off x="1228725" y="2692307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1423</xdr:row>
      <xdr:rowOff>19050</xdr:rowOff>
    </xdr:from>
    <xdr:to>
      <xdr:col>2</xdr:col>
      <xdr:colOff>1733550</xdr:colOff>
      <xdr:row>1423</xdr:row>
      <xdr:rowOff>1666875</xdr:rowOff>
    </xdr:to>
    <xdr:pic>
      <xdr:nvPicPr>
        <xdr:cNvPr id="1423" name="Picture 1422"/>
        <xdr:cNvPicPr>
          <a:picLocks noChangeAspect="1" noChangeArrowheads="1"/>
        </xdr:cNvPicPr>
      </xdr:nvPicPr>
      <xdr:blipFill>
        <a:blip xmlns:r="http://schemas.openxmlformats.org/officeDocument/2006/relationships" r:embed="rId1422">
          <a:extLst>
            <a:ext uri="{28A0092B-C50C-407E-A947-70E740481C1C}">
              <a14:useLocalDpi xmlns:a14="http://schemas.microsoft.com/office/drawing/2010/main" val="0"/>
            </a:ext>
          </a:extLst>
        </a:blip>
        <a:srcRect/>
        <a:stretch>
          <a:fillRect/>
        </a:stretch>
      </xdr:blipFill>
      <xdr:spPr bwMode="auto">
        <a:xfrm>
          <a:off x="1228725" y="2694222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1424</xdr:row>
      <xdr:rowOff>19050</xdr:rowOff>
    </xdr:from>
    <xdr:to>
      <xdr:col>2</xdr:col>
      <xdr:colOff>1733550</xdr:colOff>
      <xdr:row>1424</xdr:row>
      <xdr:rowOff>1666875</xdr:rowOff>
    </xdr:to>
    <xdr:pic>
      <xdr:nvPicPr>
        <xdr:cNvPr id="1424" name="Picture 1423"/>
        <xdr:cNvPicPr>
          <a:picLocks noChangeAspect="1" noChangeArrowheads="1"/>
        </xdr:cNvPicPr>
      </xdr:nvPicPr>
      <xdr:blipFill>
        <a:blip xmlns:r="http://schemas.openxmlformats.org/officeDocument/2006/relationships" r:embed="rId1423">
          <a:extLst>
            <a:ext uri="{28A0092B-C50C-407E-A947-70E740481C1C}">
              <a14:useLocalDpi xmlns:a14="http://schemas.microsoft.com/office/drawing/2010/main" val="0"/>
            </a:ext>
          </a:extLst>
        </a:blip>
        <a:srcRect/>
        <a:stretch>
          <a:fillRect/>
        </a:stretch>
      </xdr:blipFill>
      <xdr:spPr bwMode="auto">
        <a:xfrm>
          <a:off x="1228725" y="2696136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1425</xdr:row>
      <xdr:rowOff>19050</xdr:rowOff>
    </xdr:from>
    <xdr:to>
      <xdr:col>2</xdr:col>
      <xdr:colOff>1733550</xdr:colOff>
      <xdr:row>1425</xdr:row>
      <xdr:rowOff>1666875</xdr:rowOff>
    </xdr:to>
    <xdr:pic>
      <xdr:nvPicPr>
        <xdr:cNvPr id="1425" name="Picture 1424"/>
        <xdr:cNvPicPr>
          <a:picLocks noChangeAspect="1" noChangeArrowheads="1"/>
        </xdr:cNvPicPr>
      </xdr:nvPicPr>
      <xdr:blipFill>
        <a:blip xmlns:r="http://schemas.openxmlformats.org/officeDocument/2006/relationships" r:embed="rId1424">
          <a:extLst>
            <a:ext uri="{28A0092B-C50C-407E-A947-70E740481C1C}">
              <a14:useLocalDpi xmlns:a14="http://schemas.microsoft.com/office/drawing/2010/main" val="0"/>
            </a:ext>
          </a:extLst>
        </a:blip>
        <a:srcRect/>
        <a:stretch>
          <a:fillRect/>
        </a:stretch>
      </xdr:blipFill>
      <xdr:spPr bwMode="auto">
        <a:xfrm>
          <a:off x="1228725" y="269805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1426</xdr:row>
      <xdr:rowOff>19050</xdr:rowOff>
    </xdr:from>
    <xdr:to>
      <xdr:col>2</xdr:col>
      <xdr:colOff>1733550</xdr:colOff>
      <xdr:row>1426</xdr:row>
      <xdr:rowOff>1666875</xdr:rowOff>
    </xdr:to>
    <xdr:pic>
      <xdr:nvPicPr>
        <xdr:cNvPr id="1426" name="Picture 1425"/>
        <xdr:cNvPicPr>
          <a:picLocks noChangeAspect="1" noChangeArrowheads="1"/>
        </xdr:cNvPicPr>
      </xdr:nvPicPr>
      <xdr:blipFill>
        <a:blip xmlns:r="http://schemas.openxmlformats.org/officeDocument/2006/relationships" r:embed="rId1425">
          <a:extLst>
            <a:ext uri="{28A0092B-C50C-407E-A947-70E740481C1C}">
              <a14:useLocalDpi xmlns:a14="http://schemas.microsoft.com/office/drawing/2010/main" val="0"/>
            </a:ext>
          </a:extLst>
        </a:blip>
        <a:srcRect/>
        <a:stretch>
          <a:fillRect/>
        </a:stretch>
      </xdr:blipFill>
      <xdr:spPr bwMode="auto">
        <a:xfrm>
          <a:off x="1228725" y="269996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1427</xdr:row>
      <xdr:rowOff>19050</xdr:rowOff>
    </xdr:from>
    <xdr:to>
      <xdr:col>2</xdr:col>
      <xdr:colOff>1733550</xdr:colOff>
      <xdr:row>1427</xdr:row>
      <xdr:rowOff>1666875</xdr:rowOff>
    </xdr:to>
    <xdr:pic>
      <xdr:nvPicPr>
        <xdr:cNvPr id="1427" name="Picture 1426"/>
        <xdr:cNvPicPr>
          <a:picLocks noChangeAspect="1" noChangeArrowheads="1"/>
        </xdr:cNvPicPr>
      </xdr:nvPicPr>
      <xdr:blipFill>
        <a:blip xmlns:r="http://schemas.openxmlformats.org/officeDocument/2006/relationships" r:embed="rId1426">
          <a:extLst>
            <a:ext uri="{28A0092B-C50C-407E-A947-70E740481C1C}">
              <a14:useLocalDpi xmlns:a14="http://schemas.microsoft.com/office/drawing/2010/main" val="0"/>
            </a:ext>
          </a:extLst>
        </a:blip>
        <a:srcRect/>
        <a:stretch>
          <a:fillRect/>
        </a:stretch>
      </xdr:blipFill>
      <xdr:spPr bwMode="auto">
        <a:xfrm>
          <a:off x="1228725" y="270188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1428</xdr:row>
      <xdr:rowOff>19050</xdr:rowOff>
    </xdr:from>
    <xdr:to>
      <xdr:col>2</xdr:col>
      <xdr:colOff>1733550</xdr:colOff>
      <xdr:row>1428</xdr:row>
      <xdr:rowOff>1666875</xdr:rowOff>
    </xdr:to>
    <xdr:pic>
      <xdr:nvPicPr>
        <xdr:cNvPr id="1428" name="Picture 1427"/>
        <xdr:cNvPicPr>
          <a:picLocks noChangeAspect="1" noChangeArrowheads="1"/>
        </xdr:cNvPicPr>
      </xdr:nvPicPr>
      <xdr:blipFill>
        <a:blip xmlns:r="http://schemas.openxmlformats.org/officeDocument/2006/relationships" r:embed="rId1427">
          <a:extLst>
            <a:ext uri="{28A0092B-C50C-407E-A947-70E740481C1C}">
              <a14:useLocalDpi xmlns:a14="http://schemas.microsoft.com/office/drawing/2010/main" val="0"/>
            </a:ext>
          </a:extLst>
        </a:blip>
        <a:srcRect/>
        <a:stretch>
          <a:fillRect/>
        </a:stretch>
      </xdr:blipFill>
      <xdr:spPr bwMode="auto">
        <a:xfrm>
          <a:off x="1228725" y="270379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1429</xdr:row>
      <xdr:rowOff>19050</xdr:rowOff>
    </xdr:from>
    <xdr:to>
      <xdr:col>2</xdr:col>
      <xdr:colOff>1733550</xdr:colOff>
      <xdr:row>1429</xdr:row>
      <xdr:rowOff>1666875</xdr:rowOff>
    </xdr:to>
    <xdr:pic>
      <xdr:nvPicPr>
        <xdr:cNvPr id="1429" name="Picture 1428"/>
        <xdr:cNvPicPr>
          <a:picLocks noChangeAspect="1" noChangeArrowheads="1"/>
        </xdr:cNvPicPr>
      </xdr:nvPicPr>
      <xdr:blipFill>
        <a:blip xmlns:r="http://schemas.openxmlformats.org/officeDocument/2006/relationships" r:embed="rId1428">
          <a:extLst>
            <a:ext uri="{28A0092B-C50C-407E-A947-70E740481C1C}">
              <a14:useLocalDpi xmlns:a14="http://schemas.microsoft.com/office/drawing/2010/main" val="0"/>
            </a:ext>
          </a:extLst>
        </a:blip>
        <a:srcRect/>
        <a:stretch>
          <a:fillRect/>
        </a:stretch>
      </xdr:blipFill>
      <xdr:spPr bwMode="auto">
        <a:xfrm>
          <a:off x="1228725" y="270570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1430</xdr:row>
      <xdr:rowOff>19050</xdr:rowOff>
    </xdr:from>
    <xdr:to>
      <xdr:col>2</xdr:col>
      <xdr:colOff>1733550</xdr:colOff>
      <xdr:row>1430</xdr:row>
      <xdr:rowOff>1666875</xdr:rowOff>
    </xdr:to>
    <xdr:pic>
      <xdr:nvPicPr>
        <xdr:cNvPr id="1430" name="Picture 1429"/>
        <xdr:cNvPicPr>
          <a:picLocks noChangeAspect="1" noChangeArrowheads="1"/>
        </xdr:cNvPicPr>
      </xdr:nvPicPr>
      <xdr:blipFill>
        <a:blip xmlns:r="http://schemas.openxmlformats.org/officeDocument/2006/relationships" r:embed="rId1429">
          <a:extLst>
            <a:ext uri="{28A0092B-C50C-407E-A947-70E740481C1C}">
              <a14:useLocalDpi xmlns:a14="http://schemas.microsoft.com/office/drawing/2010/main" val="0"/>
            </a:ext>
          </a:extLst>
        </a:blip>
        <a:srcRect/>
        <a:stretch>
          <a:fillRect/>
        </a:stretch>
      </xdr:blipFill>
      <xdr:spPr bwMode="auto">
        <a:xfrm>
          <a:off x="1228725" y="270762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1431</xdr:row>
      <xdr:rowOff>19050</xdr:rowOff>
    </xdr:from>
    <xdr:to>
      <xdr:col>2</xdr:col>
      <xdr:colOff>1733550</xdr:colOff>
      <xdr:row>1431</xdr:row>
      <xdr:rowOff>1666875</xdr:rowOff>
    </xdr:to>
    <xdr:pic>
      <xdr:nvPicPr>
        <xdr:cNvPr id="1431" name="Picture 1430"/>
        <xdr:cNvPicPr>
          <a:picLocks noChangeAspect="1" noChangeArrowheads="1"/>
        </xdr:cNvPicPr>
      </xdr:nvPicPr>
      <xdr:blipFill>
        <a:blip xmlns:r="http://schemas.openxmlformats.org/officeDocument/2006/relationships" r:embed="rId1430">
          <a:extLst>
            <a:ext uri="{28A0092B-C50C-407E-A947-70E740481C1C}">
              <a14:useLocalDpi xmlns:a14="http://schemas.microsoft.com/office/drawing/2010/main" val="0"/>
            </a:ext>
          </a:extLst>
        </a:blip>
        <a:srcRect/>
        <a:stretch>
          <a:fillRect/>
        </a:stretch>
      </xdr:blipFill>
      <xdr:spPr bwMode="auto">
        <a:xfrm>
          <a:off x="1228725" y="270953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1432</xdr:row>
      <xdr:rowOff>19050</xdr:rowOff>
    </xdr:from>
    <xdr:to>
      <xdr:col>2</xdr:col>
      <xdr:colOff>1733550</xdr:colOff>
      <xdr:row>1432</xdr:row>
      <xdr:rowOff>1666875</xdr:rowOff>
    </xdr:to>
    <xdr:pic>
      <xdr:nvPicPr>
        <xdr:cNvPr id="1432" name="Picture 1431"/>
        <xdr:cNvPicPr>
          <a:picLocks noChangeAspect="1" noChangeArrowheads="1"/>
        </xdr:cNvPicPr>
      </xdr:nvPicPr>
      <xdr:blipFill>
        <a:blip xmlns:r="http://schemas.openxmlformats.org/officeDocument/2006/relationships" r:embed="rId1431">
          <a:extLst>
            <a:ext uri="{28A0092B-C50C-407E-A947-70E740481C1C}">
              <a14:useLocalDpi xmlns:a14="http://schemas.microsoft.com/office/drawing/2010/main" val="0"/>
            </a:ext>
          </a:extLst>
        </a:blip>
        <a:srcRect/>
        <a:stretch>
          <a:fillRect/>
        </a:stretch>
      </xdr:blipFill>
      <xdr:spPr bwMode="auto">
        <a:xfrm>
          <a:off x="1228725" y="271145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1433</xdr:row>
      <xdr:rowOff>19050</xdr:rowOff>
    </xdr:from>
    <xdr:to>
      <xdr:col>2</xdr:col>
      <xdr:colOff>1733550</xdr:colOff>
      <xdr:row>1433</xdr:row>
      <xdr:rowOff>1666875</xdr:rowOff>
    </xdr:to>
    <xdr:pic>
      <xdr:nvPicPr>
        <xdr:cNvPr id="1433" name="Picture 1432"/>
        <xdr:cNvPicPr>
          <a:picLocks noChangeAspect="1" noChangeArrowheads="1"/>
        </xdr:cNvPicPr>
      </xdr:nvPicPr>
      <xdr:blipFill>
        <a:blip xmlns:r="http://schemas.openxmlformats.org/officeDocument/2006/relationships" r:embed="rId1432">
          <a:extLst>
            <a:ext uri="{28A0092B-C50C-407E-A947-70E740481C1C}">
              <a14:useLocalDpi xmlns:a14="http://schemas.microsoft.com/office/drawing/2010/main" val="0"/>
            </a:ext>
          </a:extLst>
        </a:blip>
        <a:srcRect/>
        <a:stretch>
          <a:fillRect/>
        </a:stretch>
      </xdr:blipFill>
      <xdr:spPr bwMode="auto">
        <a:xfrm>
          <a:off x="1228725" y="271336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1434</xdr:row>
      <xdr:rowOff>19050</xdr:rowOff>
    </xdr:from>
    <xdr:to>
      <xdr:col>2</xdr:col>
      <xdr:colOff>1733550</xdr:colOff>
      <xdr:row>1434</xdr:row>
      <xdr:rowOff>1666875</xdr:rowOff>
    </xdr:to>
    <xdr:pic>
      <xdr:nvPicPr>
        <xdr:cNvPr id="1434" name="Picture 1433"/>
        <xdr:cNvPicPr>
          <a:picLocks noChangeAspect="1" noChangeArrowheads="1"/>
        </xdr:cNvPicPr>
      </xdr:nvPicPr>
      <xdr:blipFill>
        <a:blip xmlns:r="http://schemas.openxmlformats.org/officeDocument/2006/relationships" r:embed="rId1433">
          <a:extLst>
            <a:ext uri="{28A0092B-C50C-407E-A947-70E740481C1C}">
              <a14:useLocalDpi xmlns:a14="http://schemas.microsoft.com/office/drawing/2010/main" val="0"/>
            </a:ext>
          </a:extLst>
        </a:blip>
        <a:srcRect/>
        <a:stretch>
          <a:fillRect/>
        </a:stretch>
      </xdr:blipFill>
      <xdr:spPr bwMode="auto">
        <a:xfrm>
          <a:off x="1228725" y="271528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1435</xdr:row>
      <xdr:rowOff>19050</xdr:rowOff>
    </xdr:from>
    <xdr:to>
      <xdr:col>2</xdr:col>
      <xdr:colOff>1733550</xdr:colOff>
      <xdr:row>1435</xdr:row>
      <xdr:rowOff>1666875</xdr:rowOff>
    </xdr:to>
    <xdr:pic>
      <xdr:nvPicPr>
        <xdr:cNvPr id="1435" name="Picture 1434"/>
        <xdr:cNvPicPr>
          <a:picLocks noChangeAspect="1" noChangeArrowheads="1"/>
        </xdr:cNvPicPr>
      </xdr:nvPicPr>
      <xdr:blipFill>
        <a:blip xmlns:r="http://schemas.openxmlformats.org/officeDocument/2006/relationships" r:embed="rId1434">
          <a:extLst>
            <a:ext uri="{28A0092B-C50C-407E-A947-70E740481C1C}">
              <a14:useLocalDpi xmlns:a14="http://schemas.microsoft.com/office/drawing/2010/main" val="0"/>
            </a:ext>
          </a:extLst>
        </a:blip>
        <a:srcRect/>
        <a:stretch>
          <a:fillRect/>
        </a:stretch>
      </xdr:blipFill>
      <xdr:spPr bwMode="auto">
        <a:xfrm>
          <a:off x="1228725" y="271719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1436</xdr:row>
      <xdr:rowOff>19050</xdr:rowOff>
    </xdr:from>
    <xdr:to>
      <xdr:col>2</xdr:col>
      <xdr:colOff>1733550</xdr:colOff>
      <xdr:row>1436</xdr:row>
      <xdr:rowOff>1666875</xdr:rowOff>
    </xdr:to>
    <xdr:pic>
      <xdr:nvPicPr>
        <xdr:cNvPr id="1436" name="Picture 1435"/>
        <xdr:cNvPicPr>
          <a:picLocks noChangeAspect="1" noChangeArrowheads="1"/>
        </xdr:cNvPicPr>
      </xdr:nvPicPr>
      <xdr:blipFill>
        <a:blip xmlns:r="http://schemas.openxmlformats.org/officeDocument/2006/relationships" r:embed="rId1435">
          <a:extLst>
            <a:ext uri="{28A0092B-C50C-407E-A947-70E740481C1C}">
              <a14:useLocalDpi xmlns:a14="http://schemas.microsoft.com/office/drawing/2010/main" val="0"/>
            </a:ext>
          </a:extLst>
        </a:blip>
        <a:srcRect/>
        <a:stretch>
          <a:fillRect/>
        </a:stretch>
      </xdr:blipFill>
      <xdr:spPr bwMode="auto">
        <a:xfrm>
          <a:off x="1228725" y="271911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1437</xdr:row>
      <xdr:rowOff>19050</xdr:rowOff>
    </xdr:from>
    <xdr:to>
      <xdr:col>2</xdr:col>
      <xdr:colOff>1733550</xdr:colOff>
      <xdr:row>1437</xdr:row>
      <xdr:rowOff>1666875</xdr:rowOff>
    </xdr:to>
    <xdr:pic>
      <xdr:nvPicPr>
        <xdr:cNvPr id="1437" name="Picture 1436"/>
        <xdr:cNvPicPr>
          <a:picLocks noChangeAspect="1" noChangeArrowheads="1"/>
        </xdr:cNvPicPr>
      </xdr:nvPicPr>
      <xdr:blipFill>
        <a:blip xmlns:r="http://schemas.openxmlformats.org/officeDocument/2006/relationships" r:embed="rId1436">
          <a:extLst>
            <a:ext uri="{28A0092B-C50C-407E-A947-70E740481C1C}">
              <a14:useLocalDpi xmlns:a14="http://schemas.microsoft.com/office/drawing/2010/main" val="0"/>
            </a:ext>
          </a:extLst>
        </a:blip>
        <a:srcRect/>
        <a:stretch>
          <a:fillRect/>
        </a:stretch>
      </xdr:blipFill>
      <xdr:spPr bwMode="auto">
        <a:xfrm>
          <a:off x="1228725" y="272102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1438</xdr:row>
      <xdr:rowOff>19050</xdr:rowOff>
    </xdr:from>
    <xdr:to>
      <xdr:col>2</xdr:col>
      <xdr:colOff>1733550</xdr:colOff>
      <xdr:row>1438</xdr:row>
      <xdr:rowOff>1666875</xdr:rowOff>
    </xdr:to>
    <xdr:pic>
      <xdr:nvPicPr>
        <xdr:cNvPr id="1438" name="Picture 1437"/>
        <xdr:cNvPicPr>
          <a:picLocks noChangeAspect="1" noChangeArrowheads="1"/>
        </xdr:cNvPicPr>
      </xdr:nvPicPr>
      <xdr:blipFill>
        <a:blip xmlns:r="http://schemas.openxmlformats.org/officeDocument/2006/relationships" r:embed="rId1437">
          <a:extLst>
            <a:ext uri="{28A0092B-C50C-407E-A947-70E740481C1C}">
              <a14:useLocalDpi xmlns:a14="http://schemas.microsoft.com/office/drawing/2010/main" val="0"/>
            </a:ext>
          </a:extLst>
        </a:blip>
        <a:srcRect/>
        <a:stretch>
          <a:fillRect/>
        </a:stretch>
      </xdr:blipFill>
      <xdr:spPr bwMode="auto">
        <a:xfrm>
          <a:off x="1228725" y="272294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1439</xdr:row>
      <xdr:rowOff>19050</xdr:rowOff>
    </xdr:from>
    <xdr:to>
      <xdr:col>2</xdr:col>
      <xdr:colOff>1733550</xdr:colOff>
      <xdr:row>1439</xdr:row>
      <xdr:rowOff>1666875</xdr:rowOff>
    </xdr:to>
    <xdr:pic>
      <xdr:nvPicPr>
        <xdr:cNvPr id="1439" name="Picture 1438"/>
        <xdr:cNvPicPr>
          <a:picLocks noChangeAspect="1" noChangeArrowheads="1"/>
        </xdr:cNvPicPr>
      </xdr:nvPicPr>
      <xdr:blipFill>
        <a:blip xmlns:r="http://schemas.openxmlformats.org/officeDocument/2006/relationships" r:embed="rId1438">
          <a:extLst>
            <a:ext uri="{28A0092B-C50C-407E-A947-70E740481C1C}">
              <a14:useLocalDpi xmlns:a14="http://schemas.microsoft.com/office/drawing/2010/main" val="0"/>
            </a:ext>
          </a:extLst>
        </a:blip>
        <a:srcRect/>
        <a:stretch>
          <a:fillRect/>
        </a:stretch>
      </xdr:blipFill>
      <xdr:spPr bwMode="auto">
        <a:xfrm>
          <a:off x="1228725" y="272485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1440</xdr:row>
      <xdr:rowOff>19050</xdr:rowOff>
    </xdr:from>
    <xdr:to>
      <xdr:col>2</xdr:col>
      <xdr:colOff>1733550</xdr:colOff>
      <xdr:row>1440</xdr:row>
      <xdr:rowOff>1666875</xdr:rowOff>
    </xdr:to>
    <xdr:pic>
      <xdr:nvPicPr>
        <xdr:cNvPr id="1440" name="Picture 1439"/>
        <xdr:cNvPicPr>
          <a:picLocks noChangeAspect="1" noChangeArrowheads="1"/>
        </xdr:cNvPicPr>
      </xdr:nvPicPr>
      <xdr:blipFill>
        <a:blip xmlns:r="http://schemas.openxmlformats.org/officeDocument/2006/relationships" r:embed="rId1439">
          <a:extLst>
            <a:ext uri="{28A0092B-C50C-407E-A947-70E740481C1C}">
              <a14:useLocalDpi xmlns:a14="http://schemas.microsoft.com/office/drawing/2010/main" val="0"/>
            </a:ext>
          </a:extLst>
        </a:blip>
        <a:srcRect/>
        <a:stretch>
          <a:fillRect/>
        </a:stretch>
      </xdr:blipFill>
      <xdr:spPr bwMode="auto">
        <a:xfrm>
          <a:off x="1228725" y="272676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1441</xdr:row>
      <xdr:rowOff>19050</xdr:rowOff>
    </xdr:from>
    <xdr:to>
      <xdr:col>2</xdr:col>
      <xdr:colOff>1733550</xdr:colOff>
      <xdr:row>1441</xdr:row>
      <xdr:rowOff>1666875</xdr:rowOff>
    </xdr:to>
    <xdr:pic>
      <xdr:nvPicPr>
        <xdr:cNvPr id="1441" name="Picture 1440"/>
        <xdr:cNvPicPr>
          <a:picLocks noChangeAspect="1" noChangeArrowheads="1"/>
        </xdr:cNvPicPr>
      </xdr:nvPicPr>
      <xdr:blipFill>
        <a:blip xmlns:r="http://schemas.openxmlformats.org/officeDocument/2006/relationships" r:embed="rId1440">
          <a:extLst>
            <a:ext uri="{28A0092B-C50C-407E-A947-70E740481C1C}">
              <a14:useLocalDpi xmlns:a14="http://schemas.microsoft.com/office/drawing/2010/main" val="0"/>
            </a:ext>
          </a:extLst>
        </a:blip>
        <a:srcRect/>
        <a:stretch>
          <a:fillRect/>
        </a:stretch>
      </xdr:blipFill>
      <xdr:spPr bwMode="auto">
        <a:xfrm>
          <a:off x="1228725" y="272868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1442</xdr:row>
      <xdr:rowOff>19050</xdr:rowOff>
    </xdr:from>
    <xdr:to>
      <xdr:col>2</xdr:col>
      <xdr:colOff>1733550</xdr:colOff>
      <xdr:row>1442</xdr:row>
      <xdr:rowOff>1666875</xdr:rowOff>
    </xdr:to>
    <xdr:pic>
      <xdr:nvPicPr>
        <xdr:cNvPr id="1442" name="Picture 1441"/>
        <xdr:cNvPicPr>
          <a:picLocks noChangeAspect="1" noChangeArrowheads="1"/>
        </xdr:cNvPicPr>
      </xdr:nvPicPr>
      <xdr:blipFill>
        <a:blip xmlns:r="http://schemas.openxmlformats.org/officeDocument/2006/relationships" r:embed="rId1441">
          <a:extLst>
            <a:ext uri="{28A0092B-C50C-407E-A947-70E740481C1C}">
              <a14:useLocalDpi xmlns:a14="http://schemas.microsoft.com/office/drawing/2010/main" val="0"/>
            </a:ext>
          </a:extLst>
        </a:blip>
        <a:srcRect/>
        <a:stretch>
          <a:fillRect/>
        </a:stretch>
      </xdr:blipFill>
      <xdr:spPr bwMode="auto">
        <a:xfrm>
          <a:off x="1228725" y="2730598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1443</xdr:row>
      <xdr:rowOff>19050</xdr:rowOff>
    </xdr:from>
    <xdr:to>
      <xdr:col>2</xdr:col>
      <xdr:colOff>1733550</xdr:colOff>
      <xdr:row>1443</xdr:row>
      <xdr:rowOff>1666875</xdr:rowOff>
    </xdr:to>
    <xdr:pic>
      <xdr:nvPicPr>
        <xdr:cNvPr id="1443" name="Picture 1442"/>
        <xdr:cNvPicPr>
          <a:picLocks noChangeAspect="1" noChangeArrowheads="1"/>
        </xdr:cNvPicPr>
      </xdr:nvPicPr>
      <xdr:blipFill>
        <a:blip xmlns:r="http://schemas.openxmlformats.org/officeDocument/2006/relationships" r:embed="rId1442">
          <a:extLst>
            <a:ext uri="{28A0092B-C50C-407E-A947-70E740481C1C}">
              <a14:useLocalDpi xmlns:a14="http://schemas.microsoft.com/office/drawing/2010/main" val="0"/>
            </a:ext>
          </a:extLst>
        </a:blip>
        <a:srcRect/>
        <a:stretch>
          <a:fillRect/>
        </a:stretch>
      </xdr:blipFill>
      <xdr:spPr bwMode="auto">
        <a:xfrm>
          <a:off x="1228725" y="273251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1444</xdr:row>
      <xdr:rowOff>19050</xdr:rowOff>
    </xdr:from>
    <xdr:to>
      <xdr:col>2</xdr:col>
      <xdr:colOff>1733550</xdr:colOff>
      <xdr:row>1444</xdr:row>
      <xdr:rowOff>1666875</xdr:rowOff>
    </xdr:to>
    <xdr:pic>
      <xdr:nvPicPr>
        <xdr:cNvPr id="1444" name="Picture 1443"/>
        <xdr:cNvPicPr>
          <a:picLocks noChangeAspect="1" noChangeArrowheads="1"/>
        </xdr:cNvPicPr>
      </xdr:nvPicPr>
      <xdr:blipFill>
        <a:blip xmlns:r="http://schemas.openxmlformats.org/officeDocument/2006/relationships" r:embed="rId1443">
          <a:extLst>
            <a:ext uri="{28A0092B-C50C-407E-A947-70E740481C1C}">
              <a14:useLocalDpi xmlns:a14="http://schemas.microsoft.com/office/drawing/2010/main" val="0"/>
            </a:ext>
          </a:extLst>
        </a:blip>
        <a:srcRect/>
        <a:stretch>
          <a:fillRect/>
        </a:stretch>
      </xdr:blipFill>
      <xdr:spPr bwMode="auto">
        <a:xfrm>
          <a:off x="1228725" y="2734427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1445</xdr:row>
      <xdr:rowOff>19050</xdr:rowOff>
    </xdr:from>
    <xdr:to>
      <xdr:col>2</xdr:col>
      <xdr:colOff>1733550</xdr:colOff>
      <xdr:row>1445</xdr:row>
      <xdr:rowOff>1666875</xdr:rowOff>
    </xdr:to>
    <xdr:pic>
      <xdr:nvPicPr>
        <xdr:cNvPr id="1445" name="Picture 1444"/>
        <xdr:cNvPicPr>
          <a:picLocks noChangeAspect="1" noChangeArrowheads="1"/>
        </xdr:cNvPicPr>
      </xdr:nvPicPr>
      <xdr:blipFill>
        <a:blip xmlns:r="http://schemas.openxmlformats.org/officeDocument/2006/relationships" r:embed="rId1444">
          <a:extLst>
            <a:ext uri="{28A0092B-C50C-407E-A947-70E740481C1C}">
              <a14:useLocalDpi xmlns:a14="http://schemas.microsoft.com/office/drawing/2010/main" val="0"/>
            </a:ext>
          </a:extLst>
        </a:blip>
        <a:srcRect/>
        <a:stretch>
          <a:fillRect/>
        </a:stretch>
      </xdr:blipFill>
      <xdr:spPr bwMode="auto">
        <a:xfrm>
          <a:off x="1228725" y="2736342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1446</xdr:row>
      <xdr:rowOff>19050</xdr:rowOff>
    </xdr:from>
    <xdr:to>
      <xdr:col>2</xdr:col>
      <xdr:colOff>1733550</xdr:colOff>
      <xdr:row>1446</xdr:row>
      <xdr:rowOff>1666875</xdr:rowOff>
    </xdr:to>
    <xdr:pic>
      <xdr:nvPicPr>
        <xdr:cNvPr id="1446" name="Picture 1445"/>
        <xdr:cNvPicPr>
          <a:picLocks noChangeAspect="1" noChangeArrowheads="1"/>
        </xdr:cNvPicPr>
      </xdr:nvPicPr>
      <xdr:blipFill>
        <a:blip xmlns:r="http://schemas.openxmlformats.org/officeDocument/2006/relationships" r:embed="rId1445">
          <a:extLst>
            <a:ext uri="{28A0092B-C50C-407E-A947-70E740481C1C}">
              <a14:useLocalDpi xmlns:a14="http://schemas.microsoft.com/office/drawing/2010/main" val="0"/>
            </a:ext>
          </a:extLst>
        </a:blip>
        <a:srcRect/>
        <a:stretch>
          <a:fillRect/>
        </a:stretch>
      </xdr:blipFill>
      <xdr:spPr bwMode="auto">
        <a:xfrm>
          <a:off x="1228725" y="2738256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1447</xdr:row>
      <xdr:rowOff>19050</xdr:rowOff>
    </xdr:from>
    <xdr:to>
      <xdr:col>2</xdr:col>
      <xdr:colOff>1733550</xdr:colOff>
      <xdr:row>1447</xdr:row>
      <xdr:rowOff>1666875</xdr:rowOff>
    </xdr:to>
    <xdr:pic>
      <xdr:nvPicPr>
        <xdr:cNvPr id="1447" name="Picture 1446"/>
        <xdr:cNvPicPr>
          <a:picLocks noChangeAspect="1" noChangeArrowheads="1"/>
        </xdr:cNvPicPr>
      </xdr:nvPicPr>
      <xdr:blipFill>
        <a:blip xmlns:r="http://schemas.openxmlformats.org/officeDocument/2006/relationships" r:embed="rId1446">
          <a:extLst>
            <a:ext uri="{28A0092B-C50C-407E-A947-70E740481C1C}">
              <a14:useLocalDpi xmlns:a14="http://schemas.microsoft.com/office/drawing/2010/main" val="0"/>
            </a:ext>
          </a:extLst>
        </a:blip>
        <a:srcRect/>
        <a:stretch>
          <a:fillRect/>
        </a:stretch>
      </xdr:blipFill>
      <xdr:spPr bwMode="auto">
        <a:xfrm>
          <a:off x="1228725" y="2740171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1448</xdr:row>
      <xdr:rowOff>19050</xdr:rowOff>
    </xdr:from>
    <xdr:to>
      <xdr:col>2</xdr:col>
      <xdr:colOff>1733550</xdr:colOff>
      <xdr:row>1448</xdr:row>
      <xdr:rowOff>1666875</xdr:rowOff>
    </xdr:to>
    <xdr:pic>
      <xdr:nvPicPr>
        <xdr:cNvPr id="1448" name="Picture 1447"/>
        <xdr:cNvPicPr>
          <a:picLocks noChangeAspect="1" noChangeArrowheads="1"/>
        </xdr:cNvPicPr>
      </xdr:nvPicPr>
      <xdr:blipFill>
        <a:blip xmlns:r="http://schemas.openxmlformats.org/officeDocument/2006/relationships" r:embed="rId1447">
          <a:extLst>
            <a:ext uri="{28A0092B-C50C-407E-A947-70E740481C1C}">
              <a14:useLocalDpi xmlns:a14="http://schemas.microsoft.com/office/drawing/2010/main" val="0"/>
            </a:ext>
          </a:extLst>
        </a:blip>
        <a:srcRect/>
        <a:stretch>
          <a:fillRect/>
        </a:stretch>
      </xdr:blipFill>
      <xdr:spPr bwMode="auto">
        <a:xfrm>
          <a:off x="1228725" y="2742085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1449</xdr:row>
      <xdr:rowOff>19050</xdr:rowOff>
    </xdr:from>
    <xdr:to>
      <xdr:col>2</xdr:col>
      <xdr:colOff>1733550</xdr:colOff>
      <xdr:row>1449</xdr:row>
      <xdr:rowOff>1666875</xdr:rowOff>
    </xdr:to>
    <xdr:pic>
      <xdr:nvPicPr>
        <xdr:cNvPr id="1449" name="Picture 1448"/>
        <xdr:cNvPicPr>
          <a:picLocks noChangeAspect="1" noChangeArrowheads="1"/>
        </xdr:cNvPicPr>
      </xdr:nvPicPr>
      <xdr:blipFill>
        <a:blip xmlns:r="http://schemas.openxmlformats.org/officeDocument/2006/relationships" r:embed="rId1448">
          <a:extLst>
            <a:ext uri="{28A0092B-C50C-407E-A947-70E740481C1C}">
              <a14:useLocalDpi xmlns:a14="http://schemas.microsoft.com/office/drawing/2010/main" val="0"/>
            </a:ext>
          </a:extLst>
        </a:blip>
        <a:srcRect/>
        <a:stretch>
          <a:fillRect/>
        </a:stretch>
      </xdr:blipFill>
      <xdr:spPr bwMode="auto">
        <a:xfrm>
          <a:off x="1228725" y="2744000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1450</xdr:row>
      <xdr:rowOff>19050</xdr:rowOff>
    </xdr:from>
    <xdr:to>
      <xdr:col>2</xdr:col>
      <xdr:colOff>1733550</xdr:colOff>
      <xdr:row>1450</xdr:row>
      <xdr:rowOff>1666875</xdr:rowOff>
    </xdr:to>
    <xdr:pic>
      <xdr:nvPicPr>
        <xdr:cNvPr id="1450" name="Picture 1449"/>
        <xdr:cNvPicPr>
          <a:picLocks noChangeAspect="1" noChangeArrowheads="1"/>
        </xdr:cNvPicPr>
      </xdr:nvPicPr>
      <xdr:blipFill>
        <a:blip xmlns:r="http://schemas.openxmlformats.org/officeDocument/2006/relationships" r:embed="rId1449">
          <a:extLst>
            <a:ext uri="{28A0092B-C50C-407E-A947-70E740481C1C}">
              <a14:useLocalDpi xmlns:a14="http://schemas.microsoft.com/office/drawing/2010/main" val="0"/>
            </a:ext>
          </a:extLst>
        </a:blip>
        <a:srcRect/>
        <a:stretch>
          <a:fillRect/>
        </a:stretch>
      </xdr:blipFill>
      <xdr:spPr bwMode="auto">
        <a:xfrm>
          <a:off x="1228725" y="2745914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1451</xdr:row>
      <xdr:rowOff>19050</xdr:rowOff>
    </xdr:from>
    <xdr:to>
      <xdr:col>2</xdr:col>
      <xdr:colOff>1733550</xdr:colOff>
      <xdr:row>1451</xdr:row>
      <xdr:rowOff>1666875</xdr:rowOff>
    </xdr:to>
    <xdr:pic>
      <xdr:nvPicPr>
        <xdr:cNvPr id="1451" name="Picture 1450"/>
        <xdr:cNvPicPr>
          <a:picLocks noChangeAspect="1" noChangeArrowheads="1"/>
        </xdr:cNvPicPr>
      </xdr:nvPicPr>
      <xdr:blipFill>
        <a:blip xmlns:r="http://schemas.openxmlformats.org/officeDocument/2006/relationships" r:embed="rId1450">
          <a:extLst>
            <a:ext uri="{28A0092B-C50C-407E-A947-70E740481C1C}">
              <a14:useLocalDpi xmlns:a14="http://schemas.microsoft.com/office/drawing/2010/main" val="0"/>
            </a:ext>
          </a:extLst>
        </a:blip>
        <a:srcRect/>
        <a:stretch>
          <a:fillRect/>
        </a:stretch>
      </xdr:blipFill>
      <xdr:spPr bwMode="auto">
        <a:xfrm>
          <a:off x="1228725" y="2747829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1452</xdr:row>
      <xdr:rowOff>19050</xdr:rowOff>
    </xdr:from>
    <xdr:to>
      <xdr:col>2</xdr:col>
      <xdr:colOff>1733550</xdr:colOff>
      <xdr:row>1452</xdr:row>
      <xdr:rowOff>1666875</xdr:rowOff>
    </xdr:to>
    <xdr:pic>
      <xdr:nvPicPr>
        <xdr:cNvPr id="1452" name="Picture 1451"/>
        <xdr:cNvPicPr>
          <a:picLocks noChangeAspect="1" noChangeArrowheads="1"/>
        </xdr:cNvPicPr>
      </xdr:nvPicPr>
      <xdr:blipFill>
        <a:blip xmlns:r="http://schemas.openxmlformats.org/officeDocument/2006/relationships" r:embed="rId1451">
          <a:extLst>
            <a:ext uri="{28A0092B-C50C-407E-A947-70E740481C1C}">
              <a14:useLocalDpi xmlns:a14="http://schemas.microsoft.com/office/drawing/2010/main" val="0"/>
            </a:ext>
          </a:extLst>
        </a:blip>
        <a:srcRect/>
        <a:stretch>
          <a:fillRect/>
        </a:stretch>
      </xdr:blipFill>
      <xdr:spPr bwMode="auto">
        <a:xfrm>
          <a:off x="1228725" y="2749743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1453</xdr:row>
      <xdr:rowOff>19050</xdr:rowOff>
    </xdr:from>
    <xdr:to>
      <xdr:col>2</xdr:col>
      <xdr:colOff>1733550</xdr:colOff>
      <xdr:row>1453</xdr:row>
      <xdr:rowOff>1666875</xdr:rowOff>
    </xdr:to>
    <xdr:pic>
      <xdr:nvPicPr>
        <xdr:cNvPr id="1453" name="Picture 1452"/>
        <xdr:cNvPicPr>
          <a:picLocks noChangeAspect="1" noChangeArrowheads="1"/>
        </xdr:cNvPicPr>
      </xdr:nvPicPr>
      <xdr:blipFill>
        <a:blip xmlns:r="http://schemas.openxmlformats.org/officeDocument/2006/relationships" r:embed="rId1452">
          <a:extLst>
            <a:ext uri="{28A0092B-C50C-407E-A947-70E740481C1C}">
              <a14:useLocalDpi xmlns:a14="http://schemas.microsoft.com/office/drawing/2010/main" val="0"/>
            </a:ext>
          </a:extLst>
        </a:blip>
        <a:srcRect/>
        <a:stretch>
          <a:fillRect/>
        </a:stretch>
      </xdr:blipFill>
      <xdr:spPr bwMode="auto">
        <a:xfrm>
          <a:off x="1228725" y="2751658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1454</xdr:row>
      <xdr:rowOff>19050</xdr:rowOff>
    </xdr:from>
    <xdr:to>
      <xdr:col>2</xdr:col>
      <xdr:colOff>1733550</xdr:colOff>
      <xdr:row>1454</xdr:row>
      <xdr:rowOff>1666875</xdr:rowOff>
    </xdr:to>
    <xdr:pic>
      <xdr:nvPicPr>
        <xdr:cNvPr id="1454" name="Picture 1453"/>
        <xdr:cNvPicPr>
          <a:picLocks noChangeAspect="1" noChangeArrowheads="1"/>
        </xdr:cNvPicPr>
      </xdr:nvPicPr>
      <xdr:blipFill>
        <a:blip xmlns:r="http://schemas.openxmlformats.org/officeDocument/2006/relationships" r:embed="rId1453">
          <a:extLst>
            <a:ext uri="{28A0092B-C50C-407E-A947-70E740481C1C}">
              <a14:useLocalDpi xmlns:a14="http://schemas.microsoft.com/office/drawing/2010/main" val="0"/>
            </a:ext>
          </a:extLst>
        </a:blip>
        <a:srcRect/>
        <a:stretch>
          <a:fillRect/>
        </a:stretch>
      </xdr:blipFill>
      <xdr:spPr bwMode="auto">
        <a:xfrm>
          <a:off x="1228725" y="275357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1455</xdr:row>
      <xdr:rowOff>19050</xdr:rowOff>
    </xdr:from>
    <xdr:to>
      <xdr:col>2</xdr:col>
      <xdr:colOff>1733550</xdr:colOff>
      <xdr:row>1455</xdr:row>
      <xdr:rowOff>1666875</xdr:rowOff>
    </xdr:to>
    <xdr:pic>
      <xdr:nvPicPr>
        <xdr:cNvPr id="1455" name="Picture 1454"/>
        <xdr:cNvPicPr>
          <a:picLocks noChangeAspect="1" noChangeArrowheads="1"/>
        </xdr:cNvPicPr>
      </xdr:nvPicPr>
      <xdr:blipFill>
        <a:blip xmlns:r="http://schemas.openxmlformats.org/officeDocument/2006/relationships" r:embed="rId1454">
          <a:extLst>
            <a:ext uri="{28A0092B-C50C-407E-A947-70E740481C1C}">
              <a14:useLocalDpi xmlns:a14="http://schemas.microsoft.com/office/drawing/2010/main" val="0"/>
            </a:ext>
          </a:extLst>
        </a:blip>
        <a:srcRect/>
        <a:stretch>
          <a:fillRect/>
        </a:stretch>
      </xdr:blipFill>
      <xdr:spPr bwMode="auto">
        <a:xfrm>
          <a:off x="1228725" y="2755487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1456</xdr:row>
      <xdr:rowOff>19050</xdr:rowOff>
    </xdr:from>
    <xdr:to>
      <xdr:col>2</xdr:col>
      <xdr:colOff>1733550</xdr:colOff>
      <xdr:row>1456</xdr:row>
      <xdr:rowOff>1666875</xdr:rowOff>
    </xdr:to>
    <xdr:pic>
      <xdr:nvPicPr>
        <xdr:cNvPr id="1456" name="Picture 1455"/>
        <xdr:cNvPicPr>
          <a:picLocks noChangeAspect="1" noChangeArrowheads="1"/>
        </xdr:cNvPicPr>
      </xdr:nvPicPr>
      <xdr:blipFill>
        <a:blip xmlns:r="http://schemas.openxmlformats.org/officeDocument/2006/relationships" r:embed="rId1455">
          <a:extLst>
            <a:ext uri="{28A0092B-C50C-407E-A947-70E740481C1C}">
              <a14:useLocalDpi xmlns:a14="http://schemas.microsoft.com/office/drawing/2010/main" val="0"/>
            </a:ext>
          </a:extLst>
        </a:blip>
        <a:srcRect/>
        <a:stretch>
          <a:fillRect/>
        </a:stretch>
      </xdr:blipFill>
      <xdr:spPr bwMode="auto">
        <a:xfrm>
          <a:off x="1228725" y="2757401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1457</xdr:row>
      <xdr:rowOff>19050</xdr:rowOff>
    </xdr:from>
    <xdr:to>
      <xdr:col>2</xdr:col>
      <xdr:colOff>1733550</xdr:colOff>
      <xdr:row>1457</xdr:row>
      <xdr:rowOff>1666875</xdr:rowOff>
    </xdr:to>
    <xdr:pic>
      <xdr:nvPicPr>
        <xdr:cNvPr id="1457" name="Picture 1456"/>
        <xdr:cNvPicPr>
          <a:picLocks noChangeAspect="1" noChangeArrowheads="1"/>
        </xdr:cNvPicPr>
      </xdr:nvPicPr>
      <xdr:blipFill>
        <a:blip xmlns:r="http://schemas.openxmlformats.org/officeDocument/2006/relationships" r:embed="rId1456">
          <a:extLst>
            <a:ext uri="{28A0092B-C50C-407E-A947-70E740481C1C}">
              <a14:useLocalDpi xmlns:a14="http://schemas.microsoft.com/office/drawing/2010/main" val="0"/>
            </a:ext>
          </a:extLst>
        </a:blip>
        <a:srcRect/>
        <a:stretch>
          <a:fillRect/>
        </a:stretch>
      </xdr:blipFill>
      <xdr:spPr bwMode="auto">
        <a:xfrm>
          <a:off x="1228725" y="2759316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1458</xdr:row>
      <xdr:rowOff>19050</xdr:rowOff>
    </xdr:from>
    <xdr:to>
      <xdr:col>2</xdr:col>
      <xdr:colOff>1733550</xdr:colOff>
      <xdr:row>1458</xdr:row>
      <xdr:rowOff>1666875</xdr:rowOff>
    </xdr:to>
    <xdr:pic>
      <xdr:nvPicPr>
        <xdr:cNvPr id="1458" name="Picture 1457"/>
        <xdr:cNvPicPr>
          <a:picLocks noChangeAspect="1" noChangeArrowheads="1"/>
        </xdr:cNvPicPr>
      </xdr:nvPicPr>
      <xdr:blipFill>
        <a:blip xmlns:r="http://schemas.openxmlformats.org/officeDocument/2006/relationships" r:embed="rId1457">
          <a:extLst>
            <a:ext uri="{28A0092B-C50C-407E-A947-70E740481C1C}">
              <a14:useLocalDpi xmlns:a14="http://schemas.microsoft.com/office/drawing/2010/main" val="0"/>
            </a:ext>
          </a:extLst>
        </a:blip>
        <a:srcRect/>
        <a:stretch>
          <a:fillRect/>
        </a:stretch>
      </xdr:blipFill>
      <xdr:spPr bwMode="auto">
        <a:xfrm>
          <a:off x="1228725" y="2761230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1459</xdr:row>
      <xdr:rowOff>19050</xdr:rowOff>
    </xdr:from>
    <xdr:to>
      <xdr:col>2</xdr:col>
      <xdr:colOff>1733550</xdr:colOff>
      <xdr:row>1459</xdr:row>
      <xdr:rowOff>1666875</xdr:rowOff>
    </xdr:to>
    <xdr:pic>
      <xdr:nvPicPr>
        <xdr:cNvPr id="1459" name="Picture 1458"/>
        <xdr:cNvPicPr>
          <a:picLocks noChangeAspect="1" noChangeArrowheads="1"/>
        </xdr:cNvPicPr>
      </xdr:nvPicPr>
      <xdr:blipFill>
        <a:blip xmlns:r="http://schemas.openxmlformats.org/officeDocument/2006/relationships" r:embed="rId1458">
          <a:extLst>
            <a:ext uri="{28A0092B-C50C-407E-A947-70E740481C1C}">
              <a14:useLocalDpi xmlns:a14="http://schemas.microsoft.com/office/drawing/2010/main" val="0"/>
            </a:ext>
          </a:extLst>
        </a:blip>
        <a:srcRect/>
        <a:stretch>
          <a:fillRect/>
        </a:stretch>
      </xdr:blipFill>
      <xdr:spPr bwMode="auto">
        <a:xfrm>
          <a:off x="1228725" y="2763145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1460</xdr:row>
      <xdr:rowOff>19050</xdr:rowOff>
    </xdr:from>
    <xdr:to>
      <xdr:col>2</xdr:col>
      <xdr:colOff>1733550</xdr:colOff>
      <xdr:row>1460</xdr:row>
      <xdr:rowOff>1666875</xdr:rowOff>
    </xdr:to>
    <xdr:pic>
      <xdr:nvPicPr>
        <xdr:cNvPr id="1460" name="Picture 1459"/>
        <xdr:cNvPicPr>
          <a:picLocks noChangeAspect="1" noChangeArrowheads="1"/>
        </xdr:cNvPicPr>
      </xdr:nvPicPr>
      <xdr:blipFill>
        <a:blip xmlns:r="http://schemas.openxmlformats.org/officeDocument/2006/relationships" r:embed="rId1459">
          <a:extLst>
            <a:ext uri="{28A0092B-C50C-407E-A947-70E740481C1C}">
              <a14:useLocalDpi xmlns:a14="http://schemas.microsoft.com/office/drawing/2010/main" val="0"/>
            </a:ext>
          </a:extLst>
        </a:blip>
        <a:srcRect/>
        <a:stretch>
          <a:fillRect/>
        </a:stretch>
      </xdr:blipFill>
      <xdr:spPr bwMode="auto">
        <a:xfrm>
          <a:off x="1228725" y="2765059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1461</xdr:row>
      <xdr:rowOff>19050</xdr:rowOff>
    </xdr:from>
    <xdr:to>
      <xdr:col>2</xdr:col>
      <xdr:colOff>1733550</xdr:colOff>
      <xdr:row>1461</xdr:row>
      <xdr:rowOff>1666875</xdr:rowOff>
    </xdr:to>
    <xdr:pic>
      <xdr:nvPicPr>
        <xdr:cNvPr id="1461" name="Picture 1460"/>
        <xdr:cNvPicPr>
          <a:picLocks noChangeAspect="1" noChangeArrowheads="1"/>
        </xdr:cNvPicPr>
      </xdr:nvPicPr>
      <xdr:blipFill>
        <a:blip xmlns:r="http://schemas.openxmlformats.org/officeDocument/2006/relationships" r:embed="rId1460">
          <a:extLst>
            <a:ext uri="{28A0092B-C50C-407E-A947-70E740481C1C}">
              <a14:useLocalDpi xmlns:a14="http://schemas.microsoft.com/office/drawing/2010/main" val="0"/>
            </a:ext>
          </a:extLst>
        </a:blip>
        <a:srcRect/>
        <a:stretch>
          <a:fillRect/>
        </a:stretch>
      </xdr:blipFill>
      <xdr:spPr bwMode="auto">
        <a:xfrm>
          <a:off x="1228725" y="2766974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1462</xdr:row>
      <xdr:rowOff>19050</xdr:rowOff>
    </xdr:from>
    <xdr:to>
      <xdr:col>2</xdr:col>
      <xdr:colOff>1733550</xdr:colOff>
      <xdr:row>1462</xdr:row>
      <xdr:rowOff>1666875</xdr:rowOff>
    </xdr:to>
    <xdr:pic>
      <xdr:nvPicPr>
        <xdr:cNvPr id="1462" name="Picture 1461"/>
        <xdr:cNvPicPr>
          <a:picLocks noChangeAspect="1" noChangeArrowheads="1"/>
        </xdr:cNvPicPr>
      </xdr:nvPicPr>
      <xdr:blipFill>
        <a:blip xmlns:r="http://schemas.openxmlformats.org/officeDocument/2006/relationships" r:embed="rId1461">
          <a:extLst>
            <a:ext uri="{28A0092B-C50C-407E-A947-70E740481C1C}">
              <a14:useLocalDpi xmlns:a14="http://schemas.microsoft.com/office/drawing/2010/main" val="0"/>
            </a:ext>
          </a:extLst>
        </a:blip>
        <a:srcRect/>
        <a:stretch>
          <a:fillRect/>
        </a:stretch>
      </xdr:blipFill>
      <xdr:spPr bwMode="auto">
        <a:xfrm>
          <a:off x="1228725" y="2768888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1463</xdr:row>
      <xdr:rowOff>19050</xdr:rowOff>
    </xdr:from>
    <xdr:to>
      <xdr:col>2</xdr:col>
      <xdr:colOff>1733550</xdr:colOff>
      <xdr:row>1463</xdr:row>
      <xdr:rowOff>1666875</xdr:rowOff>
    </xdr:to>
    <xdr:pic>
      <xdr:nvPicPr>
        <xdr:cNvPr id="1463" name="Picture 1462"/>
        <xdr:cNvPicPr>
          <a:picLocks noChangeAspect="1" noChangeArrowheads="1"/>
        </xdr:cNvPicPr>
      </xdr:nvPicPr>
      <xdr:blipFill>
        <a:blip xmlns:r="http://schemas.openxmlformats.org/officeDocument/2006/relationships" r:embed="rId1462">
          <a:extLst>
            <a:ext uri="{28A0092B-C50C-407E-A947-70E740481C1C}">
              <a14:useLocalDpi xmlns:a14="http://schemas.microsoft.com/office/drawing/2010/main" val="0"/>
            </a:ext>
          </a:extLst>
        </a:blip>
        <a:srcRect/>
        <a:stretch>
          <a:fillRect/>
        </a:stretch>
      </xdr:blipFill>
      <xdr:spPr bwMode="auto">
        <a:xfrm>
          <a:off x="1228725" y="2770803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1464</xdr:row>
      <xdr:rowOff>19050</xdr:rowOff>
    </xdr:from>
    <xdr:to>
      <xdr:col>2</xdr:col>
      <xdr:colOff>1733550</xdr:colOff>
      <xdr:row>1464</xdr:row>
      <xdr:rowOff>1666875</xdr:rowOff>
    </xdr:to>
    <xdr:pic>
      <xdr:nvPicPr>
        <xdr:cNvPr id="1464" name="Picture 1463"/>
        <xdr:cNvPicPr>
          <a:picLocks noChangeAspect="1" noChangeArrowheads="1"/>
        </xdr:cNvPicPr>
      </xdr:nvPicPr>
      <xdr:blipFill>
        <a:blip xmlns:r="http://schemas.openxmlformats.org/officeDocument/2006/relationships" r:embed="rId1463">
          <a:extLst>
            <a:ext uri="{28A0092B-C50C-407E-A947-70E740481C1C}">
              <a14:useLocalDpi xmlns:a14="http://schemas.microsoft.com/office/drawing/2010/main" val="0"/>
            </a:ext>
          </a:extLst>
        </a:blip>
        <a:srcRect/>
        <a:stretch>
          <a:fillRect/>
        </a:stretch>
      </xdr:blipFill>
      <xdr:spPr bwMode="auto">
        <a:xfrm>
          <a:off x="1228725" y="2772717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1465</xdr:row>
      <xdr:rowOff>19050</xdr:rowOff>
    </xdr:from>
    <xdr:to>
      <xdr:col>2</xdr:col>
      <xdr:colOff>1733550</xdr:colOff>
      <xdr:row>1465</xdr:row>
      <xdr:rowOff>1666875</xdr:rowOff>
    </xdr:to>
    <xdr:pic>
      <xdr:nvPicPr>
        <xdr:cNvPr id="1465" name="Picture 1464"/>
        <xdr:cNvPicPr>
          <a:picLocks noChangeAspect="1" noChangeArrowheads="1"/>
        </xdr:cNvPicPr>
      </xdr:nvPicPr>
      <xdr:blipFill>
        <a:blip xmlns:r="http://schemas.openxmlformats.org/officeDocument/2006/relationships" r:embed="rId1464">
          <a:extLst>
            <a:ext uri="{28A0092B-C50C-407E-A947-70E740481C1C}">
              <a14:useLocalDpi xmlns:a14="http://schemas.microsoft.com/office/drawing/2010/main" val="0"/>
            </a:ext>
          </a:extLst>
        </a:blip>
        <a:srcRect/>
        <a:stretch>
          <a:fillRect/>
        </a:stretch>
      </xdr:blipFill>
      <xdr:spPr bwMode="auto">
        <a:xfrm>
          <a:off x="1228725" y="2774632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1466</xdr:row>
      <xdr:rowOff>19050</xdr:rowOff>
    </xdr:from>
    <xdr:to>
      <xdr:col>2</xdr:col>
      <xdr:colOff>1733550</xdr:colOff>
      <xdr:row>1466</xdr:row>
      <xdr:rowOff>1666875</xdr:rowOff>
    </xdr:to>
    <xdr:pic>
      <xdr:nvPicPr>
        <xdr:cNvPr id="1466" name="Picture 1465"/>
        <xdr:cNvPicPr>
          <a:picLocks noChangeAspect="1" noChangeArrowheads="1"/>
        </xdr:cNvPicPr>
      </xdr:nvPicPr>
      <xdr:blipFill>
        <a:blip xmlns:r="http://schemas.openxmlformats.org/officeDocument/2006/relationships" r:embed="rId1465">
          <a:extLst>
            <a:ext uri="{28A0092B-C50C-407E-A947-70E740481C1C}">
              <a14:useLocalDpi xmlns:a14="http://schemas.microsoft.com/office/drawing/2010/main" val="0"/>
            </a:ext>
          </a:extLst>
        </a:blip>
        <a:srcRect/>
        <a:stretch>
          <a:fillRect/>
        </a:stretch>
      </xdr:blipFill>
      <xdr:spPr bwMode="auto">
        <a:xfrm>
          <a:off x="1228725" y="2776547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1467</xdr:row>
      <xdr:rowOff>19050</xdr:rowOff>
    </xdr:from>
    <xdr:to>
      <xdr:col>2</xdr:col>
      <xdr:colOff>1733550</xdr:colOff>
      <xdr:row>1467</xdr:row>
      <xdr:rowOff>1666875</xdr:rowOff>
    </xdr:to>
    <xdr:pic>
      <xdr:nvPicPr>
        <xdr:cNvPr id="1467" name="Picture 1466"/>
        <xdr:cNvPicPr>
          <a:picLocks noChangeAspect="1" noChangeArrowheads="1"/>
        </xdr:cNvPicPr>
      </xdr:nvPicPr>
      <xdr:blipFill>
        <a:blip xmlns:r="http://schemas.openxmlformats.org/officeDocument/2006/relationships" r:embed="rId1466">
          <a:extLst>
            <a:ext uri="{28A0092B-C50C-407E-A947-70E740481C1C}">
              <a14:useLocalDpi xmlns:a14="http://schemas.microsoft.com/office/drawing/2010/main" val="0"/>
            </a:ext>
          </a:extLst>
        </a:blip>
        <a:srcRect/>
        <a:stretch>
          <a:fillRect/>
        </a:stretch>
      </xdr:blipFill>
      <xdr:spPr bwMode="auto">
        <a:xfrm>
          <a:off x="1228725" y="2778461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1468</xdr:row>
      <xdr:rowOff>19050</xdr:rowOff>
    </xdr:from>
    <xdr:to>
      <xdr:col>2</xdr:col>
      <xdr:colOff>1733550</xdr:colOff>
      <xdr:row>1468</xdr:row>
      <xdr:rowOff>1666875</xdr:rowOff>
    </xdr:to>
    <xdr:pic>
      <xdr:nvPicPr>
        <xdr:cNvPr id="1468" name="Picture 1467"/>
        <xdr:cNvPicPr>
          <a:picLocks noChangeAspect="1" noChangeArrowheads="1"/>
        </xdr:cNvPicPr>
      </xdr:nvPicPr>
      <xdr:blipFill>
        <a:blip xmlns:r="http://schemas.openxmlformats.org/officeDocument/2006/relationships" r:embed="rId1467">
          <a:extLst>
            <a:ext uri="{28A0092B-C50C-407E-A947-70E740481C1C}">
              <a14:useLocalDpi xmlns:a14="http://schemas.microsoft.com/office/drawing/2010/main" val="0"/>
            </a:ext>
          </a:extLst>
        </a:blip>
        <a:srcRect/>
        <a:stretch>
          <a:fillRect/>
        </a:stretch>
      </xdr:blipFill>
      <xdr:spPr bwMode="auto">
        <a:xfrm>
          <a:off x="1228725" y="2780376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1469</xdr:row>
      <xdr:rowOff>19050</xdr:rowOff>
    </xdr:from>
    <xdr:to>
      <xdr:col>2</xdr:col>
      <xdr:colOff>1733550</xdr:colOff>
      <xdr:row>1469</xdr:row>
      <xdr:rowOff>1666875</xdr:rowOff>
    </xdr:to>
    <xdr:pic>
      <xdr:nvPicPr>
        <xdr:cNvPr id="1469" name="Picture 1468"/>
        <xdr:cNvPicPr>
          <a:picLocks noChangeAspect="1" noChangeArrowheads="1"/>
        </xdr:cNvPicPr>
      </xdr:nvPicPr>
      <xdr:blipFill>
        <a:blip xmlns:r="http://schemas.openxmlformats.org/officeDocument/2006/relationships" r:embed="rId1468">
          <a:extLst>
            <a:ext uri="{28A0092B-C50C-407E-A947-70E740481C1C}">
              <a14:useLocalDpi xmlns:a14="http://schemas.microsoft.com/office/drawing/2010/main" val="0"/>
            </a:ext>
          </a:extLst>
        </a:blip>
        <a:srcRect/>
        <a:stretch>
          <a:fillRect/>
        </a:stretch>
      </xdr:blipFill>
      <xdr:spPr bwMode="auto">
        <a:xfrm>
          <a:off x="1228725" y="2782290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1470</xdr:row>
      <xdr:rowOff>19050</xdr:rowOff>
    </xdr:from>
    <xdr:to>
      <xdr:col>2</xdr:col>
      <xdr:colOff>1733550</xdr:colOff>
      <xdr:row>1470</xdr:row>
      <xdr:rowOff>1666875</xdr:rowOff>
    </xdr:to>
    <xdr:pic>
      <xdr:nvPicPr>
        <xdr:cNvPr id="1470" name="Picture 1469"/>
        <xdr:cNvPicPr>
          <a:picLocks noChangeAspect="1" noChangeArrowheads="1"/>
        </xdr:cNvPicPr>
      </xdr:nvPicPr>
      <xdr:blipFill>
        <a:blip xmlns:r="http://schemas.openxmlformats.org/officeDocument/2006/relationships" r:embed="rId1469">
          <a:extLst>
            <a:ext uri="{28A0092B-C50C-407E-A947-70E740481C1C}">
              <a14:useLocalDpi xmlns:a14="http://schemas.microsoft.com/office/drawing/2010/main" val="0"/>
            </a:ext>
          </a:extLst>
        </a:blip>
        <a:srcRect/>
        <a:stretch>
          <a:fillRect/>
        </a:stretch>
      </xdr:blipFill>
      <xdr:spPr bwMode="auto">
        <a:xfrm>
          <a:off x="1228725" y="2784205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1471</xdr:row>
      <xdr:rowOff>19050</xdr:rowOff>
    </xdr:from>
    <xdr:to>
      <xdr:col>2</xdr:col>
      <xdr:colOff>1733550</xdr:colOff>
      <xdr:row>1471</xdr:row>
      <xdr:rowOff>1666875</xdr:rowOff>
    </xdr:to>
    <xdr:pic>
      <xdr:nvPicPr>
        <xdr:cNvPr id="1471" name="Picture 1470"/>
        <xdr:cNvPicPr>
          <a:picLocks noChangeAspect="1" noChangeArrowheads="1"/>
        </xdr:cNvPicPr>
      </xdr:nvPicPr>
      <xdr:blipFill>
        <a:blip xmlns:r="http://schemas.openxmlformats.org/officeDocument/2006/relationships" r:embed="rId1470">
          <a:extLst>
            <a:ext uri="{28A0092B-C50C-407E-A947-70E740481C1C}">
              <a14:useLocalDpi xmlns:a14="http://schemas.microsoft.com/office/drawing/2010/main" val="0"/>
            </a:ext>
          </a:extLst>
        </a:blip>
        <a:srcRect/>
        <a:stretch>
          <a:fillRect/>
        </a:stretch>
      </xdr:blipFill>
      <xdr:spPr bwMode="auto">
        <a:xfrm>
          <a:off x="1228725" y="2786119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1472</xdr:row>
      <xdr:rowOff>19050</xdr:rowOff>
    </xdr:from>
    <xdr:to>
      <xdr:col>2</xdr:col>
      <xdr:colOff>1733550</xdr:colOff>
      <xdr:row>1472</xdr:row>
      <xdr:rowOff>1666875</xdr:rowOff>
    </xdr:to>
    <xdr:pic>
      <xdr:nvPicPr>
        <xdr:cNvPr id="1472" name="Picture 1471"/>
        <xdr:cNvPicPr>
          <a:picLocks noChangeAspect="1" noChangeArrowheads="1"/>
        </xdr:cNvPicPr>
      </xdr:nvPicPr>
      <xdr:blipFill>
        <a:blip xmlns:r="http://schemas.openxmlformats.org/officeDocument/2006/relationships" r:embed="rId1471">
          <a:extLst>
            <a:ext uri="{28A0092B-C50C-407E-A947-70E740481C1C}">
              <a14:useLocalDpi xmlns:a14="http://schemas.microsoft.com/office/drawing/2010/main" val="0"/>
            </a:ext>
          </a:extLst>
        </a:blip>
        <a:srcRect/>
        <a:stretch>
          <a:fillRect/>
        </a:stretch>
      </xdr:blipFill>
      <xdr:spPr bwMode="auto">
        <a:xfrm>
          <a:off x="1228725" y="2788034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1473</xdr:row>
      <xdr:rowOff>19050</xdr:rowOff>
    </xdr:from>
    <xdr:to>
      <xdr:col>2</xdr:col>
      <xdr:colOff>1733550</xdr:colOff>
      <xdr:row>1473</xdr:row>
      <xdr:rowOff>1666875</xdr:rowOff>
    </xdr:to>
    <xdr:pic>
      <xdr:nvPicPr>
        <xdr:cNvPr id="1473" name="Picture 1472"/>
        <xdr:cNvPicPr>
          <a:picLocks noChangeAspect="1" noChangeArrowheads="1"/>
        </xdr:cNvPicPr>
      </xdr:nvPicPr>
      <xdr:blipFill>
        <a:blip xmlns:r="http://schemas.openxmlformats.org/officeDocument/2006/relationships" r:embed="rId1472">
          <a:extLst>
            <a:ext uri="{28A0092B-C50C-407E-A947-70E740481C1C}">
              <a14:useLocalDpi xmlns:a14="http://schemas.microsoft.com/office/drawing/2010/main" val="0"/>
            </a:ext>
          </a:extLst>
        </a:blip>
        <a:srcRect/>
        <a:stretch>
          <a:fillRect/>
        </a:stretch>
      </xdr:blipFill>
      <xdr:spPr bwMode="auto">
        <a:xfrm>
          <a:off x="1228725" y="278994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1474</xdr:row>
      <xdr:rowOff>19050</xdr:rowOff>
    </xdr:from>
    <xdr:to>
      <xdr:col>2</xdr:col>
      <xdr:colOff>1733550</xdr:colOff>
      <xdr:row>1474</xdr:row>
      <xdr:rowOff>1666875</xdr:rowOff>
    </xdr:to>
    <xdr:pic>
      <xdr:nvPicPr>
        <xdr:cNvPr id="1474" name="Picture 1473"/>
        <xdr:cNvPicPr>
          <a:picLocks noChangeAspect="1" noChangeArrowheads="1"/>
        </xdr:cNvPicPr>
      </xdr:nvPicPr>
      <xdr:blipFill>
        <a:blip xmlns:r="http://schemas.openxmlformats.org/officeDocument/2006/relationships" r:embed="rId1473">
          <a:extLst>
            <a:ext uri="{28A0092B-C50C-407E-A947-70E740481C1C}">
              <a14:useLocalDpi xmlns:a14="http://schemas.microsoft.com/office/drawing/2010/main" val="0"/>
            </a:ext>
          </a:extLst>
        </a:blip>
        <a:srcRect/>
        <a:stretch>
          <a:fillRect/>
        </a:stretch>
      </xdr:blipFill>
      <xdr:spPr bwMode="auto">
        <a:xfrm>
          <a:off x="1228725" y="2791863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1475</xdr:row>
      <xdr:rowOff>19050</xdr:rowOff>
    </xdr:from>
    <xdr:to>
      <xdr:col>2</xdr:col>
      <xdr:colOff>1733550</xdr:colOff>
      <xdr:row>1475</xdr:row>
      <xdr:rowOff>1666875</xdr:rowOff>
    </xdr:to>
    <xdr:pic>
      <xdr:nvPicPr>
        <xdr:cNvPr id="1475" name="Picture 1474"/>
        <xdr:cNvPicPr>
          <a:picLocks noChangeAspect="1" noChangeArrowheads="1"/>
        </xdr:cNvPicPr>
      </xdr:nvPicPr>
      <xdr:blipFill>
        <a:blip xmlns:r="http://schemas.openxmlformats.org/officeDocument/2006/relationships" r:embed="rId1474">
          <a:extLst>
            <a:ext uri="{28A0092B-C50C-407E-A947-70E740481C1C}">
              <a14:useLocalDpi xmlns:a14="http://schemas.microsoft.com/office/drawing/2010/main" val="0"/>
            </a:ext>
          </a:extLst>
        </a:blip>
        <a:srcRect/>
        <a:stretch>
          <a:fillRect/>
        </a:stretch>
      </xdr:blipFill>
      <xdr:spPr bwMode="auto">
        <a:xfrm>
          <a:off x="1228725" y="2793777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1476</xdr:row>
      <xdr:rowOff>19050</xdr:rowOff>
    </xdr:from>
    <xdr:to>
      <xdr:col>2</xdr:col>
      <xdr:colOff>1733550</xdr:colOff>
      <xdr:row>1476</xdr:row>
      <xdr:rowOff>1666875</xdr:rowOff>
    </xdr:to>
    <xdr:pic>
      <xdr:nvPicPr>
        <xdr:cNvPr id="1476" name="Picture 1475"/>
        <xdr:cNvPicPr>
          <a:picLocks noChangeAspect="1" noChangeArrowheads="1"/>
        </xdr:cNvPicPr>
      </xdr:nvPicPr>
      <xdr:blipFill>
        <a:blip xmlns:r="http://schemas.openxmlformats.org/officeDocument/2006/relationships" r:embed="rId1475">
          <a:extLst>
            <a:ext uri="{28A0092B-C50C-407E-A947-70E740481C1C}">
              <a14:useLocalDpi xmlns:a14="http://schemas.microsoft.com/office/drawing/2010/main" val="0"/>
            </a:ext>
          </a:extLst>
        </a:blip>
        <a:srcRect/>
        <a:stretch>
          <a:fillRect/>
        </a:stretch>
      </xdr:blipFill>
      <xdr:spPr bwMode="auto">
        <a:xfrm>
          <a:off x="1228725" y="2795692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1477</xdr:row>
      <xdr:rowOff>19050</xdr:rowOff>
    </xdr:from>
    <xdr:to>
      <xdr:col>2</xdr:col>
      <xdr:colOff>1733550</xdr:colOff>
      <xdr:row>1477</xdr:row>
      <xdr:rowOff>1666875</xdr:rowOff>
    </xdr:to>
    <xdr:pic>
      <xdr:nvPicPr>
        <xdr:cNvPr id="1477" name="Picture 1476"/>
        <xdr:cNvPicPr>
          <a:picLocks noChangeAspect="1" noChangeArrowheads="1"/>
        </xdr:cNvPicPr>
      </xdr:nvPicPr>
      <xdr:blipFill>
        <a:blip xmlns:r="http://schemas.openxmlformats.org/officeDocument/2006/relationships" r:embed="rId1476">
          <a:extLst>
            <a:ext uri="{28A0092B-C50C-407E-A947-70E740481C1C}">
              <a14:useLocalDpi xmlns:a14="http://schemas.microsoft.com/office/drawing/2010/main" val="0"/>
            </a:ext>
          </a:extLst>
        </a:blip>
        <a:srcRect/>
        <a:stretch>
          <a:fillRect/>
        </a:stretch>
      </xdr:blipFill>
      <xdr:spPr bwMode="auto">
        <a:xfrm>
          <a:off x="1228725" y="279760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1478</xdr:row>
      <xdr:rowOff>19050</xdr:rowOff>
    </xdr:from>
    <xdr:to>
      <xdr:col>2</xdr:col>
      <xdr:colOff>1733550</xdr:colOff>
      <xdr:row>1478</xdr:row>
      <xdr:rowOff>1666875</xdr:rowOff>
    </xdr:to>
    <xdr:pic>
      <xdr:nvPicPr>
        <xdr:cNvPr id="1478" name="Picture 1477"/>
        <xdr:cNvPicPr>
          <a:picLocks noChangeAspect="1" noChangeArrowheads="1"/>
        </xdr:cNvPicPr>
      </xdr:nvPicPr>
      <xdr:blipFill>
        <a:blip xmlns:r="http://schemas.openxmlformats.org/officeDocument/2006/relationships" r:embed="rId1477">
          <a:extLst>
            <a:ext uri="{28A0092B-C50C-407E-A947-70E740481C1C}">
              <a14:useLocalDpi xmlns:a14="http://schemas.microsoft.com/office/drawing/2010/main" val="0"/>
            </a:ext>
          </a:extLst>
        </a:blip>
        <a:srcRect/>
        <a:stretch>
          <a:fillRect/>
        </a:stretch>
      </xdr:blipFill>
      <xdr:spPr bwMode="auto">
        <a:xfrm>
          <a:off x="1228725" y="2799521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1479</xdr:row>
      <xdr:rowOff>19050</xdr:rowOff>
    </xdr:from>
    <xdr:to>
      <xdr:col>2</xdr:col>
      <xdr:colOff>1733550</xdr:colOff>
      <xdr:row>1479</xdr:row>
      <xdr:rowOff>1666875</xdr:rowOff>
    </xdr:to>
    <xdr:pic>
      <xdr:nvPicPr>
        <xdr:cNvPr id="1479" name="Picture 1478"/>
        <xdr:cNvPicPr>
          <a:picLocks noChangeAspect="1" noChangeArrowheads="1"/>
        </xdr:cNvPicPr>
      </xdr:nvPicPr>
      <xdr:blipFill>
        <a:blip xmlns:r="http://schemas.openxmlformats.org/officeDocument/2006/relationships" r:embed="rId1478">
          <a:extLst>
            <a:ext uri="{28A0092B-C50C-407E-A947-70E740481C1C}">
              <a14:useLocalDpi xmlns:a14="http://schemas.microsoft.com/office/drawing/2010/main" val="0"/>
            </a:ext>
          </a:extLst>
        </a:blip>
        <a:srcRect/>
        <a:stretch>
          <a:fillRect/>
        </a:stretch>
      </xdr:blipFill>
      <xdr:spPr bwMode="auto">
        <a:xfrm>
          <a:off x="1228725" y="2801435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1480</xdr:row>
      <xdr:rowOff>19050</xdr:rowOff>
    </xdr:from>
    <xdr:to>
      <xdr:col>2</xdr:col>
      <xdr:colOff>1733550</xdr:colOff>
      <xdr:row>1480</xdr:row>
      <xdr:rowOff>1666875</xdr:rowOff>
    </xdr:to>
    <xdr:pic>
      <xdr:nvPicPr>
        <xdr:cNvPr id="1480" name="Picture 1479"/>
        <xdr:cNvPicPr>
          <a:picLocks noChangeAspect="1" noChangeArrowheads="1"/>
        </xdr:cNvPicPr>
      </xdr:nvPicPr>
      <xdr:blipFill>
        <a:blip xmlns:r="http://schemas.openxmlformats.org/officeDocument/2006/relationships" r:embed="rId1479">
          <a:extLst>
            <a:ext uri="{28A0092B-C50C-407E-A947-70E740481C1C}">
              <a14:useLocalDpi xmlns:a14="http://schemas.microsoft.com/office/drawing/2010/main" val="0"/>
            </a:ext>
          </a:extLst>
        </a:blip>
        <a:srcRect/>
        <a:stretch>
          <a:fillRect/>
        </a:stretch>
      </xdr:blipFill>
      <xdr:spPr bwMode="auto">
        <a:xfrm>
          <a:off x="1228725" y="2803350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1481</xdr:row>
      <xdr:rowOff>19050</xdr:rowOff>
    </xdr:from>
    <xdr:to>
      <xdr:col>2</xdr:col>
      <xdr:colOff>1733550</xdr:colOff>
      <xdr:row>1481</xdr:row>
      <xdr:rowOff>1666875</xdr:rowOff>
    </xdr:to>
    <xdr:pic>
      <xdr:nvPicPr>
        <xdr:cNvPr id="1481" name="Picture 1480"/>
        <xdr:cNvPicPr>
          <a:picLocks noChangeAspect="1" noChangeArrowheads="1"/>
        </xdr:cNvPicPr>
      </xdr:nvPicPr>
      <xdr:blipFill>
        <a:blip xmlns:r="http://schemas.openxmlformats.org/officeDocument/2006/relationships" r:embed="rId1480">
          <a:extLst>
            <a:ext uri="{28A0092B-C50C-407E-A947-70E740481C1C}">
              <a14:useLocalDpi xmlns:a14="http://schemas.microsoft.com/office/drawing/2010/main" val="0"/>
            </a:ext>
          </a:extLst>
        </a:blip>
        <a:srcRect/>
        <a:stretch>
          <a:fillRect/>
        </a:stretch>
      </xdr:blipFill>
      <xdr:spPr bwMode="auto">
        <a:xfrm>
          <a:off x="1228725" y="2805264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1482</xdr:row>
      <xdr:rowOff>19050</xdr:rowOff>
    </xdr:from>
    <xdr:to>
      <xdr:col>2</xdr:col>
      <xdr:colOff>1733550</xdr:colOff>
      <xdr:row>1482</xdr:row>
      <xdr:rowOff>1647825</xdr:rowOff>
    </xdr:to>
    <xdr:pic>
      <xdr:nvPicPr>
        <xdr:cNvPr id="1482" name="Picture 1481"/>
        <xdr:cNvPicPr>
          <a:picLocks noChangeAspect="1" noChangeArrowheads="1"/>
        </xdr:cNvPicPr>
      </xdr:nvPicPr>
      <xdr:blipFill>
        <a:blip xmlns:r="http://schemas.openxmlformats.org/officeDocument/2006/relationships" r:embed="rId1481">
          <a:extLst>
            <a:ext uri="{28A0092B-C50C-407E-A947-70E740481C1C}">
              <a14:useLocalDpi xmlns:a14="http://schemas.microsoft.com/office/drawing/2010/main" val="0"/>
            </a:ext>
          </a:extLst>
        </a:blip>
        <a:srcRect/>
        <a:stretch>
          <a:fillRect/>
        </a:stretch>
      </xdr:blipFill>
      <xdr:spPr bwMode="auto">
        <a:xfrm>
          <a:off x="1228725" y="2807179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1483</xdr:row>
      <xdr:rowOff>9525</xdr:rowOff>
    </xdr:from>
    <xdr:to>
      <xdr:col>2</xdr:col>
      <xdr:colOff>1733550</xdr:colOff>
      <xdr:row>1483</xdr:row>
      <xdr:rowOff>1524000</xdr:rowOff>
    </xdr:to>
    <xdr:pic>
      <xdr:nvPicPr>
        <xdr:cNvPr id="1483" name="Picture 1482"/>
        <xdr:cNvPicPr>
          <a:picLocks noChangeAspect="1" noChangeArrowheads="1"/>
        </xdr:cNvPicPr>
      </xdr:nvPicPr>
      <xdr:blipFill>
        <a:blip xmlns:r="http://schemas.openxmlformats.org/officeDocument/2006/relationships" r:embed="rId1482">
          <a:extLst>
            <a:ext uri="{28A0092B-C50C-407E-A947-70E740481C1C}">
              <a14:useLocalDpi xmlns:a14="http://schemas.microsoft.com/office/drawing/2010/main" val="0"/>
            </a:ext>
          </a:extLst>
        </a:blip>
        <a:srcRect/>
        <a:stretch>
          <a:fillRect/>
        </a:stretch>
      </xdr:blipFill>
      <xdr:spPr bwMode="auto">
        <a:xfrm>
          <a:off x="1228725" y="2809065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1484</xdr:row>
      <xdr:rowOff>9525</xdr:rowOff>
    </xdr:from>
    <xdr:to>
      <xdr:col>2</xdr:col>
      <xdr:colOff>1733550</xdr:colOff>
      <xdr:row>1484</xdr:row>
      <xdr:rowOff>1524000</xdr:rowOff>
    </xdr:to>
    <xdr:pic>
      <xdr:nvPicPr>
        <xdr:cNvPr id="1484" name="Picture 1483"/>
        <xdr:cNvPicPr>
          <a:picLocks noChangeAspect="1" noChangeArrowheads="1"/>
        </xdr:cNvPicPr>
      </xdr:nvPicPr>
      <xdr:blipFill>
        <a:blip xmlns:r="http://schemas.openxmlformats.org/officeDocument/2006/relationships" r:embed="rId1483">
          <a:extLst>
            <a:ext uri="{28A0092B-C50C-407E-A947-70E740481C1C}">
              <a14:useLocalDpi xmlns:a14="http://schemas.microsoft.com/office/drawing/2010/main" val="0"/>
            </a:ext>
          </a:extLst>
        </a:blip>
        <a:srcRect/>
        <a:stretch>
          <a:fillRect/>
        </a:stretch>
      </xdr:blipFill>
      <xdr:spPr bwMode="auto">
        <a:xfrm>
          <a:off x="1228725" y="2810817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1485</xdr:row>
      <xdr:rowOff>9525</xdr:rowOff>
    </xdr:from>
    <xdr:to>
      <xdr:col>2</xdr:col>
      <xdr:colOff>1733550</xdr:colOff>
      <xdr:row>1485</xdr:row>
      <xdr:rowOff>1524000</xdr:rowOff>
    </xdr:to>
    <xdr:pic>
      <xdr:nvPicPr>
        <xdr:cNvPr id="1485" name="Picture 1484"/>
        <xdr:cNvPicPr>
          <a:picLocks noChangeAspect="1" noChangeArrowheads="1"/>
        </xdr:cNvPicPr>
      </xdr:nvPicPr>
      <xdr:blipFill>
        <a:blip xmlns:r="http://schemas.openxmlformats.org/officeDocument/2006/relationships" r:embed="rId1484">
          <a:extLst>
            <a:ext uri="{28A0092B-C50C-407E-A947-70E740481C1C}">
              <a14:useLocalDpi xmlns:a14="http://schemas.microsoft.com/office/drawing/2010/main" val="0"/>
            </a:ext>
          </a:extLst>
        </a:blip>
        <a:srcRect/>
        <a:stretch>
          <a:fillRect/>
        </a:stretch>
      </xdr:blipFill>
      <xdr:spPr bwMode="auto">
        <a:xfrm>
          <a:off x="1228725" y="2812570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1486</xdr:row>
      <xdr:rowOff>9525</xdr:rowOff>
    </xdr:from>
    <xdr:to>
      <xdr:col>2</xdr:col>
      <xdr:colOff>1733550</xdr:colOff>
      <xdr:row>1486</xdr:row>
      <xdr:rowOff>1524000</xdr:rowOff>
    </xdr:to>
    <xdr:pic>
      <xdr:nvPicPr>
        <xdr:cNvPr id="1486" name="Picture 1485"/>
        <xdr:cNvPicPr>
          <a:picLocks noChangeAspect="1" noChangeArrowheads="1"/>
        </xdr:cNvPicPr>
      </xdr:nvPicPr>
      <xdr:blipFill>
        <a:blip xmlns:r="http://schemas.openxmlformats.org/officeDocument/2006/relationships" r:embed="rId1485">
          <a:extLst>
            <a:ext uri="{28A0092B-C50C-407E-A947-70E740481C1C}">
              <a14:useLocalDpi xmlns:a14="http://schemas.microsoft.com/office/drawing/2010/main" val="0"/>
            </a:ext>
          </a:extLst>
        </a:blip>
        <a:srcRect/>
        <a:stretch>
          <a:fillRect/>
        </a:stretch>
      </xdr:blipFill>
      <xdr:spPr bwMode="auto">
        <a:xfrm>
          <a:off x="1228725" y="2814323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1487</xdr:row>
      <xdr:rowOff>9525</xdr:rowOff>
    </xdr:from>
    <xdr:to>
      <xdr:col>2</xdr:col>
      <xdr:colOff>1733550</xdr:colOff>
      <xdr:row>1487</xdr:row>
      <xdr:rowOff>1524000</xdr:rowOff>
    </xdr:to>
    <xdr:pic>
      <xdr:nvPicPr>
        <xdr:cNvPr id="1487" name="Picture 1486"/>
        <xdr:cNvPicPr>
          <a:picLocks noChangeAspect="1" noChangeArrowheads="1"/>
        </xdr:cNvPicPr>
      </xdr:nvPicPr>
      <xdr:blipFill>
        <a:blip xmlns:r="http://schemas.openxmlformats.org/officeDocument/2006/relationships" r:embed="rId1486">
          <a:extLst>
            <a:ext uri="{28A0092B-C50C-407E-A947-70E740481C1C}">
              <a14:useLocalDpi xmlns:a14="http://schemas.microsoft.com/office/drawing/2010/main" val="0"/>
            </a:ext>
          </a:extLst>
        </a:blip>
        <a:srcRect/>
        <a:stretch>
          <a:fillRect/>
        </a:stretch>
      </xdr:blipFill>
      <xdr:spPr bwMode="auto">
        <a:xfrm>
          <a:off x="1228725" y="2816075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1488</xdr:row>
      <xdr:rowOff>9525</xdr:rowOff>
    </xdr:from>
    <xdr:to>
      <xdr:col>2</xdr:col>
      <xdr:colOff>1733550</xdr:colOff>
      <xdr:row>1488</xdr:row>
      <xdr:rowOff>1524000</xdr:rowOff>
    </xdr:to>
    <xdr:pic>
      <xdr:nvPicPr>
        <xdr:cNvPr id="1488" name="Picture 1487"/>
        <xdr:cNvPicPr>
          <a:picLocks noChangeAspect="1" noChangeArrowheads="1"/>
        </xdr:cNvPicPr>
      </xdr:nvPicPr>
      <xdr:blipFill>
        <a:blip xmlns:r="http://schemas.openxmlformats.org/officeDocument/2006/relationships" r:embed="rId1487">
          <a:extLst>
            <a:ext uri="{28A0092B-C50C-407E-A947-70E740481C1C}">
              <a14:useLocalDpi xmlns:a14="http://schemas.microsoft.com/office/drawing/2010/main" val="0"/>
            </a:ext>
          </a:extLst>
        </a:blip>
        <a:srcRect/>
        <a:stretch>
          <a:fillRect/>
        </a:stretch>
      </xdr:blipFill>
      <xdr:spPr bwMode="auto">
        <a:xfrm>
          <a:off x="1228725" y="2817828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1489</xdr:row>
      <xdr:rowOff>9525</xdr:rowOff>
    </xdr:from>
    <xdr:to>
      <xdr:col>2</xdr:col>
      <xdr:colOff>1733550</xdr:colOff>
      <xdr:row>1489</xdr:row>
      <xdr:rowOff>1524000</xdr:rowOff>
    </xdr:to>
    <xdr:pic>
      <xdr:nvPicPr>
        <xdr:cNvPr id="1489" name="Picture 1488"/>
        <xdr:cNvPicPr>
          <a:picLocks noChangeAspect="1" noChangeArrowheads="1"/>
        </xdr:cNvPicPr>
      </xdr:nvPicPr>
      <xdr:blipFill>
        <a:blip xmlns:r="http://schemas.openxmlformats.org/officeDocument/2006/relationships" r:embed="rId1488">
          <a:extLst>
            <a:ext uri="{28A0092B-C50C-407E-A947-70E740481C1C}">
              <a14:useLocalDpi xmlns:a14="http://schemas.microsoft.com/office/drawing/2010/main" val="0"/>
            </a:ext>
          </a:extLst>
        </a:blip>
        <a:srcRect/>
        <a:stretch>
          <a:fillRect/>
        </a:stretch>
      </xdr:blipFill>
      <xdr:spPr bwMode="auto">
        <a:xfrm>
          <a:off x="1228725" y="2819580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1490</xdr:row>
      <xdr:rowOff>19050</xdr:rowOff>
    </xdr:from>
    <xdr:to>
      <xdr:col>2</xdr:col>
      <xdr:colOff>1733550</xdr:colOff>
      <xdr:row>1490</xdr:row>
      <xdr:rowOff>1666875</xdr:rowOff>
    </xdr:to>
    <xdr:pic>
      <xdr:nvPicPr>
        <xdr:cNvPr id="1490" name="Picture 1489"/>
        <xdr:cNvPicPr>
          <a:picLocks noChangeAspect="1" noChangeArrowheads="1"/>
        </xdr:cNvPicPr>
      </xdr:nvPicPr>
      <xdr:blipFill>
        <a:blip xmlns:r="http://schemas.openxmlformats.org/officeDocument/2006/relationships" r:embed="rId1489">
          <a:extLst>
            <a:ext uri="{28A0092B-C50C-407E-A947-70E740481C1C}">
              <a14:useLocalDpi xmlns:a14="http://schemas.microsoft.com/office/drawing/2010/main" val="0"/>
            </a:ext>
          </a:extLst>
        </a:blip>
        <a:srcRect/>
        <a:stretch>
          <a:fillRect/>
        </a:stretch>
      </xdr:blipFill>
      <xdr:spPr bwMode="auto">
        <a:xfrm>
          <a:off x="1228725" y="2821343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1491</xdr:row>
      <xdr:rowOff>19050</xdr:rowOff>
    </xdr:from>
    <xdr:to>
      <xdr:col>2</xdr:col>
      <xdr:colOff>1733550</xdr:colOff>
      <xdr:row>1491</xdr:row>
      <xdr:rowOff>1666875</xdr:rowOff>
    </xdr:to>
    <xdr:pic>
      <xdr:nvPicPr>
        <xdr:cNvPr id="1491" name="Picture 1490"/>
        <xdr:cNvPicPr>
          <a:picLocks noChangeAspect="1" noChangeArrowheads="1"/>
        </xdr:cNvPicPr>
      </xdr:nvPicPr>
      <xdr:blipFill>
        <a:blip xmlns:r="http://schemas.openxmlformats.org/officeDocument/2006/relationships" r:embed="rId1490">
          <a:extLst>
            <a:ext uri="{28A0092B-C50C-407E-A947-70E740481C1C}">
              <a14:useLocalDpi xmlns:a14="http://schemas.microsoft.com/office/drawing/2010/main" val="0"/>
            </a:ext>
          </a:extLst>
        </a:blip>
        <a:srcRect/>
        <a:stretch>
          <a:fillRect/>
        </a:stretch>
      </xdr:blipFill>
      <xdr:spPr bwMode="auto">
        <a:xfrm>
          <a:off x="1228725" y="2823257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1492</xdr:row>
      <xdr:rowOff>19050</xdr:rowOff>
    </xdr:from>
    <xdr:to>
      <xdr:col>2</xdr:col>
      <xdr:colOff>1733550</xdr:colOff>
      <xdr:row>1492</xdr:row>
      <xdr:rowOff>1666875</xdr:rowOff>
    </xdr:to>
    <xdr:pic>
      <xdr:nvPicPr>
        <xdr:cNvPr id="1492" name="Picture 1491"/>
        <xdr:cNvPicPr>
          <a:picLocks noChangeAspect="1" noChangeArrowheads="1"/>
        </xdr:cNvPicPr>
      </xdr:nvPicPr>
      <xdr:blipFill>
        <a:blip xmlns:r="http://schemas.openxmlformats.org/officeDocument/2006/relationships" r:embed="rId1491">
          <a:extLst>
            <a:ext uri="{28A0092B-C50C-407E-A947-70E740481C1C}">
              <a14:useLocalDpi xmlns:a14="http://schemas.microsoft.com/office/drawing/2010/main" val="0"/>
            </a:ext>
          </a:extLst>
        </a:blip>
        <a:srcRect/>
        <a:stretch>
          <a:fillRect/>
        </a:stretch>
      </xdr:blipFill>
      <xdr:spPr bwMode="auto">
        <a:xfrm>
          <a:off x="1228725" y="2825172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1493</xdr:row>
      <xdr:rowOff>19050</xdr:rowOff>
    </xdr:from>
    <xdr:to>
      <xdr:col>2</xdr:col>
      <xdr:colOff>1733550</xdr:colOff>
      <xdr:row>1493</xdr:row>
      <xdr:rowOff>1666875</xdr:rowOff>
    </xdr:to>
    <xdr:pic>
      <xdr:nvPicPr>
        <xdr:cNvPr id="1493" name="Picture 1492"/>
        <xdr:cNvPicPr>
          <a:picLocks noChangeAspect="1" noChangeArrowheads="1"/>
        </xdr:cNvPicPr>
      </xdr:nvPicPr>
      <xdr:blipFill>
        <a:blip xmlns:r="http://schemas.openxmlformats.org/officeDocument/2006/relationships" r:embed="rId1492">
          <a:extLst>
            <a:ext uri="{28A0092B-C50C-407E-A947-70E740481C1C}">
              <a14:useLocalDpi xmlns:a14="http://schemas.microsoft.com/office/drawing/2010/main" val="0"/>
            </a:ext>
          </a:extLst>
        </a:blip>
        <a:srcRect/>
        <a:stretch>
          <a:fillRect/>
        </a:stretch>
      </xdr:blipFill>
      <xdr:spPr bwMode="auto">
        <a:xfrm>
          <a:off x="1228725" y="2827086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1494</xdr:row>
      <xdr:rowOff>19050</xdr:rowOff>
    </xdr:from>
    <xdr:to>
      <xdr:col>2</xdr:col>
      <xdr:colOff>1733550</xdr:colOff>
      <xdr:row>1494</xdr:row>
      <xdr:rowOff>1666875</xdr:rowOff>
    </xdr:to>
    <xdr:pic>
      <xdr:nvPicPr>
        <xdr:cNvPr id="1494" name="Picture 1493"/>
        <xdr:cNvPicPr>
          <a:picLocks noChangeAspect="1" noChangeArrowheads="1"/>
        </xdr:cNvPicPr>
      </xdr:nvPicPr>
      <xdr:blipFill>
        <a:blip xmlns:r="http://schemas.openxmlformats.org/officeDocument/2006/relationships" r:embed="rId1493">
          <a:extLst>
            <a:ext uri="{28A0092B-C50C-407E-A947-70E740481C1C}">
              <a14:useLocalDpi xmlns:a14="http://schemas.microsoft.com/office/drawing/2010/main" val="0"/>
            </a:ext>
          </a:extLst>
        </a:blip>
        <a:srcRect/>
        <a:stretch>
          <a:fillRect/>
        </a:stretch>
      </xdr:blipFill>
      <xdr:spPr bwMode="auto">
        <a:xfrm>
          <a:off x="1228725" y="2829001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1495</xdr:row>
      <xdr:rowOff>19050</xdr:rowOff>
    </xdr:from>
    <xdr:to>
      <xdr:col>2</xdr:col>
      <xdr:colOff>1733550</xdr:colOff>
      <xdr:row>1495</xdr:row>
      <xdr:rowOff>1666875</xdr:rowOff>
    </xdr:to>
    <xdr:pic>
      <xdr:nvPicPr>
        <xdr:cNvPr id="1495" name="Picture 1494"/>
        <xdr:cNvPicPr>
          <a:picLocks noChangeAspect="1" noChangeArrowheads="1"/>
        </xdr:cNvPicPr>
      </xdr:nvPicPr>
      <xdr:blipFill>
        <a:blip xmlns:r="http://schemas.openxmlformats.org/officeDocument/2006/relationships" r:embed="rId1494">
          <a:extLst>
            <a:ext uri="{28A0092B-C50C-407E-A947-70E740481C1C}">
              <a14:useLocalDpi xmlns:a14="http://schemas.microsoft.com/office/drawing/2010/main" val="0"/>
            </a:ext>
          </a:extLst>
        </a:blip>
        <a:srcRect/>
        <a:stretch>
          <a:fillRect/>
        </a:stretch>
      </xdr:blipFill>
      <xdr:spPr bwMode="auto">
        <a:xfrm>
          <a:off x="1228725" y="2830915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1496</xdr:row>
      <xdr:rowOff>19050</xdr:rowOff>
    </xdr:from>
    <xdr:to>
      <xdr:col>2</xdr:col>
      <xdr:colOff>1733550</xdr:colOff>
      <xdr:row>1496</xdr:row>
      <xdr:rowOff>1666875</xdr:rowOff>
    </xdr:to>
    <xdr:pic>
      <xdr:nvPicPr>
        <xdr:cNvPr id="1496" name="Picture 1495"/>
        <xdr:cNvPicPr>
          <a:picLocks noChangeAspect="1" noChangeArrowheads="1"/>
        </xdr:cNvPicPr>
      </xdr:nvPicPr>
      <xdr:blipFill>
        <a:blip xmlns:r="http://schemas.openxmlformats.org/officeDocument/2006/relationships" r:embed="rId1495">
          <a:extLst>
            <a:ext uri="{28A0092B-C50C-407E-A947-70E740481C1C}">
              <a14:useLocalDpi xmlns:a14="http://schemas.microsoft.com/office/drawing/2010/main" val="0"/>
            </a:ext>
          </a:extLst>
        </a:blip>
        <a:srcRect/>
        <a:stretch>
          <a:fillRect/>
        </a:stretch>
      </xdr:blipFill>
      <xdr:spPr bwMode="auto">
        <a:xfrm>
          <a:off x="1228725" y="2832830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1497</xdr:row>
      <xdr:rowOff>19050</xdr:rowOff>
    </xdr:from>
    <xdr:to>
      <xdr:col>2</xdr:col>
      <xdr:colOff>1733550</xdr:colOff>
      <xdr:row>1497</xdr:row>
      <xdr:rowOff>1666875</xdr:rowOff>
    </xdr:to>
    <xdr:pic>
      <xdr:nvPicPr>
        <xdr:cNvPr id="1497" name="Picture 1496"/>
        <xdr:cNvPicPr>
          <a:picLocks noChangeAspect="1" noChangeArrowheads="1"/>
        </xdr:cNvPicPr>
      </xdr:nvPicPr>
      <xdr:blipFill>
        <a:blip xmlns:r="http://schemas.openxmlformats.org/officeDocument/2006/relationships" r:embed="rId1496">
          <a:extLst>
            <a:ext uri="{28A0092B-C50C-407E-A947-70E740481C1C}">
              <a14:useLocalDpi xmlns:a14="http://schemas.microsoft.com/office/drawing/2010/main" val="0"/>
            </a:ext>
          </a:extLst>
        </a:blip>
        <a:srcRect/>
        <a:stretch>
          <a:fillRect/>
        </a:stretch>
      </xdr:blipFill>
      <xdr:spPr bwMode="auto">
        <a:xfrm>
          <a:off x="1228725" y="2834744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1498</xdr:row>
      <xdr:rowOff>19050</xdr:rowOff>
    </xdr:from>
    <xdr:to>
      <xdr:col>2</xdr:col>
      <xdr:colOff>1733550</xdr:colOff>
      <xdr:row>1498</xdr:row>
      <xdr:rowOff>1666875</xdr:rowOff>
    </xdr:to>
    <xdr:pic>
      <xdr:nvPicPr>
        <xdr:cNvPr id="1498" name="Picture 1497"/>
        <xdr:cNvPicPr>
          <a:picLocks noChangeAspect="1" noChangeArrowheads="1"/>
        </xdr:cNvPicPr>
      </xdr:nvPicPr>
      <xdr:blipFill>
        <a:blip xmlns:r="http://schemas.openxmlformats.org/officeDocument/2006/relationships" r:embed="rId1497">
          <a:extLst>
            <a:ext uri="{28A0092B-C50C-407E-A947-70E740481C1C}">
              <a14:useLocalDpi xmlns:a14="http://schemas.microsoft.com/office/drawing/2010/main" val="0"/>
            </a:ext>
          </a:extLst>
        </a:blip>
        <a:srcRect/>
        <a:stretch>
          <a:fillRect/>
        </a:stretch>
      </xdr:blipFill>
      <xdr:spPr bwMode="auto">
        <a:xfrm>
          <a:off x="1228725" y="2836659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1499</xdr:row>
      <xdr:rowOff>19050</xdr:rowOff>
    </xdr:from>
    <xdr:to>
      <xdr:col>2</xdr:col>
      <xdr:colOff>1733550</xdr:colOff>
      <xdr:row>1499</xdr:row>
      <xdr:rowOff>1666875</xdr:rowOff>
    </xdr:to>
    <xdr:pic>
      <xdr:nvPicPr>
        <xdr:cNvPr id="1499" name="Picture 1498"/>
        <xdr:cNvPicPr>
          <a:picLocks noChangeAspect="1" noChangeArrowheads="1"/>
        </xdr:cNvPicPr>
      </xdr:nvPicPr>
      <xdr:blipFill>
        <a:blip xmlns:r="http://schemas.openxmlformats.org/officeDocument/2006/relationships" r:embed="rId1498">
          <a:extLst>
            <a:ext uri="{28A0092B-C50C-407E-A947-70E740481C1C}">
              <a14:useLocalDpi xmlns:a14="http://schemas.microsoft.com/office/drawing/2010/main" val="0"/>
            </a:ext>
          </a:extLst>
        </a:blip>
        <a:srcRect/>
        <a:stretch>
          <a:fillRect/>
        </a:stretch>
      </xdr:blipFill>
      <xdr:spPr bwMode="auto">
        <a:xfrm>
          <a:off x="1228725" y="2838573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1500</xdr:row>
      <xdr:rowOff>19050</xdr:rowOff>
    </xdr:from>
    <xdr:to>
      <xdr:col>2</xdr:col>
      <xdr:colOff>1733550</xdr:colOff>
      <xdr:row>1500</xdr:row>
      <xdr:rowOff>1666875</xdr:rowOff>
    </xdr:to>
    <xdr:pic>
      <xdr:nvPicPr>
        <xdr:cNvPr id="1500" name="Picture 1499"/>
        <xdr:cNvPicPr>
          <a:picLocks noChangeAspect="1" noChangeArrowheads="1"/>
        </xdr:cNvPicPr>
      </xdr:nvPicPr>
      <xdr:blipFill>
        <a:blip xmlns:r="http://schemas.openxmlformats.org/officeDocument/2006/relationships" r:embed="rId1499">
          <a:extLst>
            <a:ext uri="{28A0092B-C50C-407E-A947-70E740481C1C}">
              <a14:useLocalDpi xmlns:a14="http://schemas.microsoft.com/office/drawing/2010/main" val="0"/>
            </a:ext>
          </a:extLst>
        </a:blip>
        <a:srcRect/>
        <a:stretch>
          <a:fillRect/>
        </a:stretch>
      </xdr:blipFill>
      <xdr:spPr bwMode="auto">
        <a:xfrm>
          <a:off x="1228725" y="2840488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1501</xdr:row>
      <xdr:rowOff>19050</xdr:rowOff>
    </xdr:from>
    <xdr:to>
      <xdr:col>2</xdr:col>
      <xdr:colOff>1733550</xdr:colOff>
      <xdr:row>1501</xdr:row>
      <xdr:rowOff>1666875</xdr:rowOff>
    </xdr:to>
    <xdr:pic>
      <xdr:nvPicPr>
        <xdr:cNvPr id="1501" name="Picture 1500"/>
        <xdr:cNvPicPr>
          <a:picLocks noChangeAspect="1" noChangeArrowheads="1"/>
        </xdr:cNvPicPr>
      </xdr:nvPicPr>
      <xdr:blipFill>
        <a:blip xmlns:r="http://schemas.openxmlformats.org/officeDocument/2006/relationships" r:embed="rId1500">
          <a:extLst>
            <a:ext uri="{28A0092B-C50C-407E-A947-70E740481C1C}">
              <a14:useLocalDpi xmlns:a14="http://schemas.microsoft.com/office/drawing/2010/main" val="0"/>
            </a:ext>
          </a:extLst>
        </a:blip>
        <a:srcRect/>
        <a:stretch>
          <a:fillRect/>
        </a:stretch>
      </xdr:blipFill>
      <xdr:spPr bwMode="auto">
        <a:xfrm>
          <a:off x="1228725" y="2842402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1502</xdr:row>
      <xdr:rowOff>19050</xdr:rowOff>
    </xdr:from>
    <xdr:to>
      <xdr:col>2</xdr:col>
      <xdr:colOff>1733550</xdr:colOff>
      <xdr:row>1502</xdr:row>
      <xdr:rowOff>1666875</xdr:rowOff>
    </xdr:to>
    <xdr:pic>
      <xdr:nvPicPr>
        <xdr:cNvPr id="1502" name="Picture 1501"/>
        <xdr:cNvPicPr>
          <a:picLocks noChangeAspect="1" noChangeArrowheads="1"/>
        </xdr:cNvPicPr>
      </xdr:nvPicPr>
      <xdr:blipFill>
        <a:blip xmlns:r="http://schemas.openxmlformats.org/officeDocument/2006/relationships" r:embed="rId1501">
          <a:extLst>
            <a:ext uri="{28A0092B-C50C-407E-A947-70E740481C1C}">
              <a14:useLocalDpi xmlns:a14="http://schemas.microsoft.com/office/drawing/2010/main" val="0"/>
            </a:ext>
          </a:extLst>
        </a:blip>
        <a:srcRect/>
        <a:stretch>
          <a:fillRect/>
        </a:stretch>
      </xdr:blipFill>
      <xdr:spPr bwMode="auto">
        <a:xfrm>
          <a:off x="1228725" y="2844317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1503</xdr:row>
      <xdr:rowOff>19050</xdr:rowOff>
    </xdr:from>
    <xdr:to>
      <xdr:col>2</xdr:col>
      <xdr:colOff>1733550</xdr:colOff>
      <xdr:row>1503</xdr:row>
      <xdr:rowOff>1666875</xdr:rowOff>
    </xdr:to>
    <xdr:pic>
      <xdr:nvPicPr>
        <xdr:cNvPr id="1503" name="Picture 1502"/>
        <xdr:cNvPicPr>
          <a:picLocks noChangeAspect="1" noChangeArrowheads="1"/>
        </xdr:cNvPicPr>
      </xdr:nvPicPr>
      <xdr:blipFill>
        <a:blip xmlns:r="http://schemas.openxmlformats.org/officeDocument/2006/relationships" r:embed="rId1502">
          <a:extLst>
            <a:ext uri="{28A0092B-C50C-407E-A947-70E740481C1C}">
              <a14:useLocalDpi xmlns:a14="http://schemas.microsoft.com/office/drawing/2010/main" val="0"/>
            </a:ext>
          </a:extLst>
        </a:blip>
        <a:srcRect/>
        <a:stretch>
          <a:fillRect/>
        </a:stretch>
      </xdr:blipFill>
      <xdr:spPr bwMode="auto">
        <a:xfrm>
          <a:off x="1228725" y="2846231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1504</xdr:row>
      <xdr:rowOff>19050</xdr:rowOff>
    </xdr:from>
    <xdr:to>
      <xdr:col>2</xdr:col>
      <xdr:colOff>1733550</xdr:colOff>
      <xdr:row>1504</xdr:row>
      <xdr:rowOff>1666875</xdr:rowOff>
    </xdr:to>
    <xdr:pic>
      <xdr:nvPicPr>
        <xdr:cNvPr id="1504" name="Picture 1503"/>
        <xdr:cNvPicPr>
          <a:picLocks noChangeAspect="1" noChangeArrowheads="1"/>
        </xdr:cNvPicPr>
      </xdr:nvPicPr>
      <xdr:blipFill>
        <a:blip xmlns:r="http://schemas.openxmlformats.org/officeDocument/2006/relationships" r:embed="rId1503">
          <a:extLst>
            <a:ext uri="{28A0092B-C50C-407E-A947-70E740481C1C}">
              <a14:useLocalDpi xmlns:a14="http://schemas.microsoft.com/office/drawing/2010/main" val="0"/>
            </a:ext>
          </a:extLst>
        </a:blip>
        <a:srcRect/>
        <a:stretch>
          <a:fillRect/>
        </a:stretch>
      </xdr:blipFill>
      <xdr:spPr bwMode="auto">
        <a:xfrm>
          <a:off x="1228725" y="2848146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1505</xdr:row>
      <xdr:rowOff>19050</xdr:rowOff>
    </xdr:from>
    <xdr:to>
      <xdr:col>2</xdr:col>
      <xdr:colOff>1733550</xdr:colOff>
      <xdr:row>1505</xdr:row>
      <xdr:rowOff>1666875</xdr:rowOff>
    </xdr:to>
    <xdr:pic>
      <xdr:nvPicPr>
        <xdr:cNvPr id="1505" name="Picture 1504"/>
        <xdr:cNvPicPr>
          <a:picLocks noChangeAspect="1" noChangeArrowheads="1"/>
        </xdr:cNvPicPr>
      </xdr:nvPicPr>
      <xdr:blipFill>
        <a:blip xmlns:r="http://schemas.openxmlformats.org/officeDocument/2006/relationships" r:embed="rId1504">
          <a:extLst>
            <a:ext uri="{28A0092B-C50C-407E-A947-70E740481C1C}">
              <a14:useLocalDpi xmlns:a14="http://schemas.microsoft.com/office/drawing/2010/main" val="0"/>
            </a:ext>
          </a:extLst>
        </a:blip>
        <a:srcRect/>
        <a:stretch>
          <a:fillRect/>
        </a:stretch>
      </xdr:blipFill>
      <xdr:spPr bwMode="auto">
        <a:xfrm>
          <a:off x="1228725" y="2850060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1506</xdr:row>
      <xdr:rowOff>19050</xdr:rowOff>
    </xdr:from>
    <xdr:to>
      <xdr:col>2</xdr:col>
      <xdr:colOff>1733550</xdr:colOff>
      <xdr:row>1506</xdr:row>
      <xdr:rowOff>1666875</xdr:rowOff>
    </xdr:to>
    <xdr:pic>
      <xdr:nvPicPr>
        <xdr:cNvPr id="1506" name="Picture 1505"/>
        <xdr:cNvPicPr>
          <a:picLocks noChangeAspect="1" noChangeArrowheads="1"/>
        </xdr:cNvPicPr>
      </xdr:nvPicPr>
      <xdr:blipFill>
        <a:blip xmlns:r="http://schemas.openxmlformats.org/officeDocument/2006/relationships" r:embed="rId1505">
          <a:extLst>
            <a:ext uri="{28A0092B-C50C-407E-A947-70E740481C1C}">
              <a14:useLocalDpi xmlns:a14="http://schemas.microsoft.com/office/drawing/2010/main" val="0"/>
            </a:ext>
          </a:extLst>
        </a:blip>
        <a:srcRect/>
        <a:stretch>
          <a:fillRect/>
        </a:stretch>
      </xdr:blipFill>
      <xdr:spPr bwMode="auto">
        <a:xfrm>
          <a:off x="1228725" y="2851975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1507</xdr:row>
      <xdr:rowOff>19050</xdr:rowOff>
    </xdr:from>
    <xdr:to>
      <xdr:col>2</xdr:col>
      <xdr:colOff>1733550</xdr:colOff>
      <xdr:row>1507</xdr:row>
      <xdr:rowOff>1666875</xdr:rowOff>
    </xdr:to>
    <xdr:pic>
      <xdr:nvPicPr>
        <xdr:cNvPr id="1507" name="Picture 1506"/>
        <xdr:cNvPicPr>
          <a:picLocks noChangeAspect="1" noChangeArrowheads="1"/>
        </xdr:cNvPicPr>
      </xdr:nvPicPr>
      <xdr:blipFill>
        <a:blip xmlns:r="http://schemas.openxmlformats.org/officeDocument/2006/relationships" r:embed="rId1506">
          <a:extLst>
            <a:ext uri="{28A0092B-C50C-407E-A947-70E740481C1C}">
              <a14:useLocalDpi xmlns:a14="http://schemas.microsoft.com/office/drawing/2010/main" val="0"/>
            </a:ext>
          </a:extLst>
        </a:blip>
        <a:srcRect/>
        <a:stretch>
          <a:fillRect/>
        </a:stretch>
      </xdr:blipFill>
      <xdr:spPr bwMode="auto">
        <a:xfrm>
          <a:off x="1228725" y="2853890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1508</xdr:row>
      <xdr:rowOff>19050</xdr:rowOff>
    </xdr:from>
    <xdr:to>
      <xdr:col>2</xdr:col>
      <xdr:colOff>1733550</xdr:colOff>
      <xdr:row>1508</xdr:row>
      <xdr:rowOff>1666875</xdr:rowOff>
    </xdr:to>
    <xdr:pic>
      <xdr:nvPicPr>
        <xdr:cNvPr id="1508" name="Picture 1507"/>
        <xdr:cNvPicPr>
          <a:picLocks noChangeAspect="1" noChangeArrowheads="1"/>
        </xdr:cNvPicPr>
      </xdr:nvPicPr>
      <xdr:blipFill>
        <a:blip xmlns:r="http://schemas.openxmlformats.org/officeDocument/2006/relationships" r:embed="rId1507">
          <a:extLst>
            <a:ext uri="{28A0092B-C50C-407E-A947-70E740481C1C}">
              <a14:useLocalDpi xmlns:a14="http://schemas.microsoft.com/office/drawing/2010/main" val="0"/>
            </a:ext>
          </a:extLst>
        </a:blip>
        <a:srcRect/>
        <a:stretch>
          <a:fillRect/>
        </a:stretch>
      </xdr:blipFill>
      <xdr:spPr bwMode="auto">
        <a:xfrm>
          <a:off x="1228725" y="2855804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1509</xdr:row>
      <xdr:rowOff>19050</xdr:rowOff>
    </xdr:from>
    <xdr:to>
      <xdr:col>2</xdr:col>
      <xdr:colOff>1733550</xdr:colOff>
      <xdr:row>1509</xdr:row>
      <xdr:rowOff>1666875</xdr:rowOff>
    </xdr:to>
    <xdr:pic>
      <xdr:nvPicPr>
        <xdr:cNvPr id="1509" name="Picture 1508"/>
        <xdr:cNvPicPr>
          <a:picLocks noChangeAspect="1" noChangeArrowheads="1"/>
        </xdr:cNvPicPr>
      </xdr:nvPicPr>
      <xdr:blipFill>
        <a:blip xmlns:r="http://schemas.openxmlformats.org/officeDocument/2006/relationships" r:embed="rId1508">
          <a:extLst>
            <a:ext uri="{28A0092B-C50C-407E-A947-70E740481C1C}">
              <a14:useLocalDpi xmlns:a14="http://schemas.microsoft.com/office/drawing/2010/main" val="0"/>
            </a:ext>
          </a:extLst>
        </a:blip>
        <a:srcRect/>
        <a:stretch>
          <a:fillRect/>
        </a:stretch>
      </xdr:blipFill>
      <xdr:spPr bwMode="auto">
        <a:xfrm>
          <a:off x="1228725" y="2857719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1510</xdr:row>
      <xdr:rowOff>19050</xdr:rowOff>
    </xdr:from>
    <xdr:to>
      <xdr:col>2</xdr:col>
      <xdr:colOff>1733550</xdr:colOff>
      <xdr:row>1510</xdr:row>
      <xdr:rowOff>1666875</xdr:rowOff>
    </xdr:to>
    <xdr:pic>
      <xdr:nvPicPr>
        <xdr:cNvPr id="1510" name="Picture 1509"/>
        <xdr:cNvPicPr>
          <a:picLocks noChangeAspect="1" noChangeArrowheads="1"/>
        </xdr:cNvPicPr>
      </xdr:nvPicPr>
      <xdr:blipFill>
        <a:blip xmlns:r="http://schemas.openxmlformats.org/officeDocument/2006/relationships" r:embed="rId1509">
          <a:extLst>
            <a:ext uri="{28A0092B-C50C-407E-A947-70E740481C1C}">
              <a14:useLocalDpi xmlns:a14="http://schemas.microsoft.com/office/drawing/2010/main" val="0"/>
            </a:ext>
          </a:extLst>
        </a:blip>
        <a:srcRect/>
        <a:stretch>
          <a:fillRect/>
        </a:stretch>
      </xdr:blipFill>
      <xdr:spPr bwMode="auto">
        <a:xfrm>
          <a:off x="1228725" y="2859633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1511</xdr:row>
      <xdr:rowOff>19050</xdr:rowOff>
    </xdr:from>
    <xdr:to>
      <xdr:col>2</xdr:col>
      <xdr:colOff>1733550</xdr:colOff>
      <xdr:row>1511</xdr:row>
      <xdr:rowOff>1666875</xdr:rowOff>
    </xdr:to>
    <xdr:pic>
      <xdr:nvPicPr>
        <xdr:cNvPr id="1511" name="Picture 1510"/>
        <xdr:cNvPicPr>
          <a:picLocks noChangeAspect="1" noChangeArrowheads="1"/>
        </xdr:cNvPicPr>
      </xdr:nvPicPr>
      <xdr:blipFill>
        <a:blip xmlns:r="http://schemas.openxmlformats.org/officeDocument/2006/relationships" r:embed="rId1510">
          <a:extLst>
            <a:ext uri="{28A0092B-C50C-407E-A947-70E740481C1C}">
              <a14:useLocalDpi xmlns:a14="http://schemas.microsoft.com/office/drawing/2010/main" val="0"/>
            </a:ext>
          </a:extLst>
        </a:blip>
        <a:srcRect/>
        <a:stretch>
          <a:fillRect/>
        </a:stretch>
      </xdr:blipFill>
      <xdr:spPr bwMode="auto">
        <a:xfrm>
          <a:off x="1228725" y="2861548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1512</xdr:row>
      <xdr:rowOff>19050</xdr:rowOff>
    </xdr:from>
    <xdr:to>
      <xdr:col>2</xdr:col>
      <xdr:colOff>1733550</xdr:colOff>
      <xdr:row>1512</xdr:row>
      <xdr:rowOff>1666875</xdr:rowOff>
    </xdr:to>
    <xdr:pic>
      <xdr:nvPicPr>
        <xdr:cNvPr id="1512" name="Picture 1511"/>
        <xdr:cNvPicPr>
          <a:picLocks noChangeAspect="1" noChangeArrowheads="1"/>
        </xdr:cNvPicPr>
      </xdr:nvPicPr>
      <xdr:blipFill>
        <a:blip xmlns:r="http://schemas.openxmlformats.org/officeDocument/2006/relationships" r:embed="rId1511">
          <a:extLst>
            <a:ext uri="{28A0092B-C50C-407E-A947-70E740481C1C}">
              <a14:useLocalDpi xmlns:a14="http://schemas.microsoft.com/office/drawing/2010/main" val="0"/>
            </a:ext>
          </a:extLst>
        </a:blip>
        <a:srcRect/>
        <a:stretch>
          <a:fillRect/>
        </a:stretch>
      </xdr:blipFill>
      <xdr:spPr bwMode="auto">
        <a:xfrm>
          <a:off x="1228725" y="2863462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1513</xdr:row>
      <xdr:rowOff>19050</xdr:rowOff>
    </xdr:from>
    <xdr:to>
      <xdr:col>2</xdr:col>
      <xdr:colOff>1733550</xdr:colOff>
      <xdr:row>1513</xdr:row>
      <xdr:rowOff>1666875</xdr:rowOff>
    </xdr:to>
    <xdr:pic>
      <xdr:nvPicPr>
        <xdr:cNvPr id="1513" name="Picture 1512"/>
        <xdr:cNvPicPr>
          <a:picLocks noChangeAspect="1" noChangeArrowheads="1"/>
        </xdr:cNvPicPr>
      </xdr:nvPicPr>
      <xdr:blipFill>
        <a:blip xmlns:r="http://schemas.openxmlformats.org/officeDocument/2006/relationships" r:embed="rId1512">
          <a:extLst>
            <a:ext uri="{28A0092B-C50C-407E-A947-70E740481C1C}">
              <a14:useLocalDpi xmlns:a14="http://schemas.microsoft.com/office/drawing/2010/main" val="0"/>
            </a:ext>
          </a:extLst>
        </a:blip>
        <a:srcRect/>
        <a:stretch>
          <a:fillRect/>
        </a:stretch>
      </xdr:blipFill>
      <xdr:spPr bwMode="auto">
        <a:xfrm>
          <a:off x="1228725" y="2865377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1514</xdr:row>
      <xdr:rowOff>19050</xdr:rowOff>
    </xdr:from>
    <xdr:to>
      <xdr:col>2</xdr:col>
      <xdr:colOff>1733550</xdr:colOff>
      <xdr:row>1514</xdr:row>
      <xdr:rowOff>1666875</xdr:rowOff>
    </xdr:to>
    <xdr:pic>
      <xdr:nvPicPr>
        <xdr:cNvPr id="1514" name="Picture 1513"/>
        <xdr:cNvPicPr>
          <a:picLocks noChangeAspect="1" noChangeArrowheads="1"/>
        </xdr:cNvPicPr>
      </xdr:nvPicPr>
      <xdr:blipFill>
        <a:blip xmlns:r="http://schemas.openxmlformats.org/officeDocument/2006/relationships" r:embed="rId1513">
          <a:extLst>
            <a:ext uri="{28A0092B-C50C-407E-A947-70E740481C1C}">
              <a14:useLocalDpi xmlns:a14="http://schemas.microsoft.com/office/drawing/2010/main" val="0"/>
            </a:ext>
          </a:extLst>
        </a:blip>
        <a:srcRect/>
        <a:stretch>
          <a:fillRect/>
        </a:stretch>
      </xdr:blipFill>
      <xdr:spPr bwMode="auto">
        <a:xfrm>
          <a:off x="1228725" y="2867291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1515</xdr:row>
      <xdr:rowOff>19050</xdr:rowOff>
    </xdr:from>
    <xdr:to>
      <xdr:col>2</xdr:col>
      <xdr:colOff>1733550</xdr:colOff>
      <xdr:row>1515</xdr:row>
      <xdr:rowOff>1666875</xdr:rowOff>
    </xdr:to>
    <xdr:pic>
      <xdr:nvPicPr>
        <xdr:cNvPr id="1515" name="Picture 1514"/>
        <xdr:cNvPicPr>
          <a:picLocks noChangeAspect="1" noChangeArrowheads="1"/>
        </xdr:cNvPicPr>
      </xdr:nvPicPr>
      <xdr:blipFill>
        <a:blip xmlns:r="http://schemas.openxmlformats.org/officeDocument/2006/relationships" r:embed="rId1514">
          <a:extLst>
            <a:ext uri="{28A0092B-C50C-407E-A947-70E740481C1C}">
              <a14:useLocalDpi xmlns:a14="http://schemas.microsoft.com/office/drawing/2010/main" val="0"/>
            </a:ext>
          </a:extLst>
        </a:blip>
        <a:srcRect/>
        <a:stretch>
          <a:fillRect/>
        </a:stretch>
      </xdr:blipFill>
      <xdr:spPr bwMode="auto">
        <a:xfrm>
          <a:off x="1228725" y="286920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1516</xdr:row>
      <xdr:rowOff>19050</xdr:rowOff>
    </xdr:from>
    <xdr:to>
      <xdr:col>2</xdr:col>
      <xdr:colOff>1733550</xdr:colOff>
      <xdr:row>1516</xdr:row>
      <xdr:rowOff>1666875</xdr:rowOff>
    </xdr:to>
    <xdr:pic>
      <xdr:nvPicPr>
        <xdr:cNvPr id="1516" name="Picture 1515"/>
        <xdr:cNvPicPr>
          <a:picLocks noChangeAspect="1" noChangeArrowheads="1"/>
        </xdr:cNvPicPr>
      </xdr:nvPicPr>
      <xdr:blipFill>
        <a:blip xmlns:r="http://schemas.openxmlformats.org/officeDocument/2006/relationships" r:embed="rId1515">
          <a:extLst>
            <a:ext uri="{28A0092B-C50C-407E-A947-70E740481C1C}">
              <a14:useLocalDpi xmlns:a14="http://schemas.microsoft.com/office/drawing/2010/main" val="0"/>
            </a:ext>
          </a:extLst>
        </a:blip>
        <a:srcRect/>
        <a:stretch>
          <a:fillRect/>
        </a:stretch>
      </xdr:blipFill>
      <xdr:spPr bwMode="auto">
        <a:xfrm>
          <a:off x="1228725" y="2871120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1517</xdr:row>
      <xdr:rowOff>19050</xdr:rowOff>
    </xdr:from>
    <xdr:to>
      <xdr:col>2</xdr:col>
      <xdr:colOff>1733550</xdr:colOff>
      <xdr:row>1517</xdr:row>
      <xdr:rowOff>1666875</xdr:rowOff>
    </xdr:to>
    <xdr:pic>
      <xdr:nvPicPr>
        <xdr:cNvPr id="1517" name="Picture 1516"/>
        <xdr:cNvPicPr>
          <a:picLocks noChangeAspect="1" noChangeArrowheads="1"/>
        </xdr:cNvPicPr>
      </xdr:nvPicPr>
      <xdr:blipFill>
        <a:blip xmlns:r="http://schemas.openxmlformats.org/officeDocument/2006/relationships" r:embed="rId1516">
          <a:extLst>
            <a:ext uri="{28A0092B-C50C-407E-A947-70E740481C1C}">
              <a14:useLocalDpi xmlns:a14="http://schemas.microsoft.com/office/drawing/2010/main" val="0"/>
            </a:ext>
          </a:extLst>
        </a:blip>
        <a:srcRect/>
        <a:stretch>
          <a:fillRect/>
        </a:stretch>
      </xdr:blipFill>
      <xdr:spPr bwMode="auto">
        <a:xfrm>
          <a:off x="1228725" y="2873035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1518</xdr:row>
      <xdr:rowOff>19050</xdr:rowOff>
    </xdr:from>
    <xdr:to>
      <xdr:col>2</xdr:col>
      <xdr:colOff>1733550</xdr:colOff>
      <xdr:row>1518</xdr:row>
      <xdr:rowOff>1666875</xdr:rowOff>
    </xdr:to>
    <xdr:pic>
      <xdr:nvPicPr>
        <xdr:cNvPr id="1518" name="Picture 1517"/>
        <xdr:cNvPicPr>
          <a:picLocks noChangeAspect="1" noChangeArrowheads="1"/>
        </xdr:cNvPicPr>
      </xdr:nvPicPr>
      <xdr:blipFill>
        <a:blip xmlns:r="http://schemas.openxmlformats.org/officeDocument/2006/relationships" r:embed="rId1517">
          <a:extLst>
            <a:ext uri="{28A0092B-C50C-407E-A947-70E740481C1C}">
              <a14:useLocalDpi xmlns:a14="http://schemas.microsoft.com/office/drawing/2010/main" val="0"/>
            </a:ext>
          </a:extLst>
        </a:blip>
        <a:srcRect/>
        <a:stretch>
          <a:fillRect/>
        </a:stretch>
      </xdr:blipFill>
      <xdr:spPr bwMode="auto">
        <a:xfrm>
          <a:off x="1228725" y="2874949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1519</xdr:row>
      <xdr:rowOff>19050</xdr:rowOff>
    </xdr:from>
    <xdr:to>
      <xdr:col>2</xdr:col>
      <xdr:colOff>1733550</xdr:colOff>
      <xdr:row>1519</xdr:row>
      <xdr:rowOff>1666875</xdr:rowOff>
    </xdr:to>
    <xdr:pic>
      <xdr:nvPicPr>
        <xdr:cNvPr id="1519" name="Picture 1518"/>
        <xdr:cNvPicPr>
          <a:picLocks noChangeAspect="1" noChangeArrowheads="1"/>
        </xdr:cNvPicPr>
      </xdr:nvPicPr>
      <xdr:blipFill>
        <a:blip xmlns:r="http://schemas.openxmlformats.org/officeDocument/2006/relationships" r:embed="rId1518">
          <a:extLst>
            <a:ext uri="{28A0092B-C50C-407E-A947-70E740481C1C}">
              <a14:useLocalDpi xmlns:a14="http://schemas.microsoft.com/office/drawing/2010/main" val="0"/>
            </a:ext>
          </a:extLst>
        </a:blip>
        <a:srcRect/>
        <a:stretch>
          <a:fillRect/>
        </a:stretch>
      </xdr:blipFill>
      <xdr:spPr bwMode="auto">
        <a:xfrm>
          <a:off x="1228725" y="2876864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1520</xdr:row>
      <xdr:rowOff>19050</xdr:rowOff>
    </xdr:from>
    <xdr:to>
      <xdr:col>2</xdr:col>
      <xdr:colOff>1733550</xdr:colOff>
      <xdr:row>1520</xdr:row>
      <xdr:rowOff>1666875</xdr:rowOff>
    </xdr:to>
    <xdr:pic>
      <xdr:nvPicPr>
        <xdr:cNvPr id="1520" name="Picture 1519"/>
        <xdr:cNvPicPr>
          <a:picLocks noChangeAspect="1" noChangeArrowheads="1"/>
        </xdr:cNvPicPr>
      </xdr:nvPicPr>
      <xdr:blipFill>
        <a:blip xmlns:r="http://schemas.openxmlformats.org/officeDocument/2006/relationships" r:embed="rId1519">
          <a:extLst>
            <a:ext uri="{28A0092B-C50C-407E-A947-70E740481C1C}">
              <a14:useLocalDpi xmlns:a14="http://schemas.microsoft.com/office/drawing/2010/main" val="0"/>
            </a:ext>
          </a:extLst>
        </a:blip>
        <a:srcRect/>
        <a:stretch>
          <a:fillRect/>
        </a:stretch>
      </xdr:blipFill>
      <xdr:spPr bwMode="auto">
        <a:xfrm>
          <a:off x="1228725" y="2878778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1521</xdr:row>
      <xdr:rowOff>19050</xdr:rowOff>
    </xdr:from>
    <xdr:to>
      <xdr:col>2</xdr:col>
      <xdr:colOff>1733550</xdr:colOff>
      <xdr:row>1521</xdr:row>
      <xdr:rowOff>1666875</xdr:rowOff>
    </xdr:to>
    <xdr:pic>
      <xdr:nvPicPr>
        <xdr:cNvPr id="1521" name="Picture 1520"/>
        <xdr:cNvPicPr>
          <a:picLocks noChangeAspect="1" noChangeArrowheads="1"/>
        </xdr:cNvPicPr>
      </xdr:nvPicPr>
      <xdr:blipFill>
        <a:blip xmlns:r="http://schemas.openxmlformats.org/officeDocument/2006/relationships" r:embed="rId1520">
          <a:extLst>
            <a:ext uri="{28A0092B-C50C-407E-A947-70E740481C1C}">
              <a14:useLocalDpi xmlns:a14="http://schemas.microsoft.com/office/drawing/2010/main" val="0"/>
            </a:ext>
          </a:extLst>
        </a:blip>
        <a:srcRect/>
        <a:stretch>
          <a:fillRect/>
        </a:stretch>
      </xdr:blipFill>
      <xdr:spPr bwMode="auto">
        <a:xfrm>
          <a:off x="1228725" y="2880693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1522</xdr:row>
      <xdr:rowOff>19050</xdr:rowOff>
    </xdr:from>
    <xdr:to>
      <xdr:col>2</xdr:col>
      <xdr:colOff>1733550</xdr:colOff>
      <xdr:row>1522</xdr:row>
      <xdr:rowOff>1666875</xdr:rowOff>
    </xdr:to>
    <xdr:pic>
      <xdr:nvPicPr>
        <xdr:cNvPr id="1522" name="Picture 1521"/>
        <xdr:cNvPicPr>
          <a:picLocks noChangeAspect="1" noChangeArrowheads="1"/>
        </xdr:cNvPicPr>
      </xdr:nvPicPr>
      <xdr:blipFill>
        <a:blip xmlns:r="http://schemas.openxmlformats.org/officeDocument/2006/relationships" r:embed="rId1521">
          <a:extLst>
            <a:ext uri="{28A0092B-C50C-407E-A947-70E740481C1C}">
              <a14:useLocalDpi xmlns:a14="http://schemas.microsoft.com/office/drawing/2010/main" val="0"/>
            </a:ext>
          </a:extLst>
        </a:blip>
        <a:srcRect/>
        <a:stretch>
          <a:fillRect/>
        </a:stretch>
      </xdr:blipFill>
      <xdr:spPr bwMode="auto">
        <a:xfrm>
          <a:off x="1228725" y="2882607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1523</xdr:row>
      <xdr:rowOff>19050</xdr:rowOff>
    </xdr:from>
    <xdr:to>
      <xdr:col>2</xdr:col>
      <xdr:colOff>1733550</xdr:colOff>
      <xdr:row>1523</xdr:row>
      <xdr:rowOff>1666875</xdr:rowOff>
    </xdr:to>
    <xdr:pic>
      <xdr:nvPicPr>
        <xdr:cNvPr id="1523" name="Picture 1522"/>
        <xdr:cNvPicPr>
          <a:picLocks noChangeAspect="1" noChangeArrowheads="1"/>
        </xdr:cNvPicPr>
      </xdr:nvPicPr>
      <xdr:blipFill>
        <a:blip xmlns:r="http://schemas.openxmlformats.org/officeDocument/2006/relationships" r:embed="rId1522">
          <a:extLst>
            <a:ext uri="{28A0092B-C50C-407E-A947-70E740481C1C}">
              <a14:useLocalDpi xmlns:a14="http://schemas.microsoft.com/office/drawing/2010/main" val="0"/>
            </a:ext>
          </a:extLst>
        </a:blip>
        <a:srcRect/>
        <a:stretch>
          <a:fillRect/>
        </a:stretch>
      </xdr:blipFill>
      <xdr:spPr bwMode="auto">
        <a:xfrm>
          <a:off x="1228725" y="2884522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1524</xdr:row>
      <xdr:rowOff>19050</xdr:rowOff>
    </xdr:from>
    <xdr:to>
      <xdr:col>2</xdr:col>
      <xdr:colOff>1733550</xdr:colOff>
      <xdr:row>1524</xdr:row>
      <xdr:rowOff>1666875</xdr:rowOff>
    </xdr:to>
    <xdr:pic>
      <xdr:nvPicPr>
        <xdr:cNvPr id="1524" name="Picture 1523"/>
        <xdr:cNvPicPr>
          <a:picLocks noChangeAspect="1" noChangeArrowheads="1"/>
        </xdr:cNvPicPr>
      </xdr:nvPicPr>
      <xdr:blipFill>
        <a:blip xmlns:r="http://schemas.openxmlformats.org/officeDocument/2006/relationships" r:embed="rId1523">
          <a:extLst>
            <a:ext uri="{28A0092B-C50C-407E-A947-70E740481C1C}">
              <a14:useLocalDpi xmlns:a14="http://schemas.microsoft.com/office/drawing/2010/main" val="0"/>
            </a:ext>
          </a:extLst>
        </a:blip>
        <a:srcRect/>
        <a:stretch>
          <a:fillRect/>
        </a:stretch>
      </xdr:blipFill>
      <xdr:spPr bwMode="auto">
        <a:xfrm>
          <a:off x="1228725" y="2886436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1525</xdr:row>
      <xdr:rowOff>19050</xdr:rowOff>
    </xdr:from>
    <xdr:to>
      <xdr:col>2</xdr:col>
      <xdr:colOff>1733550</xdr:colOff>
      <xdr:row>1525</xdr:row>
      <xdr:rowOff>1666875</xdr:rowOff>
    </xdr:to>
    <xdr:pic>
      <xdr:nvPicPr>
        <xdr:cNvPr id="1525" name="Picture 1524"/>
        <xdr:cNvPicPr>
          <a:picLocks noChangeAspect="1" noChangeArrowheads="1"/>
        </xdr:cNvPicPr>
      </xdr:nvPicPr>
      <xdr:blipFill>
        <a:blip xmlns:r="http://schemas.openxmlformats.org/officeDocument/2006/relationships" r:embed="rId1524">
          <a:extLst>
            <a:ext uri="{28A0092B-C50C-407E-A947-70E740481C1C}">
              <a14:useLocalDpi xmlns:a14="http://schemas.microsoft.com/office/drawing/2010/main" val="0"/>
            </a:ext>
          </a:extLst>
        </a:blip>
        <a:srcRect/>
        <a:stretch>
          <a:fillRect/>
        </a:stretch>
      </xdr:blipFill>
      <xdr:spPr bwMode="auto">
        <a:xfrm>
          <a:off x="1228725" y="2888351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1526</xdr:row>
      <xdr:rowOff>19050</xdr:rowOff>
    </xdr:from>
    <xdr:to>
      <xdr:col>2</xdr:col>
      <xdr:colOff>1733550</xdr:colOff>
      <xdr:row>1526</xdr:row>
      <xdr:rowOff>1666875</xdr:rowOff>
    </xdr:to>
    <xdr:pic>
      <xdr:nvPicPr>
        <xdr:cNvPr id="1526" name="Picture 1525"/>
        <xdr:cNvPicPr>
          <a:picLocks noChangeAspect="1" noChangeArrowheads="1"/>
        </xdr:cNvPicPr>
      </xdr:nvPicPr>
      <xdr:blipFill>
        <a:blip xmlns:r="http://schemas.openxmlformats.org/officeDocument/2006/relationships" r:embed="rId1525">
          <a:extLst>
            <a:ext uri="{28A0092B-C50C-407E-A947-70E740481C1C}">
              <a14:useLocalDpi xmlns:a14="http://schemas.microsoft.com/office/drawing/2010/main" val="0"/>
            </a:ext>
          </a:extLst>
        </a:blip>
        <a:srcRect/>
        <a:stretch>
          <a:fillRect/>
        </a:stretch>
      </xdr:blipFill>
      <xdr:spPr bwMode="auto">
        <a:xfrm>
          <a:off x="1228725" y="2890266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1527</xdr:row>
      <xdr:rowOff>19050</xdr:rowOff>
    </xdr:from>
    <xdr:to>
      <xdr:col>2</xdr:col>
      <xdr:colOff>1733550</xdr:colOff>
      <xdr:row>1527</xdr:row>
      <xdr:rowOff>1666875</xdr:rowOff>
    </xdr:to>
    <xdr:pic>
      <xdr:nvPicPr>
        <xdr:cNvPr id="1527" name="Picture 1526"/>
        <xdr:cNvPicPr>
          <a:picLocks noChangeAspect="1" noChangeArrowheads="1"/>
        </xdr:cNvPicPr>
      </xdr:nvPicPr>
      <xdr:blipFill>
        <a:blip xmlns:r="http://schemas.openxmlformats.org/officeDocument/2006/relationships" r:embed="rId1526">
          <a:extLst>
            <a:ext uri="{28A0092B-C50C-407E-A947-70E740481C1C}">
              <a14:useLocalDpi xmlns:a14="http://schemas.microsoft.com/office/drawing/2010/main" val="0"/>
            </a:ext>
          </a:extLst>
        </a:blip>
        <a:srcRect/>
        <a:stretch>
          <a:fillRect/>
        </a:stretch>
      </xdr:blipFill>
      <xdr:spPr bwMode="auto">
        <a:xfrm>
          <a:off x="1228725" y="2892180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1528</xdr:row>
      <xdr:rowOff>19050</xdr:rowOff>
    </xdr:from>
    <xdr:to>
      <xdr:col>2</xdr:col>
      <xdr:colOff>1733550</xdr:colOff>
      <xdr:row>1528</xdr:row>
      <xdr:rowOff>1666875</xdr:rowOff>
    </xdr:to>
    <xdr:pic>
      <xdr:nvPicPr>
        <xdr:cNvPr id="1528" name="Picture 1527"/>
        <xdr:cNvPicPr>
          <a:picLocks noChangeAspect="1" noChangeArrowheads="1"/>
        </xdr:cNvPicPr>
      </xdr:nvPicPr>
      <xdr:blipFill>
        <a:blip xmlns:r="http://schemas.openxmlformats.org/officeDocument/2006/relationships" r:embed="rId1527">
          <a:extLst>
            <a:ext uri="{28A0092B-C50C-407E-A947-70E740481C1C}">
              <a14:useLocalDpi xmlns:a14="http://schemas.microsoft.com/office/drawing/2010/main" val="0"/>
            </a:ext>
          </a:extLst>
        </a:blip>
        <a:srcRect/>
        <a:stretch>
          <a:fillRect/>
        </a:stretch>
      </xdr:blipFill>
      <xdr:spPr bwMode="auto">
        <a:xfrm>
          <a:off x="1228725" y="2894095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1529</xdr:row>
      <xdr:rowOff>19050</xdr:rowOff>
    </xdr:from>
    <xdr:to>
      <xdr:col>2</xdr:col>
      <xdr:colOff>1733550</xdr:colOff>
      <xdr:row>1529</xdr:row>
      <xdr:rowOff>1666875</xdr:rowOff>
    </xdr:to>
    <xdr:pic>
      <xdr:nvPicPr>
        <xdr:cNvPr id="1529" name="Picture 1528"/>
        <xdr:cNvPicPr>
          <a:picLocks noChangeAspect="1" noChangeArrowheads="1"/>
        </xdr:cNvPicPr>
      </xdr:nvPicPr>
      <xdr:blipFill>
        <a:blip xmlns:r="http://schemas.openxmlformats.org/officeDocument/2006/relationships" r:embed="rId1528">
          <a:extLst>
            <a:ext uri="{28A0092B-C50C-407E-A947-70E740481C1C}">
              <a14:useLocalDpi xmlns:a14="http://schemas.microsoft.com/office/drawing/2010/main" val="0"/>
            </a:ext>
          </a:extLst>
        </a:blip>
        <a:srcRect/>
        <a:stretch>
          <a:fillRect/>
        </a:stretch>
      </xdr:blipFill>
      <xdr:spPr bwMode="auto">
        <a:xfrm>
          <a:off x="1228725" y="2896009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1530</xdr:row>
      <xdr:rowOff>19050</xdr:rowOff>
    </xdr:from>
    <xdr:to>
      <xdr:col>2</xdr:col>
      <xdr:colOff>1733550</xdr:colOff>
      <xdr:row>1530</xdr:row>
      <xdr:rowOff>1666875</xdr:rowOff>
    </xdr:to>
    <xdr:pic>
      <xdr:nvPicPr>
        <xdr:cNvPr id="1530" name="Picture 1529"/>
        <xdr:cNvPicPr>
          <a:picLocks noChangeAspect="1" noChangeArrowheads="1"/>
        </xdr:cNvPicPr>
      </xdr:nvPicPr>
      <xdr:blipFill>
        <a:blip xmlns:r="http://schemas.openxmlformats.org/officeDocument/2006/relationships" r:embed="rId1529">
          <a:extLst>
            <a:ext uri="{28A0092B-C50C-407E-A947-70E740481C1C}">
              <a14:useLocalDpi xmlns:a14="http://schemas.microsoft.com/office/drawing/2010/main" val="0"/>
            </a:ext>
          </a:extLst>
        </a:blip>
        <a:srcRect/>
        <a:stretch>
          <a:fillRect/>
        </a:stretch>
      </xdr:blipFill>
      <xdr:spPr bwMode="auto">
        <a:xfrm>
          <a:off x="1228725" y="2897924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1531</xdr:row>
      <xdr:rowOff>19050</xdr:rowOff>
    </xdr:from>
    <xdr:to>
      <xdr:col>2</xdr:col>
      <xdr:colOff>1733550</xdr:colOff>
      <xdr:row>1531</xdr:row>
      <xdr:rowOff>1666875</xdr:rowOff>
    </xdr:to>
    <xdr:pic>
      <xdr:nvPicPr>
        <xdr:cNvPr id="1531" name="Picture 1530"/>
        <xdr:cNvPicPr>
          <a:picLocks noChangeAspect="1" noChangeArrowheads="1"/>
        </xdr:cNvPicPr>
      </xdr:nvPicPr>
      <xdr:blipFill>
        <a:blip xmlns:r="http://schemas.openxmlformats.org/officeDocument/2006/relationships" r:embed="rId1530">
          <a:extLst>
            <a:ext uri="{28A0092B-C50C-407E-A947-70E740481C1C}">
              <a14:useLocalDpi xmlns:a14="http://schemas.microsoft.com/office/drawing/2010/main" val="0"/>
            </a:ext>
          </a:extLst>
        </a:blip>
        <a:srcRect/>
        <a:stretch>
          <a:fillRect/>
        </a:stretch>
      </xdr:blipFill>
      <xdr:spPr bwMode="auto">
        <a:xfrm>
          <a:off x="1228725" y="2899838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1532</xdr:row>
      <xdr:rowOff>19050</xdr:rowOff>
    </xdr:from>
    <xdr:to>
      <xdr:col>2</xdr:col>
      <xdr:colOff>1733550</xdr:colOff>
      <xdr:row>1532</xdr:row>
      <xdr:rowOff>1666875</xdr:rowOff>
    </xdr:to>
    <xdr:pic>
      <xdr:nvPicPr>
        <xdr:cNvPr id="1532" name="Picture 1531"/>
        <xdr:cNvPicPr>
          <a:picLocks noChangeAspect="1" noChangeArrowheads="1"/>
        </xdr:cNvPicPr>
      </xdr:nvPicPr>
      <xdr:blipFill>
        <a:blip xmlns:r="http://schemas.openxmlformats.org/officeDocument/2006/relationships" r:embed="rId1531">
          <a:extLst>
            <a:ext uri="{28A0092B-C50C-407E-A947-70E740481C1C}">
              <a14:useLocalDpi xmlns:a14="http://schemas.microsoft.com/office/drawing/2010/main" val="0"/>
            </a:ext>
          </a:extLst>
        </a:blip>
        <a:srcRect/>
        <a:stretch>
          <a:fillRect/>
        </a:stretch>
      </xdr:blipFill>
      <xdr:spPr bwMode="auto">
        <a:xfrm>
          <a:off x="1228725" y="2901753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1533</xdr:row>
      <xdr:rowOff>19050</xdr:rowOff>
    </xdr:from>
    <xdr:to>
      <xdr:col>2</xdr:col>
      <xdr:colOff>1733550</xdr:colOff>
      <xdr:row>1533</xdr:row>
      <xdr:rowOff>1666875</xdr:rowOff>
    </xdr:to>
    <xdr:pic>
      <xdr:nvPicPr>
        <xdr:cNvPr id="1533" name="Picture 1532"/>
        <xdr:cNvPicPr>
          <a:picLocks noChangeAspect="1" noChangeArrowheads="1"/>
        </xdr:cNvPicPr>
      </xdr:nvPicPr>
      <xdr:blipFill>
        <a:blip xmlns:r="http://schemas.openxmlformats.org/officeDocument/2006/relationships" r:embed="rId1532">
          <a:extLst>
            <a:ext uri="{28A0092B-C50C-407E-A947-70E740481C1C}">
              <a14:useLocalDpi xmlns:a14="http://schemas.microsoft.com/office/drawing/2010/main" val="0"/>
            </a:ext>
          </a:extLst>
        </a:blip>
        <a:srcRect/>
        <a:stretch>
          <a:fillRect/>
        </a:stretch>
      </xdr:blipFill>
      <xdr:spPr bwMode="auto">
        <a:xfrm>
          <a:off x="1228725" y="290366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1534</xdr:row>
      <xdr:rowOff>19050</xdr:rowOff>
    </xdr:from>
    <xdr:to>
      <xdr:col>2</xdr:col>
      <xdr:colOff>1733550</xdr:colOff>
      <xdr:row>1534</xdr:row>
      <xdr:rowOff>1666875</xdr:rowOff>
    </xdr:to>
    <xdr:pic>
      <xdr:nvPicPr>
        <xdr:cNvPr id="1534" name="Picture 1533"/>
        <xdr:cNvPicPr>
          <a:picLocks noChangeAspect="1" noChangeArrowheads="1"/>
        </xdr:cNvPicPr>
      </xdr:nvPicPr>
      <xdr:blipFill>
        <a:blip xmlns:r="http://schemas.openxmlformats.org/officeDocument/2006/relationships" r:embed="rId1533">
          <a:extLst>
            <a:ext uri="{28A0092B-C50C-407E-A947-70E740481C1C}">
              <a14:useLocalDpi xmlns:a14="http://schemas.microsoft.com/office/drawing/2010/main" val="0"/>
            </a:ext>
          </a:extLst>
        </a:blip>
        <a:srcRect/>
        <a:stretch>
          <a:fillRect/>
        </a:stretch>
      </xdr:blipFill>
      <xdr:spPr bwMode="auto">
        <a:xfrm>
          <a:off x="1228725" y="290558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1535</xdr:row>
      <xdr:rowOff>19050</xdr:rowOff>
    </xdr:from>
    <xdr:to>
      <xdr:col>2</xdr:col>
      <xdr:colOff>1733550</xdr:colOff>
      <xdr:row>1535</xdr:row>
      <xdr:rowOff>1666875</xdr:rowOff>
    </xdr:to>
    <xdr:pic>
      <xdr:nvPicPr>
        <xdr:cNvPr id="1535" name="Picture 1534"/>
        <xdr:cNvPicPr>
          <a:picLocks noChangeAspect="1" noChangeArrowheads="1"/>
        </xdr:cNvPicPr>
      </xdr:nvPicPr>
      <xdr:blipFill>
        <a:blip xmlns:r="http://schemas.openxmlformats.org/officeDocument/2006/relationships" r:embed="rId1534">
          <a:extLst>
            <a:ext uri="{28A0092B-C50C-407E-A947-70E740481C1C}">
              <a14:useLocalDpi xmlns:a14="http://schemas.microsoft.com/office/drawing/2010/main" val="0"/>
            </a:ext>
          </a:extLst>
        </a:blip>
        <a:srcRect/>
        <a:stretch>
          <a:fillRect/>
        </a:stretch>
      </xdr:blipFill>
      <xdr:spPr bwMode="auto">
        <a:xfrm>
          <a:off x="1228725" y="290749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1536</xdr:row>
      <xdr:rowOff>19050</xdr:rowOff>
    </xdr:from>
    <xdr:to>
      <xdr:col>2</xdr:col>
      <xdr:colOff>1733550</xdr:colOff>
      <xdr:row>1536</xdr:row>
      <xdr:rowOff>1666875</xdr:rowOff>
    </xdr:to>
    <xdr:pic>
      <xdr:nvPicPr>
        <xdr:cNvPr id="1536" name="Picture 1535"/>
        <xdr:cNvPicPr>
          <a:picLocks noChangeAspect="1" noChangeArrowheads="1"/>
        </xdr:cNvPicPr>
      </xdr:nvPicPr>
      <xdr:blipFill>
        <a:blip xmlns:r="http://schemas.openxmlformats.org/officeDocument/2006/relationships" r:embed="rId1535">
          <a:extLst>
            <a:ext uri="{28A0092B-C50C-407E-A947-70E740481C1C}">
              <a14:useLocalDpi xmlns:a14="http://schemas.microsoft.com/office/drawing/2010/main" val="0"/>
            </a:ext>
          </a:extLst>
        </a:blip>
        <a:srcRect/>
        <a:stretch>
          <a:fillRect/>
        </a:stretch>
      </xdr:blipFill>
      <xdr:spPr bwMode="auto">
        <a:xfrm>
          <a:off x="1228725" y="290941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1537</xdr:row>
      <xdr:rowOff>19050</xdr:rowOff>
    </xdr:from>
    <xdr:to>
      <xdr:col>2</xdr:col>
      <xdr:colOff>1733550</xdr:colOff>
      <xdr:row>1537</xdr:row>
      <xdr:rowOff>1666875</xdr:rowOff>
    </xdr:to>
    <xdr:pic>
      <xdr:nvPicPr>
        <xdr:cNvPr id="1537" name="Picture 1536"/>
        <xdr:cNvPicPr>
          <a:picLocks noChangeAspect="1" noChangeArrowheads="1"/>
        </xdr:cNvPicPr>
      </xdr:nvPicPr>
      <xdr:blipFill>
        <a:blip xmlns:r="http://schemas.openxmlformats.org/officeDocument/2006/relationships" r:embed="rId1536">
          <a:extLst>
            <a:ext uri="{28A0092B-C50C-407E-A947-70E740481C1C}">
              <a14:useLocalDpi xmlns:a14="http://schemas.microsoft.com/office/drawing/2010/main" val="0"/>
            </a:ext>
          </a:extLst>
        </a:blip>
        <a:srcRect/>
        <a:stretch>
          <a:fillRect/>
        </a:stretch>
      </xdr:blipFill>
      <xdr:spPr bwMode="auto">
        <a:xfrm>
          <a:off x="1228725" y="2911325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1538</xdr:row>
      <xdr:rowOff>19050</xdr:rowOff>
    </xdr:from>
    <xdr:to>
      <xdr:col>2</xdr:col>
      <xdr:colOff>1733550</xdr:colOff>
      <xdr:row>1538</xdr:row>
      <xdr:rowOff>1666875</xdr:rowOff>
    </xdr:to>
    <xdr:pic>
      <xdr:nvPicPr>
        <xdr:cNvPr id="1538" name="Picture 1537"/>
        <xdr:cNvPicPr>
          <a:picLocks noChangeAspect="1" noChangeArrowheads="1"/>
        </xdr:cNvPicPr>
      </xdr:nvPicPr>
      <xdr:blipFill>
        <a:blip xmlns:r="http://schemas.openxmlformats.org/officeDocument/2006/relationships" r:embed="rId1537">
          <a:extLst>
            <a:ext uri="{28A0092B-C50C-407E-A947-70E740481C1C}">
              <a14:useLocalDpi xmlns:a14="http://schemas.microsoft.com/office/drawing/2010/main" val="0"/>
            </a:ext>
          </a:extLst>
        </a:blip>
        <a:srcRect/>
        <a:stretch>
          <a:fillRect/>
        </a:stretch>
      </xdr:blipFill>
      <xdr:spPr bwMode="auto">
        <a:xfrm>
          <a:off x="1228725" y="291324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1539</xdr:row>
      <xdr:rowOff>19050</xdr:rowOff>
    </xdr:from>
    <xdr:to>
      <xdr:col>2</xdr:col>
      <xdr:colOff>1733550</xdr:colOff>
      <xdr:row>1539</xdr:row>
      <xdr:rowOff>1666875</xdr:rowOff>
    </xdr:to>
    <xdr:pic>
      <xdr:nvPicPr>
        <xdr:cNvPr id="1539" name="Picture 1538"/>
        <xdr:cNvPicPr>
          <a:picLocks noChangeAspect="1" noChangeArrowheads="1"/>
        </xdr:cNvPicPr>
      </xdr:nvPicPr>
      <xdr:blipFill>
        <a:blip xmlns:r="http://schemas.openxmlformats.org/officeDocument/2006/relationships" r:embed="rId1538">
          <a:extLst>
            <a:ext uri="{28A0092B-C50C-407E-A947-70E740481C1C}">
              <a14:useLocalDpi xmlns:a14="http://schemas.microsoft.com/office/drawing/2010/main" val="0"/>
            </a:ext>
          </a:extLst>
        </a:blip>
        <a:srcRect/>
        <a:stretch>
          <a:fillRect/>
        </a:stretch>
      </xdr:blipFill>
      <xdr:spPr bwMode="auto">
        <a:xfrm>
          <a:off x="1228725" y="291515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1540</xdr:row>
      <xdr:rowOff>19050</xdr:rowOff>
    </xdr:from>
    <xdr:to>
      <xdr:col>2</xdr:col>
      <xdr:colOff>1733550</xdr:colOff>
      <xdr:row>1540</xdr:row>
      <xdr:rowOff>1666875</xdr:rowOff>
    </xdr:to>
    <xdr:pic>
      <xdr:nvPicPr>
        <xdr:cNvPr id="1540" name="Picture 1539"/>
        <xdr:cNvPicPr>
          <a:picLocks noChangeAspect="1" noChangeArrowheads="1"/>
        </xdr:cNvPicPr>
      </xdr:nvPicPr>
      <xdr:blipFill>
        <a:blip xmlns:r="http://schemas.openxmlformats.org/officeDocument/2006/relationships" r:embed="rId1539">
          <a:extLst>
            <a:ext uri="{28A0092B-C50C-407E-A947-70E740481C1C}">
              <a14:useLocalDpi xmlns:a14="http://schemas.microsoft.com/office/drawing/2010/main" val="0"/>
            </a:ext>
          </a:extLst>
        </a:blip>
        <a:srcRect/>
        <a:stretch>
          <a:fillRect/>
        </a:stretch>
      </xdr:blipFill>
      <xdr:spPr bwMode="auto">
        <a:xfrm>
          <a:off x="1228725" y="2917069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1541</xdr:row>
      <xdr:rowOff>19050</xdr:rowOff>
    </xdr:from>
    <xdr:to>
      <xdr:col>2</xdr:col>
      <xdr:colOff>1733550</xdr:colOff>
      <xdr:row>1541</xdr:row>
      <xdr:rowOff>1666875</xdr:rowOff>
    </xdr:to>
    <xdr:pic>
      <xdr:nvPicPr>
        <xdr:cNvPr id="1541" name="Picture 1540"/>
        <xdr:cNvPicPr>
          <a:picLocks noChangeAspect="1" noChangeArrowheads="1"/>
        </xdr:cNvPicPr>
      </xdr:nvPicPr>
      <xdr:blipFill>
        <a:blip xmlns:r="http://schemas.openxmlformats.org/officeDocument/2006/relationships" r:embed="rId1540">
          <a:extLst>
            <a:ext uri="{28A0092B-C50C-407E-A947-70E740481C1C}">
              <a14:useLocalDpi xmlns:a14="http://schemas.microsoft.com/office/drawing/2010/main" val="0"/>
            </a:ext>
          </a:extLst>
        </a:blip>
        <a:srcRect/>
        <a:stretch>
          <a:fillRect/>
        </a:stretch>
      </xdr:blipFill>
      <xdr:spPr bwMode="auto">
        <a:xfrm>
          <a:off x="1228725" y="2918983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1542</xdr:row>
      <xdr:rowOff>19050</xdr:rowOff>
    </xdr:from>
    <xdr:to>
      <xdr:col>2</xdr:col>
      <xdr:colOff>1733550</xdr:colOff>
      <xdr:row>1542</xdr:row>
      <xdr:rowOff>1666875</xdr:rowOff>
    </xdr:to>
    <xdr:pic>
      <xdr:nvPicPr>
        <xdr:cNvPr id="1542" name="Picture 1541"/>
        <xdr:cNvPicPr>
          <a:picLocks noChangeAspect="1" noChangeArrowheads="1"/>
        </xdr:cNvPicPr>
      </xdr:nvPicPr>
      <xdr:blipFill>
        <a:blip xmlns:r="http://schemas.openxmlformats.org/officeDocument/2006/relationships" r:embed="rId1541">
          <a:extLst>
            <a:ext uri="{28A0092B-C50C-407E-A947-70E740481C1C}">
              <a14:useLocalDpi xmlns:a14="http://schemas.microsoft.com/office/drawing/2010/main" val="0"/>
            </a:ext>
          </a:extLst>
        </a:blip>
        <a:srcRect/>
        <a:stretch>
          <a:fillRect/>
        </a:stretch>
      </xdr:blipFill>
      <xdr:spPr bwMode="auto">
        <a:xfrm>
          <a:off x="1228725" y="2920898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1543</xdr:row>
      <xdr:rowOff>19050</xdr:rowOff>
    </xdr:from>
    <xdr:to>
      <xdr:col>2</xdr:col>
      <xdr:colOff>1733550</xdr:colOff>
      <xdr:row>1543</xdr:row>
      <xdr:rowOff>1666875</xdr:rowOff>
    </xdr:to>
    <xdr:pic>
      <xdr:nvPicPr>
        <xdr:cNvPr id="1543" name="Picture 1542"/>
        <xdr:cNvPicPr>
          <a:picLocks noChangeAspect="1" noChangeArrowheads="1"/>
        </xdr:cNvPicPr>
      </xdr:nvPicPr>
      <xdr:blipFill>
        <a:blip xmlns:r="http://schemas.openxmlformats.org/officeDocument/2006/relationships" r:embed="rId1542">
          <a:extLst>
            <a:ext uri="{28A0092B-C50C-407E-A947-70E740481C1C}">
              <a14:useLocalDpi xmlns:a14="http://schemas.microsoft.com/office/drawing/2010/main" val="0"/>
            </a:ext>
          </a:extLst>
        </a:blip>
        <a:srcRect/>
        <a:stretch>
          <a:fillRect/>
        </a:stretch>
      </xdr:blipFill>
      <xdr:spPr bwMode="auto">
        <a:xfrm>
          <a:off x="1228725" y="2922812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1544</xdr:row>
      <xdr:rowOff>19050</xdr:rowOff>
    </xdr:from>
    <xdr:to>
      <xdr:col>2</xdr:col>
      <xdr:colOff>1733550</xdr:colOff>
      <xdr:row>1544</xdr:row>
      <xdr:rowOff>1666875</xdr:rowOff>
    </xdr:to>
    <xdr:pic>
      <xdr:nvPicPr>
        <xdr:cNvPr id="1544" name="Picture 1543"/>
        <xdr:cNvPicPr>
          <a:picLocks noChangeAspect="1" noChangeArrowheads="1"/>
        </xdr:cNvPicPr>
      </xdr:nvPicPr>
      <xdr:blipFill>
        <a:blip xmlns:r="http://schemas.openxmlformats.org/officeDocument/2006/relationships" r:embed="rId1543">
          <a:extLst>
            <a:ext uri="{28A0092B-C50C-407E-A947-70E740481C1C}">
              <a14:useLocalDpi xmlns:a14="http://schemas.microsoft.com/office/drawing/2010/main" val="0"/>
            </a:ext>
          </a:extLst>
        </a:blip>
        <a:srcRect/>
        <a:stretch>
          <a:fillRect/>
        </a:stretch>
      </xdr:blipFill>
      <xdr:spPr bwMode="auto">
        <a:xfrm>
          <a:off x="1228725" y="2924727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1545</xdr:row>
      <xdr:rowOff>19050</xdr:rowOff>
    </xdr:from>
    <xdr:to>
      <xdr:col>2</xdr:col>
      <xdr:colOff>1733550</xdr:colOff>
      <xdr:row>1545</xdr:row>
      <xdr:rowOff>1666875</xdr:rowOff>
    </xdr:to>
    <xdr:pic>
      <xdr:nvPicPr>
        <xdr:cNvPr id="1545" name="Picture 1544"/>
        <xdr:cNvPicPr>
          <a:picLocks noChangeAspect="1" noChangeArrowheads="1"/>
        </xdr:cNvPicPr>
      </xdr:nvPicPr>
      <xdr:blipFill>
        <a:blip xmlns:r="http://schemas.openxmlformats.org/officeDocument/2006/relationships" r:embed="rId1544">
          <a:extLst>
            <a:ext uri="{28A0092B-C50C-407E-A947-70E740481C1C}">
              <a14:useLocalDpi xmlns:a14="http://schemas.microsoft.com/office/drawing/2010/main" val="0"/>
            </a:ext>
          </a:extLst>
        </a:blip>
        <a:srcRect/>
        <a:stretch>
          <a:fillRect/>
        </a:stretch>
      </xdr:blipFill>
      <xdr:spPr bwMode="auto">
        <a:xfrm>
          <a:off x="1228725" y="2926641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1546</xdr:row>
      <xdr:rowOff>19050</xdr:rowOff>
    </xdr:from>
    <xdr:to>
      <xdr:col>2</xdr:col>
      <xdr:colOff>1733550</xdr:colOff>
      <xdr:row>1546</xdr:row>
      <xdr:rowOff>1666875</xdr:rowOff>
    </xdr:to>
    <xdr:pic>
      <xdr:nvPicPr>
        <xdr:cNvPr id="1546" name="Picture 1545"/>
        <xdr:cNvPicPr>
          <a:picLocks noChangeAspect="1" noChangeArrowheads="1"/>
        </xdr:cNvPicPr>
      </xdr:nvPicPr>
      <xdr:blipFill>
        <a:blip xmlns:r="http://schemas.openxmlformats.org/officeDocument/2006/relationships" r:embed="rId1545">
          <a:extLst>
            <a:ext uri="{28A0092B-C50C-407E-A947-70E740481C1C}">
              <a14:useLocalDpi xmlns:a14="http://schemas.microsoft.com/office/drawing/2010/main" val="0"/>
            </a:ext>
          </a:extLst>
        </a:blip>
        <a:srcRect/>
        <a:stretch>
          <a:fillRect/>
        </a:stretch>
      </xdr:blipFill>
      <xdr:spPr bwMode="auto">
        <a:xfrm>
          <a:off x="1228725" y="2928556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1547</xdr:row>
      <xdr:rowOff>19050</xdr:rowOff>
    </xdr:from>
    <xdr:to>
      <xdr:col>2</xdr:col>
      <xdr:colOff>1733550</xdr:colOff>
      <xdr:row>1547</xdr:row>
      <xdr:rowOff>1666875</xdr:rowOff>
    </xdr:to>
    <xdr:pic>
      <xdr:nvPicPr>
        <xdr:cNvPr id="1547" name="Picture 1546"/>
        <xdr:cNvPicPr>
          <a:picLocks noChangeAspect="1" noChangeArrowheads="1"/>
        </xdr:cNvPicPr>
      </xdr:nvPicPr>
      <xdr:blipFill>
        <a:blip xmlns:r="http://schemas.openxmlformats.org/officeDocument/2006/relationships" r:embed="rId1546">
          <a:extLst>
            <a:ext uri="{28A0092B-C50C-407E-A947-70E740481C1C}">
              <a14:useLocalDpi xmlns:a14="http://schemas.microsoft.com/office/drawing/2010/main" val="0"/>
            </a:ext>
          </a:extLst>
        </a:blip>
        <a:srcRect/>
        <a:stretch>
          <a:fillRect/>
        </a:stretch>
      </xdr:blipFill>
      <xdr:spPr bwMode="auto">
        <a:xfrm>
          <a:off x="1228725" y="2930471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1548</xdr:row>
      <xdr:rowOff>19050</xdr:rowOff>
    </xdr:from>
    <xdr:to>
      <xdr:col>2</xdr:col>
      <xdr:colOff>1733550</xdr:colOff>
      <xdr:row>1548</xdr:row>
      <xdr:rowOff>1666875</xdr:rowOff>
    </xdr:to>
    <xdr:pic>
      <xdr:nvPicPr>
        <xdr:cNvPr id="1548" name="Picture 1547"/>
        <xdr:cNvPicPr>
          <a:picLocks noChangeAspect="1" noChangeArrowheads="1"/>
        </xdr:cNvPicPr>
      </xdr:nvPicPr>
      <xdr:blipFill>
        <a:blip xmlns:r="http://schemas.openxmlformats.org/officeDocument/2006/relationships" r:embed="rId1547">
          <a:extLst>
            <a:ext uri="{28A0092B-C50C-407E-A947-70E740481C1C}">
              <a14:useLocalDpi xmlns:a14="http://schemas.microsoft.com/office/drawing/2010/main" val="0"/>
            </a:ext>
          </a:extLst>
        </a:blip>
        <a:srcRect/>
        <a:stretch>
          <a:fillRect/>
        </a:stretch>
      </xdr:blipFill>
      <xdr:spPr bwMode="auto">
        <a:xfrm>
          <a:off x="1228725" y="2932385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1549</xdr:row>
      <xdr:rowOff>19050</xdr:rowOff>
    </xdr:from>
    <xdr:to>
      <xdr:col>2</xdr:col>
      <xdr:colOff>1733550</xdr:colOff>
      <xdr:row>1549</xdr:row>
      <xdr:rowOff>1666875</xdr:rowOff>
    </xdr:to>
    <xdr:pic>
      <xdr:nvPicPr>
        <xdr:cNvPr id="1549" name="Picture 1548"/>
        <xdr:cNvPicPr>
          <a:picLocks noChangeAspect="1" noChangeArrowheads="1"/>
        </xdr:cNvPicPr>
      </xdr:nvPicPr>
      <xdr:blipFill>
        <a:blip xmlns:r="http://schemas.openxmlformats.org/officeDocument/2006/relationships" r:embed="rId1548">
          <a:extLst>
            <a:ext uri="{28A0092B-C50C-407E-A947-70E740481C1C}">
              <a14:useLocalDpi xmlns:a14="http://schemas.microsoft.com/office/drawing/2010/main" val="0"/>
            </a:ext>
          </a:extLst>
        </a:blip>
        <a:srcRect/>
        <a:stretch>
          <a:fillRect/>
        </a:stretch>
      </xdr:blipFill>
      <xdr:spPr bwMode="auto">
        <a:xfrm>
          <a:off x="1228725" y="2934300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1550</xdr:row>
      <xdr:rowOff>19050</xdr:rowOff>
    </xdr:from>
    <xdr:to>
      <xdr:col>2</xdr:col>
      <xdr:colOff>1733550</xdr:colOff>
      <xdr:row>1550</xdr:row>
      <xdr:rowOff>1666875</xdr:rowOff>
    </xdr:to>
    <xdr:pic>
      <xdr:nvPicPr>
        <xdr:cNvPr id="1550" name="Picture 1549"/>
        <xdr:cNvPicPr>
          <a:picLocks noChangeAspect="1" noChangeArrowheads="1"/>
        </xdr:cNvPicPr>
      </xdr:nvPicPr>
      <xdr:blipFill>
        <a:blip xmlns:r="http://schemas.openxmlformats.org/officeDocument/2006/relationships" r:embed="rId1549">
          <a:extLst>
            <a:ext uri="{28A0092B-C50C-407E-A947-70E740481C1C}">
              <a14:useLocalDpi xmlns:a14="http://schemas.microsoft.com/office/drawing/2010/main" val="0"/>
            </a:ext>
          </a:extLst>
        </a:blip>
        <a:srcRect/>
        <a:stretch>
          <a:fillRect/>
        </a:stretch>
      </xdr:blipFill>
      <xdr:spPr bwMode="auto">
        <a:xfrm>
          <a:off x="1228725" y="2936214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1551</xdr:row>
      <xdr:rowOff>19050</xdr:rowOff>
    </xdr:from>
    <xdr:to>
      <xdr:col>2</xdr:col>
      <xdr:colOff>1733550</xdr:colOff>
      <xdr:row>1551</xdr:row>
      <xdr:rowOff>1666875</xdr:rowOff>
    </xdr:to>
    <xdr:pic>
      <xdr:nvPicPr>
        <xdr:cNvPr id="1551" name="Picture 1550"/>
        <xdr:cNvPicPr>
          <a:picLocks noChangeAspect="1" noChangeArrowheads="1"/>
        </xdr:cNvPicPr>
      </xdr:nvPicPr>
      <xdr:blipFill>
        <a:blip xmlns:r="http://schemas.openxmlformats.org/officeDocument/2006/relationships" r:embed="rId1550">
          <a:extLst>
            <a:ext uri="{28A0092B-C50C-407E-A947-70E740481C1C}">
              <a14:useLocalDpi xmlns:a14="http://schemas.microsoft.com/office/drawing/2010/main" val="0"/>
            </a:ext>
          </a:extLst>
        </a:blip>
        <a:srcRect/>
        <a:stretch>
          <a:fillRect/>
        </a:stretch>
      </xdr:blipFill>
      <xdr:spPr bwMode="auto">
        <a:xfrm>
          <a:off x="1228725" y="2938129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1552</xdr:row>
      <xdr:rowOff>19050</xdr:rowOff>
    </xdr:from>
    <xdr:to>
      <xdr:col>2</xdr:col>
      <xdr:colOff>1733550</xdr:colOff>
      <xdr:row>1552</xdr:row>
      <xdr:rowOff>1666875</xdr:rowOff>
    </xdr:to>
    <xdr:pic>
      <xdr:nvPicPr>
        <xdr:cNvPr id="1552" name="Picture 1551"/>
        <xdr:cNvPicPr>
          <a:picLocks noChangeAspect="1" noChangeArrowheads="1"/>
        </xdr:cNvPicPr>
      </xdr:nvPicPr>
      <xdr:blipFill>
        <a:blip xmlns:r="http://schemas.openxmlformats.org/officeDocument/2006/relationships" r:embed="rId1551">
          <a:extLst>
            <a:ext uri="{28A0092B-C50C-407E-A947-70E740481C1C}">
              <a14:useLocalDpi xmlns:a14="http://schemas.microsoft.com/office/drawing/2010/main" val="0"/>
            </a:ext>
          </a:extLst>
        </a:blip>
        <a:srcRect/>
        <a:stretch>
          <a:fillRect/>
        </a:stretch>
      </xdr:blipFill>
      <xdr:spPr bwMode="auto">
        <a:xfrm>
          <a:off x="1228725" y="2940043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1553</xdr:row>
      <xdr:rowOff>19050</xdr:rowOff>
    </xdr:from>
    <xdr:to>
      <xdr:col>2</xdr:col>
      <xdr:colOff>1733550</xdr:colOff>
      <xdr:row>1553</xdr:row>
      <xdr:rowOff>1666875</xdr:rowOff>
    </xdr:to>
    <xdr:pic>
      <xdr:nvPicPr>
        <xdr:cNvPr id="1553" name="Picture 1552"/>
        <xdr:cNvPicPr>
          <a:picLocks noChangeAspect="1" noChangeArrowheads="1"/>
        </xdr:cNvPicPr>
      </xdr:nvPicPr>
      <xdr:blipFill>
        <a:blip xmlns:r="http://schemas.openxmlformats.org/officeDocument/2006/relationships" r:embed="rId1552">
          <a:extLst>
            <a:ext uri="{28A0092B-C50C-407E-A947-70E740481C1C}">
              <a14:useLocalDpi xmlns:a14="http://schemas.microsoft.com/office/drawing/2010/main" val="0"/>
            </a:ext>
          </a:extLst>
        </a:blip>
        <a:srcRect/>
        <a:stretch>
          <a:fillRect/>
        </a:stretch>
      </xdr:blipFill>
      <xdr:spPr bwMode="auto">
        <a:xfrm>
          <a:off x="1228725" y="2941958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1554</xdr:row>
      <xdr:rowOff>19050</xdr:rowOff>
    </xdr:from>
    <xdr:to>
      <xdr:col>2</xdr:col>
      <xdr:colOff>1733550</xdr:colOff>
      <xdr:row>1554</xdr:row>
      <xdr:rowOff>1666875</xdr:rowOff>
    </xdr:to>
    <xdr:pic>
      <xdr:nvPicPr>
        <xdr:cNvPr id="1554" name="Picture 1553"/>
        <xdr:cNvPicPr>
          <a:picLocks noChangeAspect="1" noChangeArrowheads="1"/>
        </xdr:cNvPicPr>
      </xdr:nvPicPr>
      <xdr:blipFill>
        <a:blip xmlns:r="http://schemas.openxmlformats.org/officeDocument/2006/relationships" r:embed="rId1553">
          <a:extLst>
            <a:ext uri="{28A0092B-C50C-407E-A947-70E740481C1C}">
              <a14:useLocalDpi xmlns:a14="http://schemas.microsoft.com/office/drawing/2010/main" val="0"/>
            </a:ext>
          </a:extLst>
        </a:blip>
        <a:srcRect/>
        <a:stretch>
          <a:fillRect/>
        </a:stretch>
      </xdr:blipFill>
      <xdr:spPr bwMode="auto">
        <a:xfrm>
          <a:off x="1228725" y="2943872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1555</xdr:row>
      <xdr:rowOff>19050</xdr:rowOff>
    </xdr:from>
    <xdr:to>
      <xdr:col>2</xdr:col>
      <xdr:colOff>1733550</xdr:colOff>
      <xdr:row>1555</xdr:row>
      <xdr:rowOff>1666875</xdr:rowOff>
    </xdr:to>
    <xdr:pic>
      <xdr:nvPicPr>
        <xdr:cNvPr id="1555" name="Picture 1554"/>
        <xdr:cNvPicPr>
          <a:picLocks noChangeAspect="1" noChangeArrowheads="1"/>
        </xdr:cNvPicPr>
      </xdr:nvPicPr>
      <xdr:blipFill>
        <a:blip xmlns:r="http://schemas.openxmlformats.org/officeDocument/2006/relationships" r:embed="rId1554">
          <a:extLst>
            <a:ext uri="{28A0092B-C50C-407E-A947-70E740481C1C}">
              <a14:useLocalDpi xmlns:a14="http://schemas.microsoft.com/office/drawing/2010/main" val="0"/>
            </a:ext>
          </a:extLst>
        </a:blip>
        <a:srcRect/>
        <a:stretch>
          <a:fillRect/>
        </a:stretch>
      </xdr:blipFill>
      <xdr:spPr bwMode="auto">
        <a:xfrm>
          <a:off x="1228725" y="2945787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1556</xdr:row>
      <xdr:rowOff>19050</xdr:rowOff>
    </xdr:from>
    <xdr:to>
      <xdr:col>2</xdr:col>
      <xdr:colOff>1733550</xdr:colOff>
      <xdr:row>1556</xdr:row>
      <xdr:rowOff>1666875</xdr:rowOff>
    </xdr:to>
    <xdr:pic>
      <xdr:nvPicPr>
        <xdr:cNvPr id="1556" name="Picture 1555"/>
        <xdr:cNvPicPr>
          <a:picLocks noChangeAspect="1" noChangeArrowheads="1"/>
        </xdr:cNvPicPr>
      </xdr:nvPicPr>
      <xdr:blipFill>
        <a:blip xmlns:r="http://schemas.openxmlformats.org/officeDocument/2006/relationships" r:embed="rId1555">
          <a:extLst>
            <a:ext uri="{28A0092B-C50C-407E-A947-70E740481C1C}">
              <a14:useLocalDpi xmlns:a14="http://schemas.microsoft.com/office/drawing/2010/main" val="0"/>
            </a:ext>
          </a:extLst>
        </a:blip>
        <a:srcRect/>
        <a:stretch>
          <a:fillRect/>
        </a:stretch>
      </xdr:blipFill>
      <xdr:spPr bwMode="auto">
        <a:xfrm>
          <a:off x="1228725" y="2947701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1557</xdr:row>
      <xdr:rowOff>19050</xdr:rowOff>
    </xdr:from>
    <xdr:to>
      <xdr:col>2</xdr:col>
      <xdr:colOff>1733550</xdr:colOff>
      <xdr:row>1557</xdr:row>
      <xdr:rowOff>1666875</xdr:rowOff>
    </xdr:to>
    <xdr:pic>
      <xdr:nvPicPr>
        <xdr:cNvPr id="1557" name="Picture 1556"/>
        <xdr:cNvPicPr>
          <a:picLocks noChangeAspect="1" noChangeArrowheads="1"/>
        </xdr:cNvPicPr>
      </xdr:nvPicPr>
      <xdr:blipFill>
        <a:blip xmlns:r="http://schemas.openxmlformats.org/officeDocument/2006/relationships" r:embed="rId1556">
          <a:extLst>
            <a:ext uri="{28A0092B-C50C-407E-A947-70E740481C1C}">
              <a14:useLocalDpi xmlns:a14="http://schemas.microsoft.com/office/drawing/2010/main" val="0"/>
            </a:ext>
          </a:extLst>
        </a:blip>
        <a:srcRect/>
        <a:stretch>
          <a:fillRect/>
        </a:stretch>
      </xdr:blipFill>
      <xdr:spPr bwMode="auto">
        <a:xfrm>
          <a:off x="1228725" y="2949616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1558</xdr:row>
      <xdr:rowOff>19050</xdr:rowOff>
    </xdr:from>
    <xdr:to>
      <xdr:col>2</xdr:col>
      <xdr:colOff>1733550</xdr:colOff>
      <xdr:row>1558</xdr:row>
      <xdr:rowOff>1666875</xdr:rowOff>
    </xdr:to>
    <xdr:pic>
      <xdr:nvPicPr>
        <xdr:cNvPr id="1558" name="Picture 1557"/>
        <xdr:cNvPicPr>
          <a:picLocks noChangeAspect="1" noChangeArrowheads="1"/>
        </xdr:cNvPicPr>
      </xdr:nvPicPr>
      <xdr:blipFill>
        <a:blip xmlns:r="http://schemas.openxmlformats.org/officeDocument/2006/relationships" r:embed="rId1557">
          <a:extLst>
            <a:ext uri="{28A0092B-C50C-407E-A947-70E740481C1C}">
              <a14:useLocalDpi xmlns:a14="http://schemas.microsoft.com/office/drawing/2010/main" val="0"/>
            </a:ext>
          </a:extLst>
        </a:blip>
        <a:srcRect/>
        <a:stretch>
          <a:fillRect/>
        </a:stretch>
      </xdr:blipFill>
      <xdr:spPr bwMode="auto">
        <a:xfrm>
          <a:off x="1228725" y="2951530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1559</xdr:row>
      <xdr:rowOff>19050</xdr:rowOff>
    </xdr:from>
    <xdr:to>
      <xdr:col>2</xdr:col>
      <xdr:colOff>1733550</xdr:colOff>
      <xdr:row>1559</xdr:row>
      <xdr:rowOff>1666875</xdr:rowOff>
    </xdr:to>
    <xdr:pic>
      <xdr:nvPicPr>
        <xdr:cNvPr id="1559" name="Picture 1558"/>
        <xdr:cNvPicPr>
          <a:picLocks noChangeAspect="1" noChangeArrowheads="1"/>
        </xdr:cNvPicPr>
      </xdr:nvPicPr>
      <xdr:blipFill>
        <a:blip xmlns:r="http://schemas.openxmlformats.org/officeDocument/2006/relationships" r:embed="rId1558">
          <a:extLst>
            <a:ext uri="{28A0092B-C50C-407E-A947-70E740481C1C}">
              <a14:useLocalDpi xmlns:a14="http://schemas.microsoft.com/office/drawing/2010/main" val="0"/>
            </a:ext>
          </a:extLst>
        </a:blip>
        <a:srcRect/>
        <a:stretch>
          <a:fillRect/>
        </a:stretch>
      </xdr:blipFill>
      <xdr:spPr bwMode="auto">
        <a:xfrm>
          <a:off x="1228725" y="2953445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1560</xdr:row>
      <xdr:rowOff>19050</xdr:rowOff>
    </xdr:from>
    <xdr:to>
      <xdr:col>2</xdr:col>
      <xdr:colOff>1733550</xdr:colOff>
      <xdr:row>1560</xdr:row>
      <xdr:rowOff>1666875</xdr:rowOff>
    </xdr:to>
    <xdr:pic>
      <xdr:nvPicPr>
        <xdr:cNvPr id="1560" name="Picture 1559"/>
        <xdr:cNvPicPr>
          <a:picLocks noChangeAspect="1" noChangeArrowheads="1"/>
        </xdr:cNvPicPr>
      </xdr:nvPicPr>
      <xdr:blipFill>
        <a:blip xmlns:r="http://schemas.openxmlformats.org/officeDocument/2006/relationships" r:embed="rId1559">
          <a:extLst>
            <a:ext uri="{28A0092B-C50C-407E-A947-70E740481C1C}">
              <a14:useLocalDpi xmlns:a14="http://schemas.microsoft.com/office/drawing/2010/main" val="0"/>
            </a:ext>
          </a:extLst>
        </a:blip>
        <a:srcRect/>
        <a:stretch>
          <a:fillRect/>
        </a:stretch>
      </xdr:blipFill>
      <xdr:spPr bwMode="auto">
        <a:xfrm>
          <a:off x="1228725" y="2955359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1561</xdr:row>
      <xdr:rowOff>19050</xdr:rowOff>
    </xdr:from>
    <xdr:to>
      <xdr:col>2</xdr:col>
      <xdr:colOff>1733550</xdr:colOff>
      <xdr:row>1561</xdr:row>
      <xdr:rowOff>1666875</xdr:rowOff>
    </xdr:to>
    <xdr:pic>
      <xdr:nvPicPr>
        <xdr:cNvPr id="1561" name="Picture 1560"/>
        <xdr:cNvPicPr>
          <a:picLocks noChangeAspect="1" noChangeArrowheads="1"/>
        </xdr:cNvPicPr>
      </xdr:nvPicPr>
      <xdr:blipFill>
        <a:blip xmlns:r="http://schemas.openxmlformats.org/officeDocument/2006/relationships" r:embed="rId1560">
          <a:extLst>
            <a:ext uri="{28A0092B-C50C-407E-A947-70E740481C1C}">
              <a14:useLocalDpi xmlns:a14="http://schemas.microsoft.com/office/drawing/2010/main" val="0"/>
            </a:ext>
          </a:extLst>
        </a:blip>
        <a:srcRect/>
        <a:stretch>
          <a:fillRect/>
        </a:stretch>
      </xdr:blipFill>
      <xdr:spPr bwMode="auto">
        <a:xfrm>
          <a:off x="1228725" y="2957274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1562</xdr:row>
      <xdr:rowOff>19050</xdr:rowOff>
    </xdr:from>
    <xdr:to>
      <xdr:col>2</xdr:col>
      <xdr:colOff>1733550</xdr:colOff>
      <xdr:row>1562</xdr:row>
      <xdr:rowOff>1666875</xdr:rowOff>
    </xdr:to>
    <xdr:pic>
      <xdr:nvPicPr>
        <xdr:cNvPr id="1562" name="Picture 1561"/>
        <xdr:cNvPicPr>
          <a:picLocks noChangeAspect="1" noChangeArrowheads="1"/>
        </xdr:cNvPicPr>
      </xdr:nvPicPr>
      <xdr:blipFill>
        <a:blip xmlns:r="http://schemas.openxmlformats.org/officeDocument/2006/relationships" r:embed="rId1561">
          <a:extLst>
            <a:ext uri="{28A0092B-C50C-407E-A947-70E740481C1C}">
              <a14:useLocalDpi xmlns:a14="http://schemas.microsoft.com/office/drawing/2010/main" val="0"/>
            </a:ext>
          </a:extLst>
        </a:blip>
        <a:srcRect/>
        <a:stretch>
          <a:fillRect/>
        </a:stretch>
      </xdr:blipFill>
      <xdr:spPr bwMode="auto">
        <a:xfrm>
          <a:off x="1228725" y="2959188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1563</xdr:row>
      <xdr:rowOff>19050</xdr:rowOff>
    </xdr:from>
    <xdr:to>
      <xdr:col>2</xdr:col>
      <xdr:colOff>1733550</xdr:colOff>
      <xdr:row>1563</xdr:row>
      <xdr:rowOff>1666875</xdr:rowOff>
    </xdr:to>
    <xdr:pic>
      <xdr:nvPicPr>
        <xdr:cNvPr id="1563" name="Picture 1562"/>
        <xdr:cNvPicPr>
          <a:picLocks noChangeAspect="1" noChangeArrowheads="1"/>
        </xdr:cNvPicPr>
      </xdr:nvPicPr>
      <xdr:blipFill>
        <a:blip xmlns:r="http://schemas.openxmlformats.org/officeDocument/2006/relationships" r:embed="rId1562">
          <a:extLst>
            <a:ext uri="{28A0092B-C50C-407E-A947-70E740481C1C}">
              <a14:useLocalDpi xmlns:a14="http://schemas.microsoft.com/office/drawing/2010/main" val="0"/>
            </a:ext>
          </a:extLst>
        </a:blip>
        <a:srcRect/>
        <a:stretch>
          <a:fillRect/>
        </a:stretch>
      </xdr:blipFill>
      <xdr:spPr bwMode="auto">
        <a:xfrm>
          <a:off x="1228725" y="2961103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1564</xdr:row>
      <xdr:rowOff>19050</xdr:rowOff>
    </xdr:from>
    <xdr:to>
      <xdr:col>2</xdr:col>
      <xdr:colOff>1733550</xdr:colOff>
      <xdr:row>1564</xdr:row>
      <xdr:rowOff>1666875</xdr:rowOff>
    </xdr:to>
    <xdr:pic>
      <xdr:nvPicPr>
        <xdr:cNvPr id="1564" name="Picture 1563"/>
        <xdr:cNvPicPr>
          <a:picLocks noChangeAspect="1" noChangeArrowheads="1"/>
        </xdr:cNvPicPr>
      </xdr:nvPicPr>
      <xdr:blipFill>
        <a:blip xmlns:r="http://schemas.openxmlformats.org/officeDocument/2006/relationships" r:embed="rId1563">
          <a:extLst>
            <a:ext uri="{28A0092B-C50C-407E-A947-70E740481C1C}">
              <a14:useLocalDpi xmlns:a14="http://schemas.microsoft.com/office/drawing/2010/main" val="0"/>
            </a:ext>
          </a:extLst>
        </a:blip>
        <a:srcRect/>
        <a:stretch>
          <a:fillRect/>
        </a:stretch>
      </xdr:blipFill>
      <xdr:spPr bwMode="auto">
        <a:xfrm>
          <a:off x="1228725" y="2963017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1565</xdr:row>
      <xdr:rowOff>19050</xdr:rowOff>
    </xdr:from>
    <xdr:to>
      <xdr:col>2</xdr:col>
      <xdr:colOff>1733550</xdr:colOff>
      <xdr:row>1565</xdr:row>
      <xdr:rowOff>1666875</xdr:rowOff>
    </xdr:to>
    <xdr:pic>
      <xdr:nvPicPr>
        <xdr:cNvPr id="1565" name="Picture 1564"/>
        <xdr:cNvPicPr>
          <a:picLocks noChangeAspect="1" noChangeArrowheads="1"/>
        </xdr:cNvPicPr>
      </xdr:nvPicPr>
      <xdr:blipFill>
        <a:blip xmlns:r="http://schemas.openxmlformats.org/officeDocument/2006/relationships" r:embed="rId1564">
          <a:extLst>
            <a:ext uri="{28A0092B-C50C-407E-A947-70E740481C1C}">
              <a14:useLocalDpi xmlns:a14="http://schemas.microsoft.com/office/drawing/2010/main" val="0"/>
            </a:ext>
          </a:extLst>
        </a:blip>
        <a:srcRect/>
        <a:stretch>
          <a:fillRect/>
        </a:stretch>
      </xdr:blipFill>
      <xdr:spPr bwMode="auto">
        <a:xfrm>
          <a:off x="1228725" y="2964932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1566</xdr:row>
      <xdr:rowOff>19050</xdr:rowOff>
    </xdr:from>
    <xdr:to>
      <xdr:col>2</xdr:col>
      <xdr:colOff>1733550</xdr:colOff>
      <xdr:row>1566</xdr:row>
      <xdr:rowOff>1666875</xdr:rowOff>
    </xdr:to>
    <xdr:pic>
      <xdr:nvPicPr>
        <xdr:cNvPr id="1566" name="Picture 1565"/>
        <xdr:cNvPicPr>
          <a:picLocks noChangeAspect="1" noChangeArrowheads="1"/>
        </xdr:cNvPicPr>
      </xdr:nvPicPr>
      <xdr:blipFill>
        <a:blip xmlns:r="http://schemas.openxmlformats.org/officeDocument/2006/relationships" r:embed="rId1565">
          <a:extLst>
            <a:ext uri="{28A0092B-C50C-407E-A947-70E740481C1C}">
              <a14:useLocalDpi xmlns:a14="http://schemas.microsoft.com/office/drawing/2010/main" val="0"/>
            </a:ext>
          </a:extLst>
        </a:blip>
        <a:srcRect/>
        <a:stretch>
          <a:fillRect/>
        </a:stretch>
      </xdr:blipFill>
      <xdr:spPr bwMode="auto">
        <a:xfrm>
          <a:off x="1228725" y="2966847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1567</xdr:row>
      <xdr:rowOff>19050</xdr:rowOff>
    </xdr:from>
    <xdr:to>
      <xdr:col>2</xdr:col>
      <xdr:colOff>1733550</xdr:colOff>
      <xdr:row>1567</xdr:row>
      <xdr:rowOff>1666875</xdr:rowOff>
    </xdr:to>
    <xdr:pic>
      <xdr:nvPicPr>
        <xdr:cNvPr id="1567" name="Picture 1566"/>
        <xdr:cNvPicPr>
          <a:picLocks noChangeAspect="1" noChangeArrowheads="1"/>
        </xdr:cNvPicPr>
      </xdr:nvPicPr>
      <xdr:blipFill>
        <a:blip xmlns:r="http://schemas.openxmlformats.org/officeDocument/2006/relationships" r:embed="rId1566">
          <a:extLst>
            <a:ext uri="{28A0092B-C50C-407E-A947-70E740481C1C}">
              <a14:useLocalDpi xmlns:a14="http://schemas.microsoft.com/office/drawing/2010/main" val="0"/>
            </a:ext>
          </a:extLst>
        </a:blip>
        <a:srcRect/>
        <a:stretch>
          <a:fillRect/>
        </a:stretch>
      </xdr:blipFill>
      <xdr:spPr bwMode="auto">
        <a:xfrm>
          <a:off x="1228725" y="2968761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1568</xdr:row>
      <xdr:rowOff>19050</xdr:rowOff>
    </xdr:from>
    <xdr:to>
      <xdr:col>2</xdr:col>
      <xdr:colOff>1733550</xdr:colOff>
      <xdr:row>1568</xdr:row>
      <xdr:rowOff>1666875</xdr:rowOff>
    </xdr:to>
    <xdr:pic>
      <xdr:nvPicPr>
        <xdr:cNvPr id="1568" name="Picture 1567"/>
        <xdr:cNvPicPr>
          <a:picLocks noChangeAspect="1" noChangeArrowheads="1"/>
        </xdr:cNvPicPr>
      </xdr:nvPicPr>
      <xdr:blipFill>
        <a:blip xmlns:r="http://schemas.openxmlformats.org/officeDocument/2006/relationships" r:embed="rId1567">
          <a:extLst>
            <a:ext uri="{28A0092B-C50C-407E-A947-70E740481C1C}">
              <a14:useLocalDpi xmlns:a14="http://schemas.microsoft.com/office/drawing/2010/main" val="0"/>
            </a:ext>
          </a:extLst>
        </a:blip>
        <a:srcRect/>
        <a:stretch>
          <a:fillRect/>
        </a:stretch>
      </xdr:blipFill>
      <xdr:spPr bwMode="auto">
        <a:xfrm>
          <a:off x="1228725" y="2970676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1569</xdr:row>
      <xdr:rowOff>19050</xdr:rowOff>
    </xdr:from>
    <xdr:to>
      <xdr:col>2</xdr:col>
      <xdr:colOff>1733550</xdr:colOff>
      <xdr:row>1569</xdr:row>
      <xdr:rowOff>1666875</xdr:rowOff>
    </xdr:to>
    <xdr:pic>
      <xdr:nvPicPr>
        <xdr:cNvPr id="1569" name="Picture 1568"/>
        <xdr:cNvPicPr>
          <a:picLocks noChangeAspect="1" noChangeArrowheads="1"/>
        </xdr:cNvPicPr>
      </xdr:nvPicPr>
      <xdr:blipFill>
        <a:blip xmlns:r="http://schemas.openxmlformats.org/officeDocument/2006/relationships" r:embed="rId1568">
          <a:extLst>
            <a:ext uri="{28A0092B-C50C-407E-A947-70E740481C1C}">
              <a14:useLocalDpi xmlns:a14="http://schemas.microsoft.com/office/drawing/2010/main" val="0"/>
            </a:ext>
          </a:extLst>
        </a:blip>
        <a:srcRect/>
        <a:stretch>
          <a:fillRect/>
        </a:stretch>
      </xdr:blipFill>
      <xdr:spPr bwMode="auto">
        <a:xfrm>
          <a:off x="1228725" y="2972590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1570</xdr:row>
      <xdr:rowOff>19050</xdr:rowOff>
    </xdr:from>
    <xdr:to>
      <xdr:col>2</xdr:col>
      <xdr:colOff>1733550</xdr:colOff>
      <xdr:row>1570</xdr:row>
      <xdr:rowOff>1666875</xdr:rowOff>
    </xdr:to>
    <xdr:pic>
      <xdr:nvPicPr>
        <xdr:cNvPr id="1570" name="Picture 1569"/>
        <xdr:cNvPicPr>
          <a:picLocks noChangeAspect="1" noChangeArrowheads="1"/>
        </xdr:cNvPicPr>
      </xdr:nvPicPr>
      <xdr:blipFill>
        <a:blip xmlns:r="http://schemas.openxmlformats.org/officeDocument/2006/relationships" r:embed="rId1569">
          <a:extLst>
            <a:ext uri="{28A0092B-C50C-407E-A947-70E740481C1C}">
              <a14:useLocalDpi xmlns:a14="http://schemas.microsoft.com/office/drawing/2010/main" val="0"/>
            </a:ext>
          </a:extLst>
        </a:blip>
        <a:srcRect/>
        <a:stretch>
          <a:fillRect/>
        </a:stretch>
      </xdr:blipFill>
      <xdr:spPr bwMode="auto">
        <a:xfrm>
          <a:off x="1228725" y="2974505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1571</xdr:row>
      <xdr:rowOff>19050</xdr:rowOff>
    </xdr:from>
    <xdr:to>
      <xdr:col>2</xdr:col>
      <xdr:colOff>1733550</xdr:colOff>
      <xdr:row>1571</xdr:row>
      <xdr:rowOff>1666875</xdr:rowOff>
    </xdr:to>
    <xdr:pic>
      <xdr:nvPicPr>
        <xdr:cNvPr id="1571" name="Picture 1570"/>
        <xdr:cNvPicPr>
          <a:picLocks noChangeAspect="1" noChangeArrowheads="1"/>
        </xdr:cNvPicPr>
      </xdr:nvPicPr>
      <xdr:blipFill>
        <a:blip xmlns:r="http://schemas.openxmlformats.org/officeDocument/2006/relationships" r:embed="rId1570">
          <a:extLst>
            <a:ext uri="{28A0092B-C50C-407E-A947-70E740481C1C}">
              <a14:useLocalDpi xmlns:a14="http://schemas.microsoft.com/office/drawing/2010/main" val="0"/>
            </a:ext>
          </a:extLst>
        </a:blip>
        <a:srcRect/>
        <a:stretch>
          <a:fillRect/>
        </a:stretch>
      </xdr:blipFill>
      <xdr:spPr bwMode="auto">
        <a:xfrm>
          <a:off x="1228725" y="2976419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1572</xdr:row>
      <xdr:rowOff>19050</xdr:rowOff>
    </xdr:from>
    <xdr:to>
      <xdr:col>2</xdr:col>
      <xdr:colOff>1733550</xdr:colOff>
      <xdr:row>1572</xdr:row>
      <xdr:rowOff>1666875</xdr:rowOff>
    </xdr:to>
    <xdr:pic>
      <xdr:nvPicPr>
        <xdr:cNvPr id="1572" name="Picture 1571"/>
        <xdr:cNvPicPr>
          <a:picLocks noChangeAspect="1" noChangeArrowheads="1"/>
        </xdr:cNvPicPr>
      </xdr:nvPicPr>
      <xdr:blipFill>
        <a:blip xmlns:r="http://schemas.openxmlformats.org/officeDocument/2006/relationships" r:embed="rId1571">
          <a:extLst>
            <a:ext uri="{28A0092B-C50C-407E-A947-70E740481C1C}">
              <a14:useLocalDpi xmlns:a14="http://schemas.microsoft.com/office/drawing/2010/main" val="0"/>
            </a:ext>
          </a:extLst>
        </a:blip>
        <a:srcRect/>
        <a:stretch>
          <a:fillRect/>
        </a:stretch>
      </xdr:blipFill>
      <xdr:spPr bwMode="auto">
        <a:xfrm>
          <a:off x="1228725" y="2978334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1573</xdr:row>
      <xdr:rowOff>19050</xdr:rowOff>
    </xdr:from>
    <xdr:to>
      <xdr:col>2</xdr:col>
      <xdr:colOff>1733550</xdr:colOff>
      <xdr:row>1573</xdr:row>
      <xdr:rowOff>1666875</xdr:rowOff>
    </xdr:to>
    <xdr:pic>
      <xdr:nvPicPr>
        <xdr:cNvPr id="1573" name="Picture 1572"/>
        <xdr:cNvPicPr>
          <a:picLocks noChangeAspect="1" noChangeArrowheads="1"/>
        </xdr:cNvPicPr>
      </xdr:nvPicPr>
      <xdr:blipFill>
        <a:blip xmlns:r="http://schemas.openxmlformats.org/officeDocument/2006/relationships" r:embed="rId1572">
          <a:extLst>
            <a:ext uri="{28A0092B-C50C-407E-A947-70E740481C1C}">
              <a14:useLocalDpi xmlns:a14="http://schemas.microsoft.com/office/drawing/2010/main" val="0"/>
            </a:ext>
          </a:extLst>
        </a:blip>
        <a:srcRect/>
        <a:stretch>
          <a:fillRect/>
        </a:stretch>
      </xdr:blipFill>
      <xdr:spPr bwMode="auto">
        <a:xfrm>
          <a:off x="1228725" y="2980248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1574</xdr:row>
      <xdr:rowOff>19050</xdr:rowOff>
    </xdr:from>
    <xdr:to>
      <xdr:col>2</xdr:col>
      <xdr:colOff>1733550</xdr:colOff>
      <xdr:row>1574</xdr:row>
      <xdr:rowOff>1666875</xdr:rowOff>
    </xdr:to>
    <xdr:pic>
      <xdr:nvPicPr>
        <xdr:cNvPr id="1574" name="Picture 1573"/>
        <xdr:cNvPicPr>
          <a:picLocks noChangeAspect="1" noChangeArrowheads="1"/>
        </xdr:cNvPicPr>
      </xdr:nvPicPr>
      <xdr:blipFill>
        <a:blip xmlns:r="http://schemas.openxmlformats.org/officeDocument/2006/relationships" r:embed="rId1573">
          <a:extLst>
            <a:ext uri="{28A0092B-C50C-407E-A947-70E740481C1C}">
              <a14:useLocalDpi xmlns:a14="http://schemas.microsoft.com/office/drawing/2010/main" val="0"/>
            </a:ext>
          </a:extLst>
        </a:blip>
        <a:srcRect/>
        <a:stretch>
          <a:fillRect/>
        </a:stretch>
      </xdr:blipFill>
      <xdr:spPr bwMode="auto">
        <a:xfrm>
          <a:off x="1228725" y="2982163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1575</xdr:row>
      <xdr:rowOff>19050</xdr:rowOff>
    </xdr:from>
    <xdr:to>
      <xdr:col>2</xdr:col>
      <xdr:colOff>1733550</xdr:colOff>
      <xdr:row>1575</xdr:row>
      <xdr:rowOff>1666875</xdr:rowOff>
    </xdr:to>
    <xdr:pic>
      <xdr:nvPicPr>
        <xdr:cNvPr id="1575" name="Picture 1574"/>
        <xdr:cNvPicPr>
          <a:picLocks noChangeAspect="1" noChangeArrowheads="1"/>
        </xdr:cNvPicPr>
      </xdr:nvPicPr>
      <xdr:blipFill>
        <a:blip xmlns:r="http://schemas.openxmlformats.org/officeDocument/2006/relationships" r:embed="rId1574">
          <a:extLst>
            <a:ext uri="{28A0092B-C50C-407E-A947-70E740481C1C}">
              <a14:useLocalDpi xmlns:a14="http://schemas.microsoft.com/office/drawing/2010/main" val="0"/>
            </a:ext>
          </a:extLst>
        </a:blip>
        <a:srcRect/>
        <a:stretch>
          <a:fillRect/>
        </a:stretch>
      </xdr:blipFill>
      <xdr:spPr bwMode="auto">
        <a:xfrm>
          <a:off x="1228725" y="2984077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1576</xdr:row>
      <xdr:rowOff>19050</xdr:rowOff>
    </xdr:from>
    <xdr:to>
      <xdr:col>2</xdr:col>
      <xdr:colOff>1733550</xdr:colOff>
      <xdr:row>1576</xdr:row>
      <xdr:rowOff>1666875</xdr:rowOff>
    </xdr:to>
    <xdr:pic>
      <xdr:nvPicPr>
        <xdr:cNvPr id="1576" name="Picture 1575"/>
        <xdr:cNvPicPr>
          <a:picLocks noChangeAspect="1" noChangeArrowheads="1"/>
        </xdr:cNvPicPr>
      </xdr:nvPicPr>
      <xdr:blipFill>
        <a:blip xmlns:r="http://schemas.openxmlformats.org/officeDocument/2006/relationships" r:embed="rId1575">
          <a:extLst>
            <a:ext uri="{28A0092B-C50C-407E-A947-70E740481C1C}">
              <a14:useLocalDpi xmlns:a14="http://schemas.microsoft.com/office/drawing/2010/main" val="0"/>
            </a:ext>
          </a:extLst>
        </a:blip>
        <a:srcRect/>
        <a:stretch>
          <a:fillRect/>
        </a:stretch>
      </xdr:blipFill>
      <xdr:spPr bwMode="auto">
        <a:xfrm>
          <a:off x="1228725" y="2985992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1577</xdr:row>
      <xdr:rowOff>19050</xdr:rowOff>
    </xdr:from>
    <xdr:to>
      <xdr:col>2</xdr:col>
      <xdr:colOff>1733550</xdr:colOff>
      <xdr:row>1577</xdr:row>
      <xdr:rowOff>1666875</xdr:rowOff>
    </xdr:to>
    <xdr:pic>
      <xdr:nvPicPr>
        <xdr:cNvPr id="1577" name="Picture 1576"/>
        <xdr:cNvPicPr>
          <a:picLocks noChangeAspect="1" noChangeArrowheads="1"/>
        </xdr:cNvPicPr>
      </xdr:nvPicPr>
      <xdr:blipFill>
        <a:blip xmlns:r="http://schemas.openxmlformats.org/officeDocument/2006/relationships" r:embed="rId1576">
          <a:extLst>
            <a:ext uri="{28A0092B-C50C-407E-A947-70E740481C1C}">
              <a14:useLocalDpi xmlns:a14="http://schemas.microsoft.com/office/drawing/2010/main" val="0"/>
            </a:ext>
          </a:extLst>
        </a:blip>
        <a:srcRect/>
        <a:stretch>
          <a:fillRect/>
        </a:stretch>
      </xdr:blipFill>
      <xdr:spPr bwMode="auto">
        <a:xfrm>
          <a:off x="1228725" y="2987906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1578</xdr:row>
      <xdr:rowOff>19050</xdr:rowOff>
    </xdr:from>
    <xdr:to>
      <xdr:col>2</xdr:col>
      <xdr:colOff>1733550</xdr:colOff>
      <xdr:row>1578</xdr:row>
      <xdr:rowOff>1666875</xdr:rowOff>
    </xdr:to>
    <xdr:pic>
      <xdr:nvPicPr>
        <xdr:cNvPr id="1578" name="Picture 1577"/>
        <xdr:cNvPicPr>
          <a:picLocks noChangeAspect="1" noChangeArrowheads="1"/>
        </xdr:cNvPicPr>
      </xdr:nvPicPr>
      <xdr:blipFill>
        <a:blip xmlns:r="http://schemas.openxmlformats.org/officeDocument/2006/relationships" r:embed="rId1577">
          <a:extLst>
            <a:ext uri="{28A0092B-C50C-407E-A947-70E740481C1C}">
              <a14:useLocalDpi xmlns:a14="http://schemas.microsoft.com/office/drawing/2010/main" val="0"/>
            </a:ext>
          </a:extLst>
        </a:blip>
        <a:srcRect/>
        <a:stretch>
          <a:fillRect/>
        </a:stretch>
      </xdr:blipFill>
      <xdr:spPr bwMode="auto">
        <a:xfrm>
          <a:off x="1228725" y="2989821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1579</xdr:row>
      <xdr:rowOff>19050</xdr:rowOff>
    </xdr:from>
    <xdr:to>
      <xdr:col>2</xdr:col>
      <xdr:colOff>1733550</xdr:colOff>
      <xdr:row>1579</xdr:row>
      <xdr:rowOff>1666875</xdr:rowOff>
    </xdr:to>
    <xdr:pic>
      <xdr:nvPicPr>
        <xdr:cNvPr id="1579" name="Picture 1578"/>
        <xdr:cNvPicPr>
          <a:picLocks noChangeAspect="1" noChangeArrowheads="1"/>
        </xdr:cNvPicPr>
      </xdr:nvPicPr>
      <xdr:blipFill>
        <a:blip xmlns:r="http://schemas.openxmlformats.org/officeDocument/2006/relationships" r:embed="rId1578">
          <a:extLst>
            <a:ext uri="{28A0092B-C50C-407E-A947-70E740481C1C}">
              <a14:useLocalDpi xmlns:a14="http://schemas.microsoft.com/office/drawing/2010/main" val="0"/>
            </a:ext>
          </a:extLst>
        </a:blip>
        <a:srcRect/>
        <a:stretch>
          <a:fillRect/>
        </a:stretch>
      </xdr:blipFill>
      <xdr:spPr bwMode="auto">
        <a:xfrm>
          <a:off x="1228725" y="2991735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1580</xdr:row>
      <xdr:rowOff>19050</xdr:rowOff>
    </xdr:from>
    <xdr:to>
      <xdr:col>2</xdr:col>
      <xdr:colOff>1733550</xdr:colOff>
      <xdr:row>1580</xdr:row>
      <xdr:rowOff>1666875</xdr:rowOff>
    </xdr:to>
    <xdr:pic>
      <xdr:nvPicPr>
        <xdr:cNvPr id="1580" name="Picture 1579"/>
        <xdr:cNvPicPr>
          <a:picLocks noChangeAspect="1" noChangeArrowheads="1"/>
        </xdr:cNvPicPr>
      </xdr:nvPicPr>
      <xdr:blipFill>
        <a:blip xmlns:r="http://schemas.openxmlformats.org/officeDocument/2006/relationships" r:embed="rId1579">
          <a:extLst>
            <a:ext uri="{28A0092B-C50C-407E-A947-70E740481C1C}">
              <a14:useLocalDpi xmlns:a14="http://schemas.microsoft.com/office/drawing/2010/main" val="0"/>
            </a:ext>
          </a:extLst>
        </a:blip>
        <a:srcRect/>
        <a:stretch>
          <a:fillRect/>
        </a:stretch>
      </xdr:blipFill>
      <xdr:spPr bwMode="auto">
        <a:xfrm>
          <a:off x="1228725" y="2993650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1581</xdr:row>
      <xdr:rowOff>19050</xdr:rowOff>
    </xdr:from>
    <xdr:to>
      <xdr:col>2</xdr:col>
      <xdr:colOff>1733550</xdr:colOff>
      <xdr:row>1581</xdr:row>
      <xdr:rowOff>1666875</xdr:rowOff>
    </xdr:to>
    <xdr:pic>
      <xdr:nvPicPr>
        <xdr:cNvPr id="1581" name="Picture 1580"/>
        <xdr:cNvPicPr>
          <a:picLocks noChangeAspect="1" noChangeArrowheads="1"/>
        </xdr:cNvPicPr>
      </xdr:nvPicPr>
      <xdr:blipFill>
        <a:blip xmlns:r="http://schemas.openxmlformats.org/officeDocument/2006/relationships" r:embed="rId1580">
          <a:extLst>
            <a:ext uri="{28A0092B-C50C-407E-A947-70E740481C1C}">
              <a14:useLocalDpi xmlns:a14="http://schemas.microsoft.com/office/drawing/2010/main" val="0"/>
            </a:ext>
          </a:extLst>
        </a:blip>
        <a:srcRect/>
        <a:stretch>
          <a:fillRect/>
        </a:stretch>
      </xdr:blipFill>
      <xdr:spPr bwMode="auto">
        <a:xfrm>
          <a:off x="1228725" y="2995564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1582</xdr:row>
      <xdr:rowOff>19050</xdr:rowOff>
    </xdr:from>
    <xdr:to>
      <xdr:col>2</xdr:col>
      <xdr:colOff>1733550</xdr:colOff>
      <xdr:row>1582</xdr:row>
      <xdr:rowOff>1666875</xdr:rowOff>
    </xdr:to>
    <xdr:pic>
      <xdr:nvPicPr>
        <xdr:cNvPr id="1582" name="Picture 1581"/>
        <xdr:cNvPicPr>
          <a:picLocks noChangeAspect="1" noChangeArrowheads="1"/>
        </xdr:cNvPicPr>
      </xdr:nvPicPr>
      <xdr:blipFill>
        <a:blip xmlns:r="http://schemas.openxmlformats.org/officeDocument/2006/relationships" r:embed="rId1581">
          <a:extLst>
            <a:ext uri="{28A0092B-C50C-407E-A947-70E740481C1C}">
              <a14:useLocalDpi xmlns:a14="http://schemas.microsoft.com/office/drawing/2010/main" val="0"/>
            </a:ext>
          </a:extLst>
        </a:blip>
        <a:srcRect/>
        <a:stretch>
          <a:fillRect/>
        </a:stretch>
      </xdr:blipFill>
      <xdr:spPr bwMode="auto">
        <a:xfrm>
          <a:off x="1228725" y="2997479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1583</xdr:row>
      <xdr:rowOff>19050</xdr:rowOff>
    </xdr:from>
    <xdr:to>
      <xdr:col>2</xdr:col>
      <xdr:colOff>1733550</xdr:colOff>
      <xdr:row>1583</xdr:row>
      <xdr:rowOff>1666875</xdr:rowOff>
    </xdr:to>
    <xdr:pic>
      <xdr:nvPicPr>
        <xdr:cNvPr id="1583" name="Picture 1582"/>
        <xdr:cNvPicPr>
          <a:picLocks noChangeAspect="1" noChangeArrowheads="1"/>
        </xdr:cNvPicPr>
      </xdr:nvPicPr>
      <xdr:blipFill>
        <a:blip xmlns:r="http://schemas.openxmlformats.org/officeDocument/2006/relationships" r:embed="rId1582">
          <a:extLst>
            <a:ext uri="{28A0092B-C50C-407E-A947-70E740481C1C}">
              <a14:useLocalDpi xmlns:a14="http://schemas.microsoft.com/office/drawing/2010/main" val="0"/>
            </a:ext>
          </a:extLst>
        </a:blip>
        <a:srcRect/>
        <a:stretch>
          <a:fillRect/>
        </a:stretch>
      </xdr:blipFill>
      <xdr:spPr bwMode="auto">
        <a:xfrm>
          <a:off x="1228725" y="2999393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1584</xdr:row>
      <xdr:rowOff>19050</xdr:rowOff>
    </xdr:from>
    <xdr:to>
      <xdr:col>2</xdr:col>
      <xdr:colOff>1733550</xdr:colOff>
      <xdr:row>1584</xdr:row>
      <xdr:rowOff>1666875</xdr:rowOff>
    </xdr:to>
    <xdr:pic>
      <xdr:nvPicPr>
        <xdr:cNvPr id="1584" name="Picture 1583"/>
        <xdr:cNvPicPr>
          <a:picLocks noChangeAspect="1" noChangeArrowheads="1"/>
        </xdr:cNvPicPr>
      </xdr:nvPicPr>
      <xdr:blipFill>
        <a:blip xmlns:r="http://schemas.openxmlformats.org/officeDocument/2006/relationships" r:embed="rId1583">
          <a:extLst>
            <a:ext uri="{28A0092B-C50C-407E-A947-70E740481C1C}">
              <a14:useLocalDpi xmlns:a14="http://schemas.microsoft.com/office/drawing/2010/main" val="0"/>
            </a:ext>
          </a:extLst>
        </a:blip>
        <a:srcRect/>
        <a:stretch>
          <a:fillRect/>
        </a:stretch>
      </xdr:blipFill>
      <xdr:spPr bwMode="auto">
        <a:xfrm>
          <a:off x="1228725" y="3001308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1585</xdr:row>
      <xdr:rowOff>19050</xdr:rowOff>
    </xdr:from>
    <xdr:to>
      <xdr:col>2</xdr:col>
      <xdr:colOff>1733550</xdr:colOff>
      <xdr:row>1585</xdr:row>
      <xdr:rowOff>1666875</xdr:rowOff>
    </xdr:to>
    <xdr:pic>
      <xdr:nvPicPr>
        <xdr:cNvPr id="1585" name="Picture 1584"/>
        <xdr:cNvPicPr>
          <a:picLocks noChangeAspect="1" noChangeArrowheads="1"/>
        </xdr:cNvPicPr>
      </xdr:nvPicPr>
      <xdr:blipFill>
        <a:blip xmlns:r="http://schemas.openxmlformats.org/officeDocument/2006/relationships" r:embed="rId1584">
          <a:extLst>
            <a:ext uri="{28A0092B-C50C-407E-A947-70E740481C1C}">
              <a14:useLocalDpi xmlns:a14="http://schemas.microsoft.com/office/drawing/2010/main" val="0"/>
            </a:ext>
          </a:extLst>
        </a:blip>
        <a:srcRect/>
        <a:stretch>
          <a:fillRect/>
        </a:stretch>
      </xdr:blipFill>
      <xdr:spPr bwMode="auto">
        <a:xfrm>
          <a:off x="1228725" y="3003222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1586</xdr:row>
      <xdr:rowOff>19050</xdr:rowOff>
    </xdr:from>
    <xdr:to>
      <xdr:col>2</xdr:col>
      <xdr:colOff>1733550</xdr:colOff>
      <xdr:row>1586</xdr:row>
      <xdr:rowOff>1666875</xdr:rowOff>
    </xdr:to>
    <xdr:pic>
      <xdr:nvPicPr>
        <xdr:cNvPr id="1586" name="Picture 1585"/>
        <xdr:cNvPicPr>
          <a:picLocks noChangeAspect="1" noChangeArrowheads="1"/>
        </xdr:cNvPicPr>
      </xdr:nvPicPr>
      <xdr:blipFill>
        <a:blip xmlns:r="http://schemas.openxmlformats.org/officeDocument/2006/relationships" r:embed="rId1585">
          <a:extLst>
            <a:ext uri="{28A0092B-C50C-407E-A947-70E740481C1C}">
              <a14:useLocalDpi xmlns:a14="http://schemas.microsoft.com/office/drawing/2010/main" val="0"/>
            </a:ext>
          </a:extLst>
        </a:blip>
        <a:srcRect/>
        <a:stretch>
          <a:fillRect/>
        </a:stretch>
      </xdr:blipFill>
      <xdr:spPr bwMode="auto">
        <a:xfrm>
          <a:off x="1228725" y="3005137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1587</xdr:row>
      <xdr:rowOff>19050</xdr:rowOff>
    </xdr:from>
    <xdr:to>
      <xdr:col>2</xdr:col>
      <xdr:colOff>1733550</xdr:colOff>
      <xdr:row>1587</xdr:row>
      <xdr:rowOff>1666875</xdr:rowOff>
    </xdr:to>
    <xdr:pic>
      <xdr:nvPicPr>
        <xdr:cNvPr id="1587" name="Picture 1586"/>
        <xdr:cNvPicPr>
          <a:picLocks noChangeAspect="1" noChangeArrowheads="1"/>
        </xdr:cNvPicPr>
      </xdr:nvPicPr>
      <xdr:blipFill>
        <a:blip xmlns:r="http://schemas.openxmlformats.org/officeDocument/2006/relationships" r:embed="rId1586">
          <a:extLst>
            <a:ext uri="{28A0092B-C50C-407E-A947-70E740481C1C}">
              <a14:useLocalDpi xmlns:a14="http://schemas.microsoft.com/office/drawing/2010/main" val="0"/>
            </a:ext>
          </a:extLst>
        </a:blip>
        <a:srcRect/>
        <a:stretch>
          <a:fillRect/>
        </a:stretch>
      </xdr:blipFill>
      <xdr:spPr bwMode="auto">
        <a:xfrm>
          <a:off x="1228725" y="3007052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1588</xdr:row>
      <xdr:rowOff>19050</xdr:rowOff>
    </xdr:from>
    <xdr:to>
      <xdr:col>2</xdr:col>
      <xdr:colOff>1733550</xdr:colOff>
      <xdr:row>1588</xdr:row>
      <xdr:rowOff>1666875</xdr:rowOff>
    </xdr:to>
    <xdr:pic>
      <xdr:nvPicPr>
        <xdr:cNvPr id="1588" name="Picture 1587"/>
        <xdr:cNvPicPr>
          <a:picLocks noChangeAspect="1" noChangeArrowheads="1"/>
        </xdr:cNvPicPr>
      </xdr:nvPicPr>
      <xdr:blipFill>
        <a:blip xmlns:r="http://schemas.openxmlformats.org/officeDocument/2006/relationships" r:embed="rId1587">
          <a:extLst>
            <a:ext uri="{28A0092B-C50C-407E-A947-70E740481C1C}">
              <a14:useLocalDpi xmlns:a14="http://schemas.microsoft.com/office/drawing/2010/main" val="0"/>
            </a:ext>
          </a:extLst>
        </a:blip>
        <a:srcRect/>
        <a:stretch>
          <a:fillRect/>
        </a:stretch>
      </xdr:blipFill>
      <xdr:spPr bwMode="auto">
        <a:xfrm>
          <a:off x="1228725" y="3008966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1589</xdr:row>
      <xdr:rowOff>19050</xdr:rowOff>
    </xdr:from>
    <xdr:to>
      <xdr:col>2</xdr:col>
      <xdr:colOff>1733550</xdr:colOff>
      <xdr:row>1589</xdr:row>
      <xdr:rowOff>1666875</xdr:rowOff>
    </xdr:to>
    <xdr:pic>
      <xdr:nvPicPr>
        <xdr:cNvPr id="1589" name="Picture 1588"/>
        <xdr:cNvPicPr>
          <a:picLocks noChangeAspect="1" noChangeArrowheads="1"/>
        </xdr:cNvPicPr>
      </xdr:nvPicPr>
      <xdr:blipFill>
        <a:blip xmlns:r="http://schemas.openxmlformats.org/officeDocument/2006/relationships" r:embed="rId1588">
          <a:extLst>
            <a:ext uri="{28A0092B-C50C-407E-A947-70E740481C1C}">
              <a14:useLocalDpi xmlns:a14="http://schemas.microsoft.com/office/drawing/2010/main" val="0"/>
            </a:ext>
          </a:extLst>
        </a:blip>
        <a:srcRect/>
        <a:stretch>
          <a:fillRect/>
        </a:stretch>
      </xdr:blipFill>
      <xdr:spPr bwMode="auto">
        <a:xfrm>
          <a:off x="1228725" y="3010881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1590</xdr:row>
      <xdr:rowOff>19050</xdr:rowOff>
    </xdr:from>
    <xdr:to>
      <xdr:col>2</xdr:col>
      <xdr:colOff>1733550</xdr:colOff>
      <xdr:row>1590</xdr:row>
      <xdr:rowOff>1666875</xdr:rowOff>
    </xdr:to>
    <xdr:pic>
      <xdr:nvPicPr>
        <xdr:cNvPr id="1590" name="Picture 1589"/>
        <xdr:cNvPicPr>
          <a:picLocks noChangeAspect="1" noChangeArrowheads="1"/>
        </xdr:cNvPicPr>
      </xdr:nvPicPr>
      <xdr:blipFill>
        <a:blip xmlns:r="http://schemas.openxmlformats.org/officeDocument/2006/relationships" r:embed="rId1589">
          <a:extLst>
            <a:ext uri="{28A0092B-C50C-407E-A947-70E740481C1C}">
              <a14:useLocalDpi xmlns:a14="http://schemas.microsoft.com/office/drawing/2010/main" val="0"/>
            </a:ext>
          </a:extLst>
        </a:blip>
        <a:srcRect/>
        <a:stretch>
          <a:fillRect/>
        </a:stretch>
      </xdr:blipFill>
      <xdr:spPr bwMode="auto">
        <a:xfrm>
          <a:off x="1228725" y="3012795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1591</xdr:row>
      <xdr:rowOff>19050</xdr:rowOff>
    </xdr:from>
    <xdr:to>
      <xdr:col>2</xdr:col>
      <xdr:colOff>1733550</xdr:colOff>
      <xdr:row>1591</xdr:row>
      <xdr:rowOff>1666875</xdr:rowOff>
    </xdr:to>
    <xdr:pic>
      <xdr:nvPicPr>
        <xdr:cNvPr id="1591" name="Picture 1590"/>
        <xdr:cNvPicPr>
          <a:picLocks noChangeAspect="1" noChangeArrowheads="1"/>
        </xdr:cNvPicPr>
      </xdr:nvPicPr>
      <xdr:blipFill>
        <a:blip xmlns:r="http://schemas.openxmlformats.org/officeDocument/2006/relationships" r:embed="rId1590">
          <a:extLst>
            <a:ext uri="{28A0092B-C50C-407E-A947-70E740481C1C}">
              <a14:useLocalDpi xmlns:a14="http://schemas.microsoft.com/office/drawing/2010/main" val="0"/>
            </a:ext>
          </a:extLst>
        </a:blip>
        <a:srcRect/>
        <a:stretch>
          <a:fillRect/>
        </a:stretch>
      </xdr:blipFill>
      <xdr:spPr bwMode="auto">
        <a:xfrm>
          <a:off x="1228725" y="3014710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1592</xdr:row>
      <xdr:rowOff>19050</xdr:rowOff>
    </xdr:from>
    <xdr:to>
      <xdr:col>2</xdr:col>
      <xdr:colOff>1733550</xdr:colOff>
      <xdr:row>1592</xdr:row>
      <xdr:rowOff>1666875</xdr:rowOff>
    </xdr:to>
    <xdr:pic>
      <xdr:nvPicPr>
        <xdr:cNvPr id="1592" name="Picture 1591"/>
        <xdr:cNvPicPr>
          <a:picLocks noChangeAspect="1" noChangeArrowheads="1"/>
        </xdr:cNvPicPr>
      </xdr:nvPicPr>
      <xdr:blipFill>
        <a:blip xmlns:r="http://schemas.openxmlformats.org/officeDocument/2006/relationships" r:embed="rId1591">
          <a:extLst>
            <a:ext uri="{28A0092B-C50C-407E-A947-70E740481C1C}">
              <a14:useLocalDpi xmlns:a14="http://schemas.microsoft.com/office/drawing/2010/main" val="0"/>
            </a:ext>
          </a:extLst>
        </a:blip>
        <a:srcRect/>
        <a:stretch>
          <a:fillRect/>
        </a:stretch>
      </xdr:blipFill>
      <xdr:spPr bwMode="auto">
        <a:xfrm>
          <a:off x="1228725" y="3016624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1593</xdr:row>
      <xdr:rowOff>19050</xdr:rowOff>
    </xdr:from>
    <xdr:to>
      <xdr:col>2</xdr:col>
      <xdr:colOff>1733550</xdr:colOff>
      <xdr:row>1593</xdr:row>
      <xdr:rowOff>1666875</xdr:rowOff>
    </xdr:to>
    <xdr:pic>
      <xdr:nvPicPr>
        <xdr:cNvPr id="1593" name="Picture 1592"/>
        <xdr:cNvPicPr>
          <a:picLocks noChangeAspect="1" noChangeArrowheads="1"/>
        </xdr:cNvPicPr>
      </xdr:nvPicPr>
      <xdr:blipFill>
        <a:blip xmlns:r="http://schemas.openxmlformats.org/officeDocument/2006/relationships" r:embed="rId1592">
          <a:extLst>
            <a:ext uri="{28A0092B-C50C-407E-A947-70E740481C1C}">
              <a14:useLocalDpi xmlns:a14="http://schemas.microsoft.com/office/drawing/2010/main" val="0"/>
            </a:ext>
          </a:extLst>
        </a:blip>
        <a:srcRect/>
        <a:stretch>
          <a:fillRect/>
        </a:stretch>
      </xdr:blipFill>
      <xdr:spPr bwMode="auto">
        <a:xfrm>
          <a:off x="1228725" y="3018539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1594</xdr:row>
      <xdr:rowOff>19050</xdr:rowOff>
    </xdr:from>
    <xdr:to>
      <xdr:col>2</xdr:col>
      <xdr:colOff>1733550</xdr:colOff>
      <xdr:row>1594</xdr:row>
      <xdr:rowOff>1666875</xdr:rowOff>
    </xdr:to>
    <xdr:pic>
      <xdr:nvPicPr>
        <xdr:cNvPr id="1594" name="Picture 1593"/>
        <xdr:cNvPicPr>
          <a:picLocks noChangeAspect="1" noChangeArrowheads="1"/>
        </xdr:cNvPicPr>
      </xdr:nvPicPr>
      <xdr:blipFill>
        <a:blip xmlns:r="http://schemas.openxmlformats.org/officeDocument/2006/relationships" r:embed="rId1593">
          <a:extLst>
            <a:ext uri="{28A0092B-C50C-407E-A947-70E740481C1C}">
              <a14:useLocalDpi xmlns:a14="http://schemas.microsoft.com/office/drawing/2010/main" val="0"/>
            </a:ext>
          </a:extLst>
        </a:blip>
        <a:srcRect/>
        <a:stretch>
          <a:fillRect/>
        </a:stretch>
      </xdr:blipFill>
      <xdr:spPr bwMode="auto">
        <a:xfrm>
          <a:off x="1228725" y="3020453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1595</xdr:row>
      <xdr:rowOff>19050</xdr:rowOff>
    </xdr:from>
    <xdr:to>
      <xdr:col>2</xdr:col>
      <xdr:colOff>1733550</xdr:colOff>
      <xdr:row>1595</xdr:row>
      <xdr:rowOff>1666875</xdr:rowOff>
    </xdr:to>
    <xdr:pic>
      <xdr:nvPicPr>
        <xdr:cNvPr id="1595" name="Picture 1594"/>
        <xdr:cNvPicPr>
          <a:picLocks noChangeAspect="1" noChangeArrowheads="1"/>
        </xdr:cNvPicPr>
      </xdr:nvPicPr>
      <xdr:blipFill>
        <a:blip xmlns:r="http://schemas.openxmlformats.org/officeDocument/2006/relationships" r:embed="rId1594">
          <a:extLst>
            <a:ext uri="{28A0092B-C50C-407E-A947-70E740481C1C}">
              <a14:useLocalDpi xmlns:a14="http://schemas.microsoft.com/office/drawing/2010/main" val="0"/>
            </a:ext>
          </a:extLst>
        </a:blip>
        <a:srcRect/>
        <a:stretch>
          <a:fillRect/>
        </a:stretch>
      </xdr:blipFill>
      <xdr:spPr bwMode="auto">
        <a:xfrm>
          <a:off x="1228725" y="3022368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1596</xdr:row>
      <xdr:rowOff>19050</xdr:rowOff>
    </xdr:from>
    <xdr:to>
      <xdr:col>2</xdr:col>
      <xdr:colOff>1733550</xdr:colOff>
      <xdr:row>1596</xdr:row>
      <xdr:rowOff>1666875</xdr:rowOff>
    </xdr:to>
    <xdr:pic>
      <xdr:nvPicPr>
        <xdr:cNvPr id="1596" name="Picture 1595"/>
        <xdr:cNvPicPr>
          <a:picLocks noChangeAspect="1" noChangeArrowheads="1"/>
        </xdr:cNvPicPr>
      </xdr:nvPicPr>
      <xdr:blipFill>
        <a:blip xmlns:r="http://schemas.openxmlformats.org/officeDocument/2006/relationships" r:embed="rId1595">
          <a:extLst>
            <a:ext uri="{28A0092B-C50C-407E-A947-70E740481C1C}">
              <a14:useLocalDpi xmlns:a14="http://schemas.microsoft.com/office/drawing/2010/main" val="0"/>
            </a:ext>
          </a:extLst>
        </a:blip>
        <a:srcRect/>
        <a:stretch>
          <a:fillRect/>
        </a:stretch>
      </xdr:blipFill>
      <xdr:spPr bwMode="auto">
        <a:xfrm>
          <a:off x="1228725" y="3024282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1597</xdr:row>
      <xdr:rowOff>19050</xdr:rowOff>
    </xdr:from>
    <xdr:to>
      <xdr:col>2</xdr:col>
      <xdr:colOff>1733550</xdr:colOff>
      <xdr:row>1597</xdr:row>
      <xdr:rowOff>1666875</xdr:rowOff>
    </xdr:to>
    <xdr:pic>
      <xdr:nvPicPr>
        <xdr:cNvPr id="1597" name="Picture 1596"/>
        <xdr:cNvPicPr>
          <a:picLocks noChangeAspect="1" noChangeArrowheads="1"/>
        </xdr:cNvPicPr>
      </xdr:nvPicPr>
      <xdr:blipFill>
        <a:blip xmlns:r="http://schemas.openxmlformats.org/officeDocument/2006/relationships" r:embed="rId1596">
          <a:extLst>
            <a:ext uri="{28A0092B-C50C-407E-A947-70E740481C1C}">
              <a14:useLocalDpi xmlns:a14="http://schemas.microsoft.com/office/drawing/2010/main" val="0"/>
            </a:ext>
          </a:extLst>
        </a:blip>
        <a:srcRect/>
        <a:stretch>
          <a:fillRect/>
        </a:stretch>
      </xdr:blipFill>
      <xdr:spPr bwMode="auto">
        <a:xfrm>
          <a:off x="1228725" y="3026197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1598</xdr:row>
      <xdr:rowOff>19050</xdr:rowOff>
    </xdr:from>
    <xdr:to>
      <xdr:col>2</xdr:col>
      <xdr:colOff>1733550</xdr:colOff>
      <xdr:row>1598</xdr:row>
      <xdr:rowOff>1666875</xdr:rowOff>
    </xdr:to>
    <xdr:pic>
      <xdr:nvPicPr>
        <xdr:cNvPr id="1598" name="Picture 1597"/>
        <xdr:cNvPicPr>
          <a:picLocks noChangeAspect="1" noChangeArrowheads="1"/>
        </xdr:cNvPicPr>
      </xdr:nvPicPr>
      <xdr:blipFill>
        <a:blip xmlns:r="http://schemas.openxmlformats.org/officeDocument/2006/relationships" r:embed="rId1597">
          <a:extLst>
            <a:ext uri="{28A0092B-C50C-407E-A947-70E740481C1C}">
              <a14:useLocalDpi xmlns:a14="http://schemas.microsoft.com/office/drawing/2010/main" val="0"/>
            </a:ext>
          </a:extLst>
        </a:blip>
        <a:srcRect/>
        <a:stretch>
          <a:fillRect/>
        </a:stretch>
      </xdr:blipFill>
      <xdr:spPr bwMode="auto">
        <a:xfrm>
          <a:off x="1228725" y="3028111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1599</xdr:row>
      <xdr:rowOff>19050</xdr:rowOff>
    </xdr:from>
    <xdr:to>
      <xdr:col>2</xdr:col>
      <xdr:colOff>1733550</xdr:colOff>
      <xdr:row>1599</xdr:row>
      <xdr:rowOff>1666875</xdr:rowOff>
    </xdr:to>
    <xdr:pic>
      <xdr:nvPicPr>
        <xdr:cNvPr id="1599" name="Picture 1598"/>
        <xdr:cNvPicPr>
          <a:picLocks noChangeAspect="1" noChangeArrowheads="1"/>
        </xdr:cNvPicPr>
      </xdr:nvPicPr>
      <xdr:blipFill>
        <a:blip xmlns:r="http://schemas.openxmlformats.org/officeDocument/2006/relationships" r:embed="rId1598">
          <a:extLst>
            <a:ext uri="{28A0092B-C50C-407E-A947-70E740481C1C}">
              <a14:useLocalDpi xmlns:a14="http://schemas.microsoft.com/office/drawing/2010/main" val="0"/>
            </a:ext>
          </a:extLst>
        </a:blip>
        <a:srcRect/>
        <a:stretch>
          <a:fillRect/>
        </a:stretch>
      </xdr:blipFill>
      <xdr:spPr bwMode="auto">
        <a:xfrm>
          <a:off x="1228725" y="3030026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1600</xdr:row>
      <xdr:rowOff>19050</xdr:rowOff>
    </xdr:from>
    <xdr:to>
      <xdr:col>2</xdr:col>
      <xdr:colOff>1733550</xdr:colOff>
      <xdr:row>1600</xdr:row>
      <xdr:rowOff>1666875</xdr:rowOff>
    </xdr:to>
    <xdr:pic>
      <xdr:nvPicPr>
        <xdr:cNvPr id="1600" name="Picture 1599"/>
        <xdr:cNvPicPr>
          <a:picLocks noChangeAspect="1" noChangeArrowheads="1"/>
        </xdr:cNvPicPr>
      </xdr:nvPicPr>
      <xdr:blipFill>
        <a:blip xmlns:r="http://schemas.openxmlformats.org/officeDocument/2006/relationships" r:embed="rId1599">
          <a:extLst>
            <a:ext uri="{28A0092B-C50C-407E-A947-70E740481C1C}">
              <a14:useLocalDpi xmlns:a14="http://schemas.microsoft.com/office/drawing/2010/main" val="0"/>
            </a:ext>
          </a:extLst>
        </a:blip>
        <a:srcRect/>
        <a:stretch>
          <a:fillRect/>
        </a:stretch>
      </xdr:blipFill>
      <xdr:spPr bwMode="auto">
        <a:xfrm>
          <a:off x="1228725" y="3031940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1601</xdr:row>
      <xdr:rowOff>19050</xdr:rowOff>
    </xdr:from>
    <xdr:to>
      <xdr:col>2</xdr:col>
      <xdr:colOff>1733550</xdr:colOff>
      <xdr:row>1601</xdr:row>
      <xdr:rowOff>1666875</xdr:rowOff>
    </xdr:to>
    <xdr:pic>
      <xdr:nvPicPr>
        <xdr:cNvPr id="1601" name="Picture 1600"/>
        <xdr:cNvPicPr>
          <a:picLocks noChangeAspect="1" noChangeArrowheads="1"/>
        </xdr:cNvPicPr>
      </xdr:nvPicPr>
      <xdr:blipFill>
        <a:blip xmlns:r="http://schemas.openxmlformats.org/officeDocument/2006/relationships" r:embed="rId1600">
          <a:extLst>
            <a:ext uri="{28A0092B-C50C-407E-A947-70E740481C1C}">
              <a14:useLocalDpi xmlns:a14="http://schemas.microsoft.com/office/drawing/2010/main" val="0"/>
            </a:ext>
          </a:extLst>
        </a:blip>
        <a:srcRect/>
        <a:stretch>
          <a:fillRect/>
        </a:stretch>
      </xdr:blipFill>
      <xdr:spPr bwMode="auto">
        <a:xfrm>
          <a:off x="1228725" y="3033855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1602</xdr:row>
      <xdr:rowOff>19050</xdr:rowOff>
    </xdr:from>
    <xdr:to>
      <xdr:col>2</xdr:col>
      <xdr:colOff>1733550</xdr:colOff>
      <xdr:row>1602</xdr:row>
      <xdr:rowOff>1666875</xdr:rowOff>
    </xdr:to>
    <xdr:pic>
      <xdr:nvPicPr>
        <xdr:cNvPr id="1602" name="Picture 1601"/>
        <xdr:cNvPicPr>
          <a:picLocks noChangeAspect="1" noChangeArrowheads="1"/>
        </xdr:cNvPicPr>
      </xdr:nvPicPr>
      <xdr:blipFill>
        <a:blip xmlns:r="http://schemas.openxmlformats.org/officeDocument/2006/relationships" r:embed="rId1601">
          <a:extLst>
            <a:ext uri="{28A0092B-C50C-407E-A947-70E740481C1C}">
              <a14:useLocalDpi xmlns:a14="http://schemas.microsoft.com/office/drawing/2010/main" val="0"/>
            </a:ext>
          </a:extLst>
        </a:blip>
        <a:srcRect/>
        <a:stretch>
          <a:fillRect/>
        </a:stretch>
      </xdr:blipFill>
      <xdr:spPr bwMode="auto">
        <a:xfrm>
          <a:off x="1228725" y="3035769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1603</xdr:row>
      <xdr:rowOff>19050</xdr:rowOff>
    </xdr:from>
    <xdr:to>
      <xdr:col>2</xdr:col>
      <xdr:colOff>1733550</xdr:colOff>
      <xdr:row>1603</xdr:row>
      <xdr:rowOff>1666875</xdr:rowOff>
    </xdr:to>
    <xdr:pic>
      <xdr:nvPicPr>
        <xdr:cNvPr id="1603" name="Picture 1602"/>
        <xdr:cNvPicPr>
          <a:picLocks noChangeAspect="1" noChangeArrowheads="1"/>
        </xdr:cNvPicPr>
      </xdr:nvPicPr>
      <xdr:blipFill>
        <a:blip xmlns:r="http://schemas.openxmlformats.org/officeDocument/2006/relationships" r:embed="rId1602">
          <a:extLst>
            <a:ext uri="{28A0092B-C50C-407E-A947-70E740481C1C}">
              <a14:useLocalDpi xmlns:a14="http://schemas.microsoft.com/office/drawing/2010/main" val="0"/>
            </a:ext>
          </a:extLst>
        </a:blip>
        <a:srcRect/>
        <a:stretch>
          <a:fillRect/>
        </a:stretch>
      </xdr:blipFill>
      <xdr:spPr bwMode="auto">
        <a:xfrm>
          <a:off x="1228725" y="3037684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1604</xdr:row>
      <xdr:rowOff>19050</xdr:rowOff>
    </xdr:from>
    <xdr:to>
      <xdr:col>2</xdr:col>
      <xdr:colOff>1733550</xdr:colOff>
      <xdr:row>1604</xdr:row>
      <xdr:rowOff>1666875</xdr:rowOff>
    </xdr:to>
    <xdr:pic>
      <xdr:nvPicPr>
        <xdr:cNvPr id="1604" name="Picture 1603"/>
        <xdr:cNvPicPr>
          <a:picLocks noChangeAspect="1" noChangeArrowheads="1"/>
        </xdr:cNvPicPr>
      </xdr:nvPicPr>
      <xdr:blipFill>
        <a:blip xmlns:r="http://schemas.openxmlformats.org/officeDocument/2006/relationships" r:embed="rId1603">
          <a:extLst>
            <a:ext uri="{28A0092B-C50C-407E-A947-70E740481C1C}">
              <a14:useLocalDpi xmlns:a14="http://schemas.microsoft.com/office/drawing/2010/main" val="0"/>
            </a:ext>
          </a:extLst>
        </a:blip>
        <a:srcRect/>
        <a:stretch>
          <a:fillRect/>
        </a:stretch>
      </xdr:blipFill>
      <xdr:spPr bwMode="auto">
        <a:xfrm>
          <a:off x="1228725" y="3039598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1605</xdr:row>
      <xdr:rowOff>19050</xdr:rowOff>
    </xdr:from>
    <xdr:to>
      <xdr:col>2</xdr:col>
      <xdr:colOff>1733550</xdr:colOff>
      <xdr:row>1605</xdr:row>
      <xdr:rowOff>1666875</xdr:rowOff>
    </xdr:to>
    <xdr:pic>
      <xdr:nvPicPr>
        <xdr:cNvPr id="1605" name="Picture 1604"/>
        <xdr:cNvPicPr>
          <a:picLocks noChangeAspect="1" noChangeArrowheads="1"/>
        </xdr:cNvPicPr>
      </xdr:nvPicPr>
      <xdr:blipFill>
        <a:blip xmlns:r="http://schemas.openxmlformats.org/officeDocument/2006/relationships" r:embed="rId1604">
          <a:extLst>
            <a:ext uri="{28A0092B-C50C-407E-A947-70E740481C1C}">
              <a14:useLocalDpi xmlns:a14="http://schemas.microsoft.com/office/drawing/2010/main" val="0"/>
            </a:ext>
          </a:extLst>
        </a:blip>
        <a:srcRect/>
        <a:stretch>
          <a:fillRect/>
        </a:stretch>
      </xdr:blipFill>
      <xdr:spPr bwMode="auto">
        <a:xfrm>
          <a:off x="1228725" y="3041513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1606</xdr:row>
      <xdr:rowOff>19050</xdr:rowOff>
    </xdr:from>
    <xdr:to>
      <xdr:col>2</xdr:col>
      <xdr:colOff>1733550</xdr:colOff>
      <xdr:row>1606</xdr:row>
      <xdr:rowOff>1666875</xdr:rowOff>
    </xdr:to>
    <xdr:pic>
      <xdr:nvPicPr>
        <xdr:cNvPr id="1606" name="Picture 1605"/>
        <xdr:cNvPicPr>
          <a:picLocks noChangeAspect="1" noChangeArrowheads="1"/>
        </xdr:cNvPicPr>
      </xdr:nvPicPr>
      <xdr:blipFill>
        <a:blip xmlns:r="http://schemas.openxmlformats.org/officeDocument/2006/relationships" r:embed="rId1605">
          <a:extLst>
            <a:ext uri="{28A0092B-C50C-407E-A947-70E740481C1C}">
              <a14:useLocalDpi xmlns:a14="http://schemas.microsoft.com/office/drawing/2010/main" val="0"/>
            </a:ext>
          </a:extLst>
        </a:blip>
        <a:srcRect/>
        <a:stretch>
          <a:fillRect/>
        </a:stretch>
      </xdr:blipFill>
      <xdr:spPr bwMode="auto">
        <a:xfrm>
          <a:off x="1228725" y="3043428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1607</xdr:row>
      <xdr:rowOff>19050</xdr:rowOff>
    </xdr:from>
    <xdr:to>
      <xdr:col>2</xdr:col>
      <xdr:colOff>1733550</xdr:colOff>
      <xdr:row>1607</xdr:row>
      <xdr:rowOff>1666875</xdr:rowOff>
    </xdr:to>
    <xdr:pic>
      <xdr:nvPicPr>
        <xdr:cNvPr id="1607" name="Picture 1606"/>
        <xdr:cNvPicPr>
          <a:picLocks noChangeAspect="1" noChangeArrowheads="1"/>
        </xdr:cNvPicPr>
      </xdr:nvPicPr>
      <xdr:blipFill>
        <a:blip xmlns:r="http://schemas.openxmlformats.org/officeDocument/2006/relationships" r:embed="rId1606">
          <a:extLst>
            <a:ext uri="{28A0092B-C50C-407E-A947-70E740481C1C}">
              <a14:useLocalDpi xmlns:a14="http://schemas.microsoft.com/office/drawing/2010/main" val="0"/>
            </a:ext>
          </a:extLst>
        </a:blip>
        <a:srcRect/>
        <a:stretch>
          <a:fillRect/>
        </a:stretch>
      </xdr:blipFill>
      <xdr:spPr bwMode="auto">
        <a:xfrm>
          <a:off x="1228725" y="3045342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1608</xdr:row>
      <xdr:rowOff>19050</xdr:rowOff>
    </xdr:from>
    <xdr:to>
      <xdr:col>2</xdr:col>
      <xdr:colOff>1733550</xdr:colOff>
      <xdr:row>1608</xdr:row>
      <xdr:rowOff>1666875</xdr:rowOff>
    </xdr:to>
    <xdr:pic>
      <xdr:nvPicPr>
        <xdr:cNvPr id="1608" name="Picture 1607"/>
        <xdr:cNvPicPr>
          <a:picLocks noChangeAspect="1" noChangeArrowheads="1"/>
        </xdr:cNvPicPr>
      </xdr:nvPicPr>
      <xdr:blipFill>
        <a:blip xmlns:r="http://schemas.openxmlformats.org/officeDocument/2006/relationships" r:embed="rId1607">
          <a:extLst>
            <a:ext uri="{28A0092B-C50C-407E-A947-70E740481C1C}">
              <a14:useLocalDpi xmlns:a14="http://schemas.microsoft.com/office/drawing/2010/main" val="0"/>
            </a:ext>
          </a:extLst>
        </a:blip>
        <a:srcRect/>
        <a:stretch>
          <a:fillRect/>
        </a:stretch>
      </xdr:blipFill>
      <xdr:spPr bwMode="auto">
        <a:xfrm>
          <a:off x="1228725" y="3047257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1609</xdr:row>
      <xdr:rowOff>19050</xdr:rowOff>
    </xdr:from>
    <xdr:to>
      <xdr:col>2</xdr:col>
      <xdr:colOff>1733550</xdr:colOff>
      <xdr:row>1609</xdr:row>
      <xdr:rowOff>1666875</xdr:rowOff>
    </xdr:to>
    <xdr:pic>
      <xdr:nvPicPr>
        <xdr:cNvPr id="1609" name="Picture 1608"/>
        <xdr:cNvPicPr>
          <a:picLocks noChangeAspect="1" noChangeArrowheads="1"/>
        </xdr:cNvPicPr>
      </xdr:nvPicPr>
      <xdr:blipFill>
        <a:blip xmlns:r="http://schemas.openxmlformats.org/officeDocument/2006/relationships" r:embed="rId1608">
          <a:extLst>
            <a:ext uri="{28A0092B-C50C-407E-A947-70E740481C1C}">
              <a14:useLocalDpi xmlns:a14="http://schemas.microsoft.com/office/drawing/2010/main" val="0"/>
            </a:ext>
          </a:extLst>
        </a:blip>
        <a:srcRect/>
        <a:stretch>
          <a:fillRect/>
        </a:stretch>
      </xdr:blipFill>
      <xdr:spPr bwMode="auto">
        <a:xfrm>
          <a:off x="1228725" y="3049171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1610</xdr:row>
      <xdr:rowOff>19050</xdr:rowOff>
    </xdr:from>
    <xdr:to>
      <xdr:col>2</xdr:col>
      <xdr:colOff>1733550</xdr:colOff>
      <xdr:row>1610</xdr:row>
      <xdr:rowOff>1666875</xdr:rowOff>
    </xdr:to>
    <xdr:pic>
      <xdr:nvPicPr>
        <xdr:cNvPr id="1610" name="Picture 1609"/>
        <xdr:cNvPicPr>
          <a:picLocks noChangeAspect="1" noChangeArrowheads="1"/>
        </xdr:cNvPicPr>
      </xdr:nvPicPr>
      <xdr:blipFill>
        <a:blip xmlns:r="http://schemas.openxmlformats.org/officeDocument/2006/relationships" r:embed="rId1609">
          <a:extLst>
            <a:ext uri="{28A0092B-C50C-407E-A947-70E740481C1C}">
              <a14:useLocalDpi xmlns:a14="http://schemas.microsoft.com/office/drawing/2010/main" val="0"/>
            </a:ext>
          </a:extLst>
        </a:blip>
        <a:srcRect/>
        <a:stretch>
          <a:fillRect/>
        </a:stretch>
      </xdr:blipFill>
      <xdr:spPr bwMode="auto">
        <a:xfrm>
          <a:off x="1228725" y="3051086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1611</xdr:row>
      <xdr:rowOff>19050</xdr:rowOff>
    </xdr:from>
    <xdr:to>
      <xdr:col>2</xdr:col>
      <xdr:colOff>1733550</xdr:colOff>
      <xdr:row>1611</xdr:row>
      <xdr:rowOff>1666875</xdr:rowOff>
    </xdr:to>
    <xdr:pic>
      <xdr:nvPicPr>
        <xdr:cNvPr id="1611" name="Picture 1610"/>
        <xdr:cNvPicPr>
          <a:picLocks noChangeAspect="1" noChangeArrowheads="1"/>
        </xdr:cNvPicPr>
      </xdr:nvPicPr>
      <xdr:blipFill>
        <a:blip xmlns:r="http://schemas.openxmlformats.org/officeDocument/2006/relationships" r:embed="rId1610">
          <a:extLst>
            <a:ext uri="{28A0092B-C50C-407E-A947-70E740481C1C}">
              <a14:useLocalDpi xmlns:a14="http://schemas.microsoft.com/office/drawing/2010/main" val="0"/>
            </a:ext>
          </a:extLst>
        </a:blip>
        <a:srcRect/>
        <a:stretch>
          <a:fillRect/>
        </a:stretch>
      </xdr:blipFill>
      <xdr:spPr bwMode="auto">
        <a:xfrm>
          <a:off x="1228725" y="3053000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1612</xdr:row>
      <xdr:rowOff>19050</xdr:rowOff>
    </xdr:from>
    <xdr:to>
      <xdr:col>2</xdr:col>
      <xdr:colOff>1733550</xdr:colOff>
      <xdr:row>1612</xdr:row>
      <xdr:rowOff>1666875</xdr:rowOff>
    </xdr:to>
    <xdr:pic>
      <xdr:nvPicPr>
        <xdr:cNvPr id="1612" name="Picture 1611"/>
        <xdr:cNvPicPr>
          <a:picLocks noChangeAspect="1" noChangeArrowheads="1"/>
        </xdr:cNvPicPr>
      </xdr:nvPicPr>
      <xdr:blipFill>
        <a:blip xmlns:r="http://schemas.openxmlformats.org/officeDocument/2006/relationships" r:embed="rId1611">
          <a:extLst>
            <a:ext uri="{28A0092B-C50C-407E-A947-70E740481C1C}">
              <a14:useLocalDpi xmlns:a14="http://schemas.microsoft.com/office/drawing/2010/main" val="0"/>
            </a:ext>
          </a:extLst>
        </a:blip>
        <a:srcRect/>
        <a:stretch>
          <a:fillRect/>
        </a:stretch>
      </xdr:blipFill>
      <xdr:spPr bwMode="auto">
        <a:xfrm>
          <a:off x="1228725" y="3054915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1613</xdr:row>
      <xdr:rowOff>19050</xdr:rowOff>
    </xdr:from>
    <xdr:to>
      <xdr:col>2</xdr:col>
      <xdr:colOff>1733550</xdr:colOff>
      <xdr:row>1613</xdr:row>
      <xdr:rowOff>1666875</xdr:rowOff>
    </xdr:to>
    <xdr:pic>
      <xdr:nvPicPr>
        <xdr:cNvPr id="1613" name="Picture 1612"/>
        <xdr:cNvPicPr>
          <a:picLocks noChangeAspect="1" noChangeArrowheads="1"/>
        </xdr:cNvPicPr>
      </xdr:nvPicPr>
      <xdr:blipFill>
        <a:blip xmlns:r="http://schemas.openxmlformats.org/officeDocument/2006/relationships" r:embed="rId1612">
          <a:extLst>
            <a:ext uri="{28A0092B-C50C-407E-A947-70E740481C1C}">
              <a14:useLocalDpi xmlns:a14="http://schemas.microsoft.com/office/drawing/2010/main" val="0"/>
            </a:ext>
          </a:extLst>
        </a:blip>
        <a:srcRect/>
        <a:stretch>
          <a:fillRect/>
        </a:stretch>
      </xdr:blipFill>
      <xdr:spPr bwMode="auto">
        <a:xfrm>
          <a:off x="1228725" y="3056829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1614</xdr:row>
      <xdr:rowOff>19050</xdr:rowOff>
    </xdr:from>
    <xdr:to>
      <xdr:col>2</xdr:col>
      <xdr:colOff>1733550</xdr:colOff>
      <xdr:row>1614</xdr:row>
      <xdr:rowOff>1666875</xdr:rowOff>
    </xdr:to>
    <xdr:pic>
      <xdr:nvPicPr>
        <xdr:cNvPr id="1614" name="Picture 1613"/>
        <xdr:cNvPicPr>
          <a:picLocks noChangeAspect="1" noChangeArrowheads="1"/>
        </xdr:cNvPicPr>
      </xdr:nvPicPr>
      <xdr:blipFill>
        <a:blip xmlns:r="http://schemas.openxmlformats.org/officeDocument/2006/relationships" r:embed="rId1613">
          <a:extLst>
            <a:ext uri="{28A0092B-C50C-407E-A947-70E740481C1C}">
              <a14:useLocalDpi xmlns:a14="http://schemas.microsoft.com/office/drawing/2010/main" val="0"/>
            </a:ext>
          </a:extLst>
        </a:blip>
        <a:srcRect/>
        <a:stretch>
          <a:fillRect/>
        </a:stretch>
      </xdr:blipFill>
      <xdr:spPr bwMode="auto">
        <a:xfrm>
          <a:off x="1228725" y="3058744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1615</xdr:row>
      <xdr:rowOff>19050</xdr:rowOff>
    </xdr:from>
    <xdr:to>
      <xdr:col>2</xdr:col>
      <xdr:colOff>1733550</xdr:colOff>
      <xdr:row>1615</xdr:row>
      <xdr:rowOff>1666875</xdr:rowOff>
    </xdr:to>
    <xdr:pic>
      <xdr:nvPicPr>
        <xdr:cNvPr id="1615" name="Picture 1614"/>
        <xdr:cNvPicPr>
          <a:picLocks noChangeAspect="1" noChangeArrowheads="1"/>
        </xdr:cNvPicPr>
      </xdr:nvPicPr>
      <xdr:blipFill>
        <a:blip xmlns:r="http://schemas.openxmlformats.org/officeDocument/2006/relationships" r:embed="rId1614">
          <a:extLst>
            <a:ext uri="{28A0092B-C50C-407E-A947-70E740481C1C}">
              <a14:useLocalDpi xmlns:a14="http://schemas.microsoft.com/office/drawing/2010/main" val="0"/>
            </a:ext>
          </a:extLst>
        </a:blip>
        <a:srcRect/>
        <a:stretch>
          <a:fillRect/>
        </a:stretch>
      </xdr:blipFill>
      <xdr:spPr bwMode="auto">
        <a:xfrm>
          <a:off x="1228725" y="3060658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1616</xdr:row>
      <xdr:rowOff>19050</xdr:rowOff>
    </xdr:from>
    <xdr:to>
      <xdr:col>2</xdr:col>
      <xdr:colOff>1733550</xdr:colOff>
      <xdr:row>1616</xdr:row>
      <xdr:rowOff>1666875</xdr:rowOff>
    </xdr:to>
    <xdr:pic>
      <xdr:nvPicPr>
        <xdr:cNvPr id="1616" name="Picture 1615"/>
        <xdr:cNvPicPr>
          <a:picLocks noChangeAspect="1" noChangeArrowheads="1"/>
        </xdr:cNvPicPr>
      </xdr:nvPicPr>
      <xdr:blipFill>
        <a:blip xmlns:r="http://schemas.openxmlformats.org/officeDocument/2006/relationships" r:embed="rId1615">
          <a:extLst>
            <a:ext uri="{28A0092B-C50C-407E-A947-70E740481C1C}">
              <a14:useLocalDpi xmlns:a14="http://schemas.microsoft.com/office/drawing/2010/main" val="0"/>
            </a:ext>
          </a:extLst>
        </a:blip>
        <a:srcRect/>
        <a:stretch>
          <a:fillRect/>
        </a:stretch>
      </xdr:blipFill>
      <xdr:spPr bwMode="auto">
        <a:xfrm>
          <a:off x="1228725" y="3062573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1617</xdr:row>
      <xdr:rowOff>19050</xdr:rowOff>
    </xdr:from>
    <xdr:to>
      <xdr:col>2</xdr:col>
      <xdr:colOff>1733550</xdr:colOff>
      <xdr:row>1617</xdr:row>
      <xdr:rowOff>1666875</xdr:rowOff>
    </xdr:to>
    <xdr:pic>
      <xdr:nvPicPr>
        <xdr:cNvPr id="1617" name="Picture 1616"/>
        <xdr:cNvPicPr>
          <a:picLocks noChangeAspect="1" noChangeArrowheads="1"/>
        </xdr:cNvPicPr>
      </xdr:nvPicPr>
      <xdr:blipFill>
        <a:blip xmlns:r="http://schemas.openxmlformats.org/officeDocument/2006/relationships" r:embed="rId1616">
          <a:extLst>
            <a:ext uri="{28A0092B-C50C-407E-A947-70E740481C1C}">
              <a14:useLocalDpi xmlns:a14="http://schemas.microsoft.com/office/drawing/2010/main" val="0"/>
            </a:ext>
          </a:extLst>
        </a:blip>
        <a:srcRect/>
        <a:stretch>
          <a:fillRect/>
        </a:stretch>
      </xdr:blipFill>
      <xdr:spPr bwMode="auto">
        <a:xfrm>
          <a:off x="1228725" y="3064487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1618</xdr:row>
      <xdr:rowOff>19050</xdr:rowOff>
    </xdr:from>
    <xdr:to>
      <xdr:col>2</xdr:col>
      <xdr:colOff>1733550</xdr:colOff>
      <xdr:row>1618</xdr:row>
      <xdr:rowOff>1666875</xdr:rowOff>
    </xdr:to>
    <xdr:pic>
      <xdr:nvPicPr>
        <xdr:cNvPr id="1618" name="Picture 1617"/>
        <xdr:cNvPicPr>
          <a:picLocks noChangeAspect="1" noChangeArrowheads="1"/>
        </xdr:cNvPicPr>
      </xdr:nvPicPr>
      <xdr:blipFill>
        <a:blip xmlns:r="http://schemas.openxmlformats.org/officeDocument/2006/relationships" r:embed="rId1617">
          <a:extLst>
            <a:ext uri="{28A0092B-C50C-407E-A947-70E740481C1C}">
              <a14:useLocalDpi xmlns:a14="http://schemas.microsoft.com/office/drawing/2010/main" val="0"/>
            </a:ext>
          </a:extLst>
        </a:blip>
        <a:srcRect/>
        <a:stretch>
          <a:fillRect/>
        </a:stretch>
      </xdr:blipFill>
      <xdr:spPr bwMode="auto">
        <a:xfrm>
          <a:off x="1228725" y="3066402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1619</xdr:row>
      <xdr:rowOff>19050</xdr:rowOff>
    </xdr:from>
    <xdr:to>
      <xdr:col>2</xdr:col>
      <xdr:colOff>1733550</xdr:colOff>
      <xdr:row>1619</xdr:row>
      <xdr:rowOff>1666875</xdr:rowOff>
    </xdr:to>
    <xdr:pic>
      <xdr:nvPicPr>
        <xdr:cNvPr id="1619" name="Picture 1618"/>
        <xdr:cNvPicPr>
          <a:picLocks noChangeAspect="1" noChangeArrowheads="1"/>
        </xdr:cNvPicPr>
      </xdr:nvPicPr>
      <xdr:blipFill>
        <a:blip xmlns:r="http://schemas.openxmlformats.org/officeDocument/2006/relationships" r:embed="rId1618">
          <a:extLst>
            <a:ext uri="{28A0092B-C50C-407E-A947-70E740481C1C}">
              <a14:useLocalDpi xmlns:a14="http://schemas.microsoft.com/office/drawing/2010/main" val="0"/>
            </a:ext>
          </a:extLst>
        </a:blip>
        <a:srcRect/>
        <a:stretch>
          <a:fillRect/>
        </a:stretch>
      </xdr:blipFill>
      <xdr:spPr bwMode="auto">
        <a:xfrm>
          <a:off x="1228725" y="3068316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1620</xdr:row>
      <xdr:rowOff>19050</xdr:rowOff>
    </xdr:from>
    <xdr:to>
      <xdr:col>2</xdr:col>
      <xdr:colOff>1733550</xdr:colOff>
      <xdr:row>1620</xdr:row>
      <xdr:rowOff>1647825</xdr:rowOff>
    </xdr:to>
    <xdr:pic>
      <xdr:nvPicPr>
        <xdr:cNvPr id="1620" name="Picture 1619"/>
        <xdr:cNvPicPr>
          <a:picLocks noChangeAspect="1" noChangeArrowheads="1"/>
        </xdr:cNvPicPr>
      </xdr:nvPicPr>
      <xdr:blipFill>
        <a:blip xmlns:r="http://schemas.openxmlformats.org/officeDocument/2006/relationships" r:embed="rId1619">
          <a:extLst>
            <a:ext uri="{28A0092B-C50C-407E-A947-70E740481C1C}">
              <a14:useLocalDpi xmlns:a14="http://schemas.microsoft.com/office/drawing/2010/main" val="0"/>
            </a:ext>
          </a:extLst>
        </a:blip>
        <a:srcRect/>
        <a:stretch>
          <a:fillRect/>
        </a:stretch>
      </xdr:blipFill>
      <xdr:spPr bwMode="auto">
        <a:xfrm>
          <a:off x="1228725" y="3070231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1621</xdr:row>
      <xdr:rowOff>19050</xdr:rowOff>
    </xdr:from>
    <xdr:to>
      <xdr:col>2</xdr:col>
      <xdr:colOff>1733550</xdr:colOff>
      <xdr:row>1621</xdr:row>
      <xdr:rowOff>1647825</xdr:rowOff>
    </xdr:to>
    <xdr:pic>
      <xdr:nvPicPr>
        <xdr:cNvPr id="1621" name="Picture 1620"/>
        <xdr:cNvPicPr>
          <a:picLocks noChangeAspect="1" noChangeArrowheads="1"/>
        </xdr:cNvPicPr>
      </xdr:nvPicPr>
      <xdr:blipFill>
        <a:blip xmlns:r="http://schemas.openxmlformats.org/officeDocument/2006/relationships" r:embed="rId1620">
          <a:extLst>
            <a:ext uri="{28A0092B-C50C-407E-A947-70E740481C1C}">
              <a14:useLocalDpi xmlns:a14="http://schemas.microsoft.com/office/drawing/2010/main" val="0"/>
            </a:ext>
          </a:extLst>
        </a:blip>
        <a:srcRect/>
        <a:stretch>
          <a:fillRect/>
        </a:stretch>
      </xdr:blipFill>
      <xdr:spPr bwMode="auto">
        <a:xfrm>
          <a:off x="1228725" y="3072126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1622</xdr:row>
      <xdr:rowOff>19050</xdr:rowOff>
    </xdr:from>
    <xdr:to>
      <xdr:col>2</xdr:col>
      <xdr:colOff>1733550</xdr:colOff>
      <xdr:row>1622</xdr:row>
      <xdr:rowOff>1666875</xdr:rowOff>
    </xdr:to>
    <xdr:pic>
      <xdr:nvPicPr>
        <xdr:cNvPr id="1622" name="Picture 1621"/>
        <xdr:cNvPicPr>
          <a:picLocks noChangeAspect="1" noChangeArrowheads="1"/>
        </xdr:cNvPicPr>
      </xdr:nvPicPr>
      <xdr:blipFill>
        <a:blip xmlns:r="http://schemas.openxmlformats.org/officeDocument/2006/relationships" r:embed="rId1621">
          <a:extLst>
            <a:ext uri="{28A0092B-C50C-407E-A947-70E740481C1C}">
              <a14:useLocalDpi xmlns:a14="http://schemas.microsoft.com/office/drawing/2010/main" val="0"/>
            </a:ext>
          </a:extLst>
        </a:blip>
        <a:srcRect/>
        <a:stretch>
          <a:fillRect/>
        </a:stretch>
      </xdr:blipFill>
      <xdr:spPr bwMode="auto">
        <a:xfrm>
          <a:off x="1228725" y="3074022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1623</xdr:row>
      <xdr:rowOff>19050</xdr:rowOff>
    </xdr:from>
    <xdr:to>
      <xdr:col>2</xdr:col>
      <xdr:colOff>1733550</xdr:colOff>
      <xdr:row>1623</xdr:row>
      <xdr:rowOff>1666875</xdr:rowOff>
    </xdr:to>
    <xdr:pic>
      <xdr:nvPicPr>
        <xdr:cNvPr id="1623" name="Picture 1622"/>
        <xdr:cNvPicPr>
          <a:picLocks noChangeAspect="1" noChangeArrowheads="1"/>
        </xdr:cNvPicPr>
      </xdr:nvPicPr>
      <xdr:blipFill>
        <a:blip xmlns:r="http://schemas.openxmlformats.org/officeDocument/2006/relationships" r:embed="rId1622">
          <a:extLst>
            <a:ext uri="{28A0092B-C50C-407E-A947-70E740481C1C}">
              <a14:useLocalDpi xmlns:a14="http://schemas.microsoft.com/office/drawing/2010/main" val="0"/>
            </a:ext>
          </a:extLst>
        </a:blip>
        <a:srcRect/>
        <a:stretch>
          <a:fillRect/>
        </a:stretch>
      </xdr:blipFill>
      <xdr:spPr bwMode="auto">
        <a:xfrm>
          <a:off x="1228725" y="3075936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1624</xdr:row>
      <xdr:rowOff>19050</xdr:rowOff>
    </xdr:from>
    <xdr:to>
      <xdr:col>2</xdr:col>
      <xdr:colOff>1733550</xdr:colOff>
      <xdr:row>1624</xdr:row>
      <xdr:rowOff>1666875</xdr:rowOff>
    </xdr:to>
    <xdr:pic>
      <xdr:nvPicPr>
        <xdr:cNvPr id="1624" name="Picture 1623"/>
        <xdr:cNvPicPr>
          <a:picLocks noChangeAspect="1" noChangeArrowheads="1"/>
        </xdr:cNvPicPr>
      </xdr:nvPicPr>
      <xdr:blipFill>
        <a:blip xmlns:r="http://schemas.openxmlformats.org/officeDocument/2006/relationships" r:embed="rId1623">
          <a:extLst>
            <a:ext uri="{28A0092B-C50C-407E-A947-70E740481C1C}">
              <a14:useLocalDpi xmlns:a14="http://schemas.microsoft.com/office/drawing/2010/main" val="0"/>
            </a:ext>
          </a:extLst>
        </a:blip>
        <a:srcRect/>
        <a:stretch>
          <a:fillRect/>
        </a:stretch>
      </xdr:blipFill>
      <xdr:spPr bwMode="auto">
        <a:xfrm>
          <a:off x="1228725" y="3077851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1625</xdr:row>
      <xdr:rowOff>19050</xdr:rowOff>
    </xdr:from>
    <xdr:to>
      <xdr:col>2</xdr:col>
      <xdr:colOff>1733550</xdr:colOff>
      <xdr:row>1625</xdr:row>
      <xdr:rowOff>1666875</xdr:rowOff>
    </xdr:to>
    <xdr:pic>
      <xdr:nvPicPr>
        <xdr:cNvPr id="1625" name="Picture 1624"/>
        <xdr:cNvPicPr>
          <a:picLocks noChangeAspect="1" noChangeArrowheads="1"/>
        </xdr:cNvPicPr>
      </xdr:nvPicPr>
      <xdr:blipFill>
        <a:blip xmlns:r="http://schemas.openxmlformats.org/officeDocument/2006/relationships" r:embed="rId1624">
          <a:extLst>
            <a:ext uri="{28A0092B-C50C-407E-A947-70E740481C1C}">
              <a14:useLocalDpi xmlns:a14="http://schemas.microsoft.com/office/drawing/2010/main" val="0"/>
            </a:ext>
          </a:extLst>
        </a:blip>
        <a:srcRect/>
        <a:stretch>
          <a:fillRect/>
        </a:stretch>
      </xdr:blipFill>
      <xdr:spPr bwMode="auto">
        <a:xfrm>
          <a:off x="1228725" y="307976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1626</xdr:row>
      <xdr:rowOff>19050</xdr:rowOff>
    </xdr:from>
    <xdr:to>
      <xdr:col>2</xdr:col>
      <xdr:colOff>1733550</xdr:colOff>
      <xdr:row>1626</xdr:row>
      <xdr:rowOff>1666875</xdr:rowOff>
    </xdr:to>
    <xdr:pic>
      <xdr:nvPicPr>
        <xdr:cNvPr id="1626" name="Picture 1625"/>
        <xdr:cNvPicPr>
          <a:picLocks noChangeAspect="1" noChangeArrowheads="1"/>
        </xdr:cNvPicPr>
      </xdr:nvPicPr>
      <xdr:blipFill>
        <a:blip xmlns:r="http://schemas.openxmlformats.org/officeDocument/2006/relationships" r:embed="rId1625">
          <a:extLst>
            <a:ext uri="{28A0092B-C50C-407E-A947-70E740481C1C}">
              <a14:useLocalDpi xmlns:a14="http://schemas.microsoft.com/office/drawing/2010/main" val="0"/>
            </a:ext>
          </a:extLst>
        </a:blip>
        <a:srcRect/>
        <a:stretch>
          <a:fillRect/>
        </a:stretch>
      </xdr:blipFill>
      <xdr:spPr bwMode="auto">
        <a:xfrm>
          <a:off x="1228725" y="308168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1627</xdr:row>
      <xdr:rowOff>19050</xdr:rowOff>
    </xdr:from>
    <xdr:to>
      <xdr:col>2</xdr:col>
      <xdr:colOff>1733550</xdr:colOff>
      <xdr:row>1627</xdr:row>
      <xdr:rowOff>1647825</xdr:rowOff>
    </xdr:to>
    <xdr:pic>
      <xdr:nvPicPr>
        <xdr:cNvPr id="1627" name="Picture 1626"/>
        <xdr:cNvPicPr>
          <a:picLocks noChangeAspect="1" noChangeArrowheads="1"/>
        </xdr:cNvPicPr>
      </xdr:nvPicPr>
      <xdr:blipFill>
        <a:blip xmlns:r="http://schemas.openxmlformats.org/officeDocument/2006/relationships" r:embed="rId1626">
          <a:extLst>
            <a:ext uri="{28A0092B-C50C-407E-A947-70E740481C1C}">
              <a14:useLocalDpi xmlns:a14="http://schemas.microsoft.com/office/drawing/2010/main" val="0"/>
            </a:ext>
          </a:extLst>
        </a:blip>
        <a:srcRect/>
        <a:stretch>
          <a:fillRect/>
        </a:stretch>
      </xdr:blipFill>
      <xdr:spPr bwMode="auto">
        <a:xfrm>
          <a:off x="1228725" y="30835949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1628</xdr:row>
      <xdr:rowOff>19050</xdr:rowOff>
    </xdr:from>
    <xdr:to>
      <xdr:col>2</xdr:col>
      <xdr:colOff>1733550</xdr:colOff>
      <xdr:row>1628</xdr:row>
      <xdr:rowOff>1647825</xdr:rowOff>
    </xdr:to>
    <xdr:pic>
      <xdr:nvPicPr>
        <xdr:cNvPr id="1628" name="Picture 1627"/>
        <xdr:cNvPicPr>
          <a:picLocks noChangeAspect="1" noChangeArrowheads="1"/>
        </xdr:cNvPicPr>
      </xdr:nvPicPr>
      <xdr:blipFill>
        <a:blip xmlns:r="http://schemas.openxmlformats.org/officeDocument/2006/relationships" r:embed="rId1627">
          <a:extLst>
            <a:ext uri="{28A0092B-C50C-407E-A947-70E740481C1C}">
              <a14:useLocalDpi xmlns:a14="http://schemas.microsoft.com/office/drawing/2010/main" val="0"/>
            </a:ext>
          </a:extLst>
        </a:blip>
        <a:srcRect/>
        <a:stretch>
          <a:fillRect/>
        </a:stretch>
      </xdr:blipFill>
      <xdr:spPr bwMode="auto">
        <a:xfrm>
          <a:off x="1228725" y="30854904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1629</xdr:row>
      <xdr:rowOff>19050</xdr:rowOff>
    </xdr:from>
    <xdr:to>
      <xdr:col>2</xdr:col>
      <xdr:colOff>1733550</xdr:colOff>
      <xdr:row>1629</xdr:row>
      <xdr:rowOff>1666875</xdr:rowOff>
    </xdr:to>
    <xdr:pic>
      <xdr:nvPicPr>
        <xdr:cNvPr id="1629" name="Picture 1628"/>
        <xdr:cNvPicPr>
          <a:picLocks noChangeAspect="1" noChangeArrowheads="1"/>
        </xdr:cNvPicPr>
      </xdr:nvPicPr>
      <xdr:blipFill>
        <a:blip xmlns:r="http://schemas.openxmlformats.org/officeDocument/2006/relationships" r:embed="rId1628">
          <a:extLst>
            <a:ext uri="{28A0092B-C50C-407E-A947-70E740481C1C}">
              <a14:useLocalDpi xmlns:a14="http://schemas.microsoft.com/office/drawing/2010/main" val="0"/>
            </a:ext>
          </a:extLst>
        </a:blip>
        <a:srcRect/>
        <a:stretch>
          <a:fillRect/>
        </a:stretch>
      </xdr:blipFill>
      <xdr:spPr bwMode="auto">
        <a:xfrm>
          <a:off x="1228725" y="308738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1630</xdr:row>
      <xdr:rowOff>19050</xdr:rowOff>
    </xdr:from>
    <xdr:to>
      <xdr:col>2</xdr:col>
      <xdr:colOff>1733550</xdr:colOff>
      <xdr:row>1630</xdr:row>
      <xdr:rowOff>1666875</xdr:rowOff>
    </xdr:to>
    <xdr:pic>
      <xdr:nvPicPr>
        <xdr:cNvPr id="1630" name="Picture 1629"/>
        <xdr:cNvPicPr>
          <a:picLocks noChangeAspect="1" noChangeArrowheads="1"/>
        </xdr:cNvPicPr>
      </xdr:nvPicPr>
      <xdr:blipFill>
        <a:blip xmlns:r="http://schemas.openxmlformats.org/officeDocument/2006/relationships" r:embed="rId1629">
          <a:extLst>
            <a:ext uri="{28A0092B-C50C-407E-A947-70E740481C1C}">
              <a14:useLocalDpi xmlns:a14="http://schemas.microsoft.com/office/drawing/2010/main" val="0"/>
            </a:ext>
          </a:extLst>
        </a:blip>
        <a:srcRect/>
        <a:stretch>
          <a:fillRect/>
        </a:stretch>
      </xdr:blipFill>
      <xdr:spPr bwMode="auto">
        <a:xfrm>
          <a:off x="1228725" y="308930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1631</xdr:row>
      <xdr:rowOff>19050</xdr:rowOff>
    </xdr:from>
    <xdr:to>
      <xdr:col>2</xdr:col>
      <xdr:colOff>1733550</xdr:colOff>
      <xdr:row>1631</xdr:row>
      <xdr:rowOff>1666875</xdr:rowOff>
    </xdr:to>
    <xdr:pic>
      <xdr:nvPicPr>
        <xdr:cNvPr id="1631" name="Picture 1630"/>
        <xdr:cNvPicPr>
          <a:picLocks noChangeAspect="1" noChangeArrowheads="1"/>
        </xdr:cNvPicPr>
      </xdr:nvPicPr>
      <xdr:blipFill>
        <a:blip xmlns:r="http://schemas.openxmlformats.org/officeDocument/2006/relationships" r:embed="rId1630">
          <a:extLst>
            <a:ext uri="{28A0092B-C50C-407E-A947-70E740481C1C}">
              <a14:useLocalDpi xmlns:a14="http://schemas.microsoft.com/office/drawing/2010/main" val="0"/>
            </a:ext>
          </a:extLst>
        </a:blip>
        <a:srcRect/>
        <a:stretch>
          <a:fillRect/>
        </a:stretch>
      </xdr:blipFill>
      <xdr:spPr bwMode="auto">
        <a:xfrm>
          <a:off x="1228725" y="309121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1632</xdr:row>
      <xdr:rowOff>19050</xdr:rowOff>
    </xdr:from>
    <xdr:to>
      <xdr:col>2</xdr:col>
      <xdr:colOff>1733550</xdr:colOff>
      <xdr:row>1632</xdr:row>
      <xdr:rowOff>1666875</xdr:rowOff>
    </xdr:to>
    <xdr:pic>
      <xdr:nvPicPr>
        <xdr:cNvPr id="1632" name="Picture 1631"/>
        <xdr:cNvPicPr>
          <a:picLocks noChangeAspect="1" noChangeArrowheads="1"/>
        </xdr:cNvPicPr>
      </xdr:nvPicPr>
      <xdr:blipFill>
        <a:blip xmlns:r="http://schemas.openxmlformats.org/officeDocument/2006/relationships" r:embed="rId1631">
          <a:extLst>
            <a:ext uri="{28A0092B-C50C-407E-A947-70E740481C1C}">
              <a14:useLocalDpi xmlns:a14="http://schemas.microsoft.com/office/drawing/2010/main" val="0"/>
            </a:ext>
          </a:extLst>
        </a:blip>
        <a:srcRect/>
        <a:stretch>
          <a:fillRect/>
        </a:stretch>
      </xdr:blipFill>
      <xdr:spPr bwMode="auto">
        <a:xfrm>
          <a:off x="1228725" y="309312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1633</xdr:row>
      <xdr:rowOff>19050</xdr:rowOff>
    </xdr:from>
    <xdr:to>
      <xdr:col>2</xdr:col>
      <xdr:colOff>1733550</xdr:colOff>
      <xdr:row>1633</xdr:row>
      <xdr:rowOff>1666875</xdr:rowOff>
    </xdr:to>
    <xdr:pic>
      <xdr:nvPicPr>
        <xdr:cNvPr id="1633" name="Picture 1632"/>
        <xdr:cNvPicPr>
          <a:picLocks noChangeAspect="1" noChangeArrowheads="1"/>
        </xdr:cNvPicPr>
      </xdr:nvPicPr>
      <xdr:blipFill>
        <a:blip xmlns:r="http://schemas.openxmlformats.org/officeDocument/2006/relationships" r:embed="rId1632">
          <a:extLst>
            <a:ext uri="{28A0092B-C50C-407E-A947-70E740481C1C}">
              <a14:useLocalDpi xmlns:a14="http://schemas.microsoft.com/office/drawing/2010/main" val="0"/>
            </a:ext>
          </a:extLst>
        </a:blip>
        <a:srcRect/>
        <a:stretch>
          <a:fillRect/>
        </a:stretch>
      </xdr:blipFill>
      <xdr:spPr bwMode="auto">
        <a:xfrm>
          <a:off x="1228725" y="3095043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1634</xdr:row>
      <xdr:rowOff>19050</xdr:rowOff>
    </xdr:from>
    <xdr:to>
      <xdr:col>2</xdr:col>
      <xdr:colOff>1733550</xdr:colOff>
      <xdr:row>1634</xdr:row>
      <xdr:rowOff>1666875</xdr:rowOff>
    </xdr:to>
    <xdr:pic>
      <xdr:nvPicPr>
        <xdr:cNvPr id="1634" name="Picture 1633"/>
        <xdr:cNvPicPr>
          <a:picLocks noChangeAspect="1" noChangeArrowheads="1"/>
        </xdr:cNvPicPr>
      </xdr:nvPicPr>
      <xdr:blipFill>
        <a:blip xmlns:r="http://schemas.openxmlformats.org/officeDocument/2006/relationships" r:embed="rId1633">
          <a:extLst>
            <a:ext uri="{28A0092B-C50C-407E-A947-70E740481C1C}">
              <a14:useLocalDpi xmlns:a14="http://schemas.microsoft.com/office/drawing/2010/main" val="0"/>
            </a:ext>
          </a:extLst>
        </a:blip>
        <a:srcRect/>
        <a:stretch>
          <a:fillRect/>
        </a:stretch>
      </xdr:blipFill>
      <xdr:spPr bwMode="auto">
        <a:xfrm>
          <a:off x="1228725" y="3096958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1635</xdr:row>
      <xdr:rowOff>19050</xdr:rowOff>
    </xdr:from>
    <xdr:to>
      <xdr:col>2</xdr:col>
      <xdr:colOff>1733550</xdr:colOff>
      <xdr:row>1635</xdr:row>
      <xdr:rowOff>1666875</xdr:rowOff>
    </xdr:to>
    <xdr:pic>
      <xdr:nvPicPr>
        <xdr:cNvPr id="1635" name="Picture 1634"/>
        <xdr:cNvPicPr>
          <a:picLocks noChangeAspect="1" noChangeArrowheads="1"/>
        </xdr:cNvPicPr>
      </xdr:nvPicPr>
      <xdr:blipFill>
        <a:blip xmlns:r="http://schemas.openxmlformats.org/officeDocument/2006/relationships" r:embed="rId1634">
          <a:extLst>
            <a:ext uri="{28A0092B-C50C-407E-A947-70E740481C1C}">
              <a14:useLocalDpi xmlns:a14="http://schemas.microsoft.com/office/drawing/2010/main" val="0"/>
            </a:ext>
          </a:extLst>
        </a:blip>
        <a:srcRect/>
        <a:stretch>
          <a:fillRect/>
        </a:stretch>
      </xdr:blipFill>
      <xdr:spPr bwMode="auto">
        <a:xfrm>
          <a:off x="1228725" y="3098873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1636</xdr:row>
      <xdr:rowOff>19050</xdr:rowOff>
    </xdr:from>
    <xdr:to>
      <xdr:col>2</xdr:col>
      <xdr:colOff>1733550</xdr:colOff>
      <xdr:row>1636</xdr:row>
      <xdr:rowOff>1666875</xdr:rowOff>
    </xdr:to>
    <xdr:pic>
      <xdr:nvPicPr>
        <xdr:cNvPr id="1636" name="Picture 1635"/>
        <xdr:cNvPicPr>
          <a:picLocks noChangeAspect="1" noChangeArrowheads="1"/>
        </xdr:cNvPicPr>
      </xdr:nvPicPr>
      <xdr:blipFill>
        <a:blip xmlns:r="http://schemas.openxmlformats.org/officeDocument/2006/relationships" r:embed="rId1635">
          <a:extLst>
            <a:ext uri="{28A0092B-C50C-407E-A947-70E740481C1C}">
              <a14:useLocalDpi xmlns:a14="http://schemas.microsoft.com/office/drawing/2010/main" val="0"/>
            </a:ext>
          </a:extLst>
        </a:blip>
        <a:srcRect/>
        <a:stretch>
          <a:fillRect/>
        </a:stretch>
      </xdr:blipFill>
      <xdr:spPr bwMode="auto">
        <a:xfrm>
          <a:off x="1228725" y="3100787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1637</xdr:row>
      <xdr:rowOff>19050</xdr:rowOff>
    </xdr:from>
    <xdr:to>
      <xdr:col>2</xdr:col>
      <xdr:colOff>1733550</xdr:colOff>
      <xdr:row>1637</xdr:row>
      <xdr:rowOff>1666875</xdr:rowOff>
    </xdr:to>
    <xdr:pic>
      <xdr:nvPicPr>
        <xdr:cNvPr id="1637" name="Picture 1636"/>
        <xdr:cNvPicPr>
          <a:picLocks noChangeAspect="1" noChangeArrowheads="1"/>
        </xdr:cNvPicPr>
      </xdr:nvPicPr>
      <xdr:blipFill>
        <a:blip xmlns:r="http://schemas.openxmlformats.org/officeDocument/2006/relationships" r:embed="rId1636">
          <a:extLst>
            <a:ext uri="{28A0092B-C50C-407E-A947-70E740481C1C}">
              <a14:useLocalDpi xmlns:a14="http://schemas.microsoft.com/office/drawing/2010/main" val="0"/>
            </a:ext>
          </a:extLst>
        </a:blip>
        <a:srcRect/>
        <a:stretch>
          <a:fillRect/>
        </a:stretch>
      </xdr:blipFill>
      <xdr:spPr bwMode="auto">
        <a:xfrm>
          <a:off x="1228725" y="310270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1638</xdr:row>
      <xdr:rowOff>19050</xdr:rowOff>
    </xdr:from>
    <xdr:to>
      <xdr:col>2</xdr:col>
      <xdr:colOff>1733550</xdr:colOff>
      <xdr:row>1638</xdr:row>
      <xdr:rowOff>1666875</xdr:rowOff>
    </xdr:to>
    <xdr:pic>
      <xdr:nvPicPr>
        <xdr:cNvPr id="1638" name="Picture 1637"/>
        <xdr:cNvPicPr>
          <a:picLocks noChangeAspect="1" noChangeArrowheads="1"/>
        </xdr:cNvPicPr>
      </xdr:nvPicPr>
      <xdr:blipFill>
        <a:blip xmlns:r="http://schemas.openxmlformats.org/officeDocument/2006/relationships" r:embed="rId1637">
          <a:extLst>
            <a:ext uri="{28A0092B-C50C-407E-A947-70E740481C1C}">
              <a14:useLocalDpi xmlns:a14="http://schemas.microsoft.com/office/drawing/2010/main" val="0"/>
            </a:ext>
          </a:extLst>
        </a:blip>
        <a:srcRect/>
        <a:stretch>
          <a:fillRect/>
        </a:stretch>
      </xdr:blipFill>
      <xdr:spPr bwMode="auto">
        <a:xfrm>
          <a:off x="1228725" y="310461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1639</xdr:row>
      <xdr:rowOff>19050</xdr:rowOff>
    </xdr:from>
    <xdr:to>
      <xdr:col>2</xdr:col>
      <xdr:colOff>1733550</xdr:colOff>
      <xdr:row>1639</xdr:row>
      <xdr:rowOff>1666875</xdr:rowOff>
    </xdr:to>
    <xdr:pic>
      <xdr:nvPicPr>
        <xdr:cNvPr id="1639" name="Picture 1638"/>
        <xdr:cNvPicPr>
          <a:picLocks noChangeAspect="1" noChangeArrowheads="1"/>
        </xdr:cNvPicPr>
      </xdr:nvPicPr>
      <xdr:blipFill>
        <a:blip xmlns:r="http://schemas.openxmlformats.org/officeDocument/2006/relationships" r:embed="rId1638">
          <a:extLst>
            <a:ext uri="{28A0092B-C50C-407E-A947-70E740481C1C}">
              <a14:useLocalDpi xmlns:a14="http://schemas.microsoft.com/office/drawing/2010/main" val="0"/>
            </a:ext>
          </a:extLst>
        </a:blip>
        <a:srcRect/>
        <a:stretch>
          <a:fillRect/>
        </a:stretch>
      </xdr:blipFill>
      <xdr:spPr bwMode="auto">
        <a:xfrm>
          <a:off x="1228725" y="3106531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1640</xdr:row>
      <xdr:rowOff>19050</xdr:rowOff>
    </xdr:from>
    <xdr:to>
      <xdr:col>2</xdr:col>
      <xdr:colOff>1733550</xdr:colOff>
      <xdr:row>1640</xdr:row>
      <xdr:rowOff>1666875</xdr:rowOff>
    </xdr:to>
    <xdr:pic>
      <xdr:nvPicPr>
        <xdr:cNvPr id="1640" name="Picture 1639"/>
        <xdr:cNvPicPr>
          <a:picLocks noChangeAspect="1" noChangeArrowheads="1"/>
        </xdr:cNvPicPr>
      </xdr:nvPicPr>
      <xdr:blipFill>
        <a:blip xmlns:r="http://schemas.openxmlformats.org/officeDocument/2006/relationships" r:embed="rId1639">
          <a:extLst>
            <a:ext uri="{28A0092B-C50C-407E-A947-70E740481C1C}">
              <a14:useLocalDpi xmlns:a14="http://schemas.microsoft.com/office/drawing/2010/main" val="0"/>
            </a:ext>
          </a:extLst>
        </a:blip>
        <a:srcRect/>
        <a:stretch>
          <a:fillRect/>
        </a:stretch>
      </xdr:blipFill>
      <xdr:spPr bwMode="auto">
        <a:xfrm>
          <a:off x="1228725" y="3108445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1641</xdr:row>
      <xdr:rowOff>19050</xdr:rowOff>
    </xdr:from>
    <xdr:to>
      <xdr:col>2</xdr:col>
      <xdr:colOff>1733550</xdr:colOff>
      <xdr:row>1641</xdr:row>
      <xdr:rowOff>1666875</xdr:rowOff>
    </xdr:to>
    <xdr:pic>
      <xdr:nvPicPr>
        <xdr:cNvPr id="1641" name="Picture 1640"/>
        <xdr:cNvPicPr>
          <a:picLocks noChangeAspect="1" noChangeArrowheads="1"/>
        </xdr:cNvPicPr>
      </xdr:nvPicPr>
      <xdr:blipFill>
        <a:blip xmlns:r="http://schemas.openxmlformats.org/officeDocument/2006/relationships" r:embed="rId1640">
          <a:extLst>
            <a:ext uri="{28A0092B-C50C-407E-A947-70E740481C1C}">
              <a14:useLocalDpi xmlns:a14="http://schemas.microsoft.com/office/drawing/2010/main" val="0"/>
            </a:ext>
          </a:extLst>
        </a:blip>
        <a:srcRect/>
        <a:stretch>
          <a:fillRect/>
        </a:stretch>
      </xdr:blipFill>
      <xdr:spPr bwMode="auto">
        <a:xfrm>
          <a:off x="1228725" y="311036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1642</xdr:row>
      <xdr:rowOff>19050</xdr:rowOff>
    </xdr:from>
    <xdr:to>
      <xdr:col>2</xdr:col>
      <xdr:colOff>1733550</xdr:colOff>
      <xdr:row>1642</xdr:row>
      <xdr:rowOff>1666875</xdr:rowOff>
    </xdr:to>
    <xdr:pic>
      <xdr:nvPicPr>
        <xdr:cNvPr id="1642" name="Picture 1641"/>
        <xdr:cNvPicPr>
          <a:picLocks noChangeAspect="1" noChangeArrowheads="1"/>
        </xdr:cNvPicPr>
      </xdr:nvPicPr>
      <xdr:blipFill>
        <a:blip xmlns:r="http://schemas.openxmlformats.org/officeDocument/2006/relationships" r:embed="rId1641">
          <a:extLst>
            <a:ext uri="{28A0092B-C50C-407E-A947-70E740481C1C}">
              <a14:useLocalDpi xmlns:a14="http://schemas.microsoft.com/office/drawing/2010/main" val="0"/>
            </a:ext>
          </a:extLst>
        </a:blip>
        <a:srcRect/>
        <a:stretch>
          <a:fillRect/>
        </a:stretch>
      </xdr:blipFill>
      <xdr:spPr bwMode="auto">
        <a:xfrm>
          <a:off x="1228725" y="311227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1643</xdr:row>
      <xdr:rowOff>19050</xdr:rowOff>
    </xdr:from>
    <xdr:to>
      <xdr:col>2</xdr:col>
      <xdr:colOff>1733550</xdr:colOff>
      <xdr:row>1643</xdr:row>
      <xdr:rowOff>1666875</xdr:rowOff>
    </xdr:to>
    <xdr:pic>
      <xdr:nvPicPr>
        <xdr:cNvPr id="1643" name="Picture 1642"/>
        <xdr:cNvPicPr>
          <a:picLocks noChangeAspect="1" noChangeArrowheads="1"/>
        </xdr:cNvPicPr>
      </xdr:nvPicPr>
      <xdr:blipFill>
        <a:blip xmlns:r="http://schemas.openxmlformats.org/officeDocument/2006/relationships" r:embed="rId1642">
          <a:extLst>
            <a:ext uri="{28A0092B-C50C-407E-A947-70E740481C1C}">
              <a14:useLocalDpi xmlns:a14="http://schemas.microsoft.com/office/drawing/2010/main" val="0"/>
            </a:ext>
          </a:extLst>
        </a:blip>
        <a:srcRect/>
        <a:stretch>
          <a:fillRect/>
        </a:stretch>
      </xdr:blipFill>
      <xdr:spPr bwMode="auto">
        <a:xfrm>
          <a:off x="1228725" y="311418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1644</xdr:row>
      <xdr:rowOff>19050</xdr:rowOff>
    </xdr:from>
    <xdr:to>
      <xdr:col>2</xdr:col>
      <xdr:colOff>1733550</xdr:colOff>
      <xdr:row>1644</xdr:row>
      <xdr:rowOff>1666875</xdr:rowOff>
    </xdr:to>
    <xdr:pic>
      <xdr:nvPicPr>
        <xdr:cNvPr id="1644" name="Picture 1643"/>
        <xdr:cNvPicPr>
          <a:picLocks noChangeAspect="1" noChangeArrowheads="1"/>
        </xdr:cNvPicPr>
      </xdr:nvPicPr>
      <xdr:blipFill>
        <a:blip xmlns:r="http://schemas.openxmlformats.org/officeDocument/2006/relationships" r:embed="rId1643">
          <a:extLst>
            <a:ext uri="{28A0092B-C50C-407E-A947-70E740481C1C}">
              <a14:useLocalDpi xmlns:a14="http://schemas.microsoft.com/office/drawing/2010/main" val="0"/>
            </a:ext>
          </a:extLst>
        </a:blip>
        <a:srcRect/>
        <a:stretch>
          <a:fillRect/>
        </a:stretch>
      </xdr:blipFill>
      <xdr:spPr bwMode="auto">
        <a:xfrm>
          <a:off x="1228725" y="3116103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1645</xdr:row>
      <xdr:rowOff>19050</xdr:rowOff>
    </xdr:from>
    <xdr:to>
      <xdr:col>2</xdr:col>
      <xdr:colOff>1733550</xdr:colOff>
      <xdr:row>1645</xdr:row>
      <xdr:rowOff>1666875</xdr:rowOff>
    </xdr:to>
    <xdr:pic>
      <xdr:nvPicPr>
        <xdr:cNvPr id="1645" name="Picture 1644"/>
        <xdr:cNvPicPr>
          <a:picLocks noChangeAspect="1" noChangeArrowheads="1"/>
        </xdr:cNvPicPr>
      </xdr:nvPicPr>
      <xdr:blipFill>
        <a:blip xmlns:r="http://schemas.openxmlformats.org/officeDocument/2006/relationships" r:embed="rId1644">
          <a:extLst>
            <a:ext uri="{28A0092B-C50C-407E-A947-70E740481C1C}">
              <a14:useLocalDpi xmlns:a14="http://schemas.microsoft.com/office/drawing/2010/main" val="0"/>
            </a:ext>
          </a:extLst>
        </a:blip>
        <a:srcRect/>
        <a:stretch>
          <a:fillRect/>
        </a:stretch>
      </xdr:blipFill>
      <xdr:spPr bwMode="auto">
        <a:xfrm>
          <a:off x="1228725" y="3118018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1646</xdr:row>
      <xdr:rowOff>19050</xdr:rowOff>
    </xdr:from>
    <xdr:to>
      <xdr:col>2</xdr:col>
      <xdr:colOff>1733550</xdr:colOff>
      <xdr:row>1646</xdr:row>
      <xdr:rowOff>1666875</xdr:rowOff>
    </xdr:to>
    <xdr:pic>
      <xdr:nvPicPr>
        <xdr:cNvPr id="1646" name="Picture 1645"/>
        <xdr:cNvPicPr>
          <a:picLocks noChangeAspect="1" noChangeArrowheads="1"/>
        </xdr:cNvPicPr>
      </xdr:nvPicPr>
      <xdr:blipFill>
        <a:blip xmlns:r="http://schemas.openxmlformats.org/officeDocument/2006/relationships" r:embed="rId1645">
          <a:extLst>
            <a:ext uri="{28A0092B-C50C-407E-A947-70E740481C1C}">
              <a14:useLocalDpi xmlns:a14="http://schemas.microsoft.com/office/drawing/2010/main" val="0"/>
            </a:ext>
          </a:extLst>
        </a:blip>
        <a:srcRect/>
        <a:stretch>
          <a:fillRect/>
        </a:stretch>
      </xdr:blipFill>
      <xdr:spPr bwMode="auto">
        <a:xfrm>
          <a:off x="1228725" y="3119932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1647</xdr:row>
      <xdr:rowOff>19050</xdr:rowOff>
    </xdr:from>
    <xdr:to>
      <xdr:col>2</xdr:col>
      <xdr:colOff>1733550</xdr:colOff>
      <xdr:row>1647</xdr:row>
      <xdr:rowOff>1666875</xdr:rowOff>
    </xdr:to>
    <xdr:pic>
      <xdr:nvPicPr>
        <xdr:cNvPr id="1647" name="Picture 1646"/>
        <xdr:cNvPicPr>
          <a:picLocks noChangeAspect="1" noChangeArrowheads="1"/>
        </xdr:cNvPicPr>
      </xdr:nvPicPr>
      <xdr:blipFill>
        <a:blip xmlns:r="http://schemas.openxmlformats.org/officeDocument/2006/relationships" r:embed="rId1646">
          <a:extLst>
            <a:ext uri="{28A0092B-C50C-407E-A947-70E740481C1C}">
              <a14:useLocalDpi xmlns:a14="http://schemas.microsoft.com/office/drawing/2010/main" val="0"/>
            </a:ext>
          </a:extLst>
        </a:blip>
        <a:srcRect/>
        <a:stretch>
          <a:fillRect/>
        </a:stretch>
      </xdr:blipFill>
      <xdr:spPr bwMode="auto">
        <a:xfrm>
          <a:off x="1228725" y="3121847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1648</xdr:row>
      <xdr:rowOff>19050</xdr:rowOff>
    </xdr:from>
    <xdr:to>
      <xdr:col>2</xdr:col>
      <xdr:colOff>1733550</xdr:colOff>
      <xdr:row>1648</xdr:row>
      <xdr:rowOff>1666875</xdr:rowOff>
    </xdr:to>
    <xdr:pic>
      <xdr:nvPicPr>
        <xdr:cNvPr id="1648" name="Picture 1647"/>
        <xdr:cNvPicPr>
          <a:picLocks noChangeAspect="1" noChangeArrowheads="1"/>
        </xdr:cNvPicPr>
      </xdr:nvPicPr>
      <xdr:blipFill>
        <a:blip xmlns:r="http://schemas.openxmlformats.org/officeDocument/2006/relationships" r:embed="rId1647">
          <a:extLst>
            <a:ext uri="{28A0092B-C50C-407E-A947-70E740481C1C}">
              <a14:useLocalDpi xmlns:a14="http://schemas.microsoft.com/office/drawing/2010/main" val="0"/>
            </a:ext>
          </a:extLst>
        </a:blip>
        <a:srcRect/>
        <a:stretch>
          <a:fillRect/>
        </a:stretch>
      </xdr:blipFill>
      <xdr:spPr bwMode="auto">
        <a:xfrm>
          <a:off x="1228725" y="3123761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1649</xdr:row>
      <xdr:rowOff>19050</xdr:rowOff>
    </xdr:from>
    <xdr:to>
      <xdr:col>2</xdr:col>
      <xdr:colOff>1733550</xdr:colOff>
      <xdr:row>1649</xdr:row>
      <xdr:rowOff>1666875</xdr:rowOff>
    </xdr:to>
    <xdr:pic>
      <xdr:nvPicPr>
        <xdr:cNvPr id="1649" name="Picture 1648"/>
        <xdr:cNvPicPr>
          <a:picLocks noChangeAspect="1" noChangeArrowheads="1"/>
        </xdr:cNvPicPr>
      </xdr:nvPicPr>
      <xdr:blipFill>
        <a:blip xmlns:r="http://schemas.openxmlformats.org/officeDocument/2006/relationships" r:embed="rId1648">
          <a:extLst>
            <a:ext uri="{28A0092B-C50C-407E-A947-70E740481C1C}">
              <a14:useLocalDpi xmlns:a14="http://schemas.microsoft.com/office/drawing/2010/main" val="0"/>
            </a:ext>
          </a:extLst>
        </a:blip>
        <a:srcRect/>
        <a:stretch>
          <a:fillRect/>
        </a:stretch>
      </xdr:blipFill>
      <xdr:spPr bwMode="auto">
        <a:xfrm>
          <a:off x="1228725" y="3125676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1650</xdr:row>
      <xdr:rowOff>19050</xdr:rowOff>
    </xdr:from>
    <xdr:to>
      <xdr:col>2</xdr:col>
      <xdr:colOff>1733550</xdr:colOff>
      <xdr:row>1650</xdr:row>
      <xdr:rowOff>1666875</xdr:rowOff>
    </xdr:to>
    <xdr:pic>
      <xdr:nvPicPr>
        <xdr:cNvPr id="1650" name="Picture 1649"/>
        <xdr:cNvPicPr>
          <a:picLocks noChangeAspect="1" noChangeArrowheads="1"/>
        </xdr:cNvPicPr>
      </xdr:nvPicPr>
      <xdr:blipFill>
        <a:blip xmlns:r="http://schemas.openxmlformats.org/officeDocument/2006/relationships" r:embed="rId1649">
          <a:extLst>
            <a:ext uri="{28A0092B-C50C-407E-A947-70E740481C1C}">
              <a14:useLocalDpi xmlns:a14="http://schemas.microsoft.com/office/drawing/2010/main" val="0"/>
            </a:ext>
          </a:extLst>
        </a:blip>
        <a:srcRect/>
        <a:stretch>
          <a:fillRect/>
        </a:stretch>
      </xdr:blipFill>
      <xdr:spPr bwMode="auto">
        <a:xfrm>
          <a:off x="1228725" y="312759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1651</xdr:row>
      <xdr:rowOff>19050</xdr:rowOff>
    </xdr:from>
    <xdr:to>
      <xdr:col>2</xdr:col>
      <xdr:colOff>1733550</xdr:colOff>
      <xdr:row>1651</xdr:row>
      <xdr:rowOff>1666875</xdr:rowOff>
    </xdr:to>
    <xdr:pic>
      <xdr:nvPicPr>
        <xdr:cNvPr id="1651" name="Picture 1650"/>
        <xdr:cNvPicPr>
          <a:picLocks noChangeAspect="1" noChangeArrowheads="1"/>
        </xdr:cNvPicPr>
      </xdr:nvPicPr>
      <xdr:blipFill>
        <a:blip xmlns:r="http://schemas.openxmlformats.org/officeDocument/2006/relationships" r:embed="rId1650">
          <a:extLst>
            <a:ext uri="{28A0092B-C50C-407E-A947-70E740481C1C}">
              <a14:useLocalDpi xmlns:a14="http://schemas.microsoft.com/office/drawing/2010/main" val="0"/>
            </a:ext>
          </a:extLst>
        </a:blip>
        <a:srcRect/>
        <a:stretch>
          <a:fillRect/>
        </a:stretch>
      </xdr:blipFill>
      <xdr:spPr bwMode="auto">
        <a:xfrm>
          <a:off x="1228725" y="3129505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1652</xdr:row>
      <xdr:rowOff>19050</xdr:rowOff>
    </xdr:from>
    <xdr:to>
      <xdr:col>2</xdr:col>
      <xdr:colOff>1733550</xdr:colOff>
      <xdr:row>1652</xdr:row>
      <xdr:rowOff>1666875</xdr:rowOff>
    </xdr:to>
    <xdr:pic>
      <xdr:nvPicPr>
        <xdr:cNvPr id="1652" name="Picture 1651"/>
        <xdr:cNvPicPr>
          <a:picLocks noChangeAspect="1" noChangeArrowheads="1"/>
        </xdr:cNvPicPr>
      </xdr:nvPicPr>
      <xdr:blipFill>
        <a:blip xmlns:r="http://schemas.openxmlformats.org/officeDocument/2006/relationships" r:embed="rId1651">
          <a:extLst>
            <a:ext uri="{28A0092B-C50C-407E-A947-70E740481C1C}">
              <a14:useLocalDpi xmlns:a14="http://schemas.microsoft.com/office/drawing/2010/main" val="0"/>
            </a:ext>
          </a:extLst>
        </a:blip>
        <a:srcRect/>
        <a:stretch>
          <a:fillRect/>
        </a:stretch>
      </xdr:blipFill>
      <xdr:spPr bwMode="auto">
        <a:xfrm>
          <a:off x="1228725" y="3131419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1653</xdr:row>
      <xdr:rowOff>19050</xdr:rowOff>
    </xdr:from>
    <xdr:to>
      <xdr:col>2</xdr:col>
      <xdr:colOff>1733550</xdr:colOff>
      <xdr:row>1653</xdr:row>
      <xdr:rowOff>1666875</xdr:rowOff>
    </xdr:to>
    <xdr:pic>
      <xdr:nvPicPr>
        <xdr:cNvPr id="1653" name="Picture 1652"/>
        <xdr:cNvPicPr>
          <a:picLocks noChangeAspect="1" noChangeArrowheads="1"/>
        </xdr:cNvPicPr>
      </xdr:nvPicPr>
      <xdr:blipFill>
        <a:blip xmlns:r="http://schemas.openxmlformats.org/officeDocument/2006/relationships" r:embed="rId1652">
          <a:extLst>
            <a:ext uri="{28A0092B-C50C-407E-A947-70E740481C1C}">
              <a14:useLocalDpi xmlns:a14="http://schemas.microsoft.com/office/drawing/2010/main" val="0"/>
            </a:ext>
          </a:extLst>
        </a:blip>
        <a:srcRect/>
        <a:stretch>
          <a:fillRect/>
        </a:stretch>
      </xdr:blipFill>
      <xdr:spPr bwMode="auto">
        <a:xfrm>
          <a:off x="1228725" y="313333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1654</xdr:row>
      <xdr:rowOff>19050</xdr:rowOff>
    </xdr:from>
    <xdr:to>
      <xdr:col>2</xdr:col>
      <xdr:colOff>1733550</xdr:colOff>
      <xdr:row>1654</xdr:row>
      <xdr:rowOff>1666875</xdr:rowOff>
    </xdr:to>
    <xdr:pic>
      <xdr:nvPicPr>
        <xdr:cNvPr id="1654" name="Picture 1653"/>
        <xdr:cNvPicPr>
          <a:picLocks noChangeAspect="1" noChangeArrowheads="1"/>
        </xdr:cNvPicPr>
      </xdr:nvPicPr>
      <xdr:blipFill>
        <a:blip xmlns:r="http://schemas.openxmlformats.org/officeDocument/2006/relationships" r:embed="rId1653">
          <a:extLst>
            <a:ext uri="{28A0092B-C50C-407E-A947-70E740481C1C}">
              <a14:useLocalDpi xmlns:a14="http://schemas.microsoft.com/office/drawing/2010/main" val="0"/>
            </a:ext>
          </a:extLst>
        </a:blip>
        <a:srcRect/>
        <a:stretch>
          <a:fillRect/>
        </a:stretch>
      </xdr:blipFill>
      <xdr:spPr bwMode="auto">
        <a:xfrm>
          <a:off x="1228725" y="313524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1655</xdr:row>
      <xdr:rowOff>19050</xdr:rowOff>
    </xdr:from>
    <xdr:to>
      <xdr:col>2</xdr:col>
      <xdr:colOff>1733550</xdr:colOff>
      <xdr:row>1655</xdr:row>
      <xdr:rowOff>1666875</xdr:rowOff>
    </xdr:to>
    <xdr:pic>
      <xdr:nvPicPr>
        <xdr:cNvPr id="1655" name="Picture 1654"/>
        <xdr:cNvPicPr>
          <a:picLocks noChangeAspect="1" noChangeArrowheads="1"/>
        </xdr:cNvPicPr>
      </xdr:nvPicPr>
      <xdr:blipFill>
        <a:blip xmlns:r="http://schemas.openxmlformats.org/officeDocument/2006/relationships" r:embed="rId1654">
          <a:extLst>
            <a:ext uri="{28A0092B-C50C-407E-A947-70E740481C1C}">
              <a14:useLocalDpi xmlns:a14="http://schemas.microsoft.com/office/drawing/2010/main" val="0"/>
            </a:ext>
          </a:extLst>
        </a:blip>
        <a:srcRect/>
        <a:stretch>
          <a:fillRect/>
        </a:stretch>
      </xdr:blipFill>
      <xdr:spPr bwMode="auto">
        <a:xfrm>
          <a:off x="1228725" y="3137163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1656</xdr:row>
      <xdr:rowOff>19050</xdr:rowOff>
    </xdr:from>
    <xdr:to>
      <xdr:col>2</xdr:col>
      <xdr:colOff>1733550</xdr:colOff>
      <xdr:row>1656</xdr:row>
      <xdr:rowOff>1666875</xdr:rowOff>
    </xdr:to>
    <xdr:pic>
      <xdr:nvPicPr>
        <xdr:cNvPr id="1656" name="Picture 1655"/>
        <xdr:cNvPicPr>
          <a:picLocks noChangeAspect="1" noChangeArrowheads="1"/>
        </xdr:cNvPicPr>
      </xdr:nvPicPr>
      <xdr:blipFill>
        <a:blip xmlns:r="http://schemas.openxmlformats.org/officeDocument/2006/relationships" r:embed="rId1655">
          <a:extLst>
            <a:ext uri="{28A0092B-C50C-407E-A947-70E740481C1C}">
              <a14:useLocalDpi xmlns:a14="http://schemas.microsoft.com/office/drawing/2010/main" val="0"/>
            </a:ext>
          </a:extLst>
        </a:blip>
        <a:srcRect/>
        <a:stretch>
          <a:fillRect/>
        </a:stretch>
      </xdr:blipFill>
      <xdr:spPr bwMode="auto">
        <a:xfrm>
          <a:off x="1228725" y="3139078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1657</xdr:row>
      <xdr:rowOff>19050</xdr:rowOff>
    </xdr:from>
    <xdr:to>
      <xdr:col>2</xdr:col>
      <xdr:colOff>1733550</xdr:colOff>
      <xdr:row>1657</xdr:row>
      <xdr:rowOff>1666875</xdr:rowOff>
    </xdr:to>
    <xdr:pic>
      <xdr:nvPicPr>
        <xdr:cNvPr id="1657" name="Picture 1656"/>
        <xdr:cNvPicPr>
          <a:picLocks noChangeAspect="1" noChangeArrowheads="1"/>
        </xdr:cNvPicPr>
      </xdr:nvPicPr>
      <xdr:blipFill>
        <a:blip xmlns:r="http://schemas.openxmlformats.org/officeDocument/2006/relationships" r:embed="rId1656">
          <a:extLst>
            <a:ext uri="{28A0092B-C50C-407E-A947-70E740481C1C}">
              <a14:useLocalDpi xmlns:a14="http://schemas.microsoft.com/office/drawing/2010/main" val="0"/>
            </a:ext>
          </a:extLst>
        </a:blip>
        <a:srcRect/>
        <a:stretch>
          <a:fillRect/>
        </a:stretch>
      </xdr:blipFill>
      <xdr:spPr bwMode="auto">
        <a:xfrm>
          <a:off x="1228725" y="3140992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1658</xdr:row>
      <xdr:rowOff>19050</xdr:rowOff>
    </xdr:from>
    <xdr:to>
      <xdr:col>2</xdr:col>
      <xdr:colOff>1733550</xdr:colOff>
      <xdr:row>1658</xdr:row>
      <xdr:rowOff>1666875</xdr:rowOff>
    </xdr:to>
    <xdr:pic>
      <xdr:nvPicPr>
        <xdr:cNvPr id="1658" name="Picture 1657"/>
        <xdr:cNvPicPr>
          <a:picLocks noChangeAspect="1" noChangeArrowheads="1"/>
        </xdr:cNvPicPr>
      </xdr:nvPicPr>
      <xdr:blipFill>
        <a:blip xmlns:r="http://schemas.openxmlformats.org/officeDocument/2006/relationships" r:embed="rId1657">
          <a:extLst>
            <a:ext uri="{28A0092B-C50C-407E-A947-70E740481C1C}">
              <a14:useLocalDpi xmlns:a14="http://schemas.microsoft.com/office/drawing/2010/main" val="0"/>
            </a:ext>
          </a:extLst>
        </a:blip>
        <a:srcRect/>
        <a:stretch>
          <a:fillRect/>
        </a:stretch>
      </xdr:blipFill>
      <xdr:spPr bwMode="auto">
        <a:xfrm>
          <a:off x="1228725" y="3142907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1659</xdr:row>
      <xdr:rowOff>19050</xdr:rowOff>
    </xdr:from>
    <xdr:to>
      <xdr:col>2</xdr:col>
      <xdr:colOff>1733550</xdr:colOff>
      <xdr:row>1659</xdr:row>
      <xdr:rowOff>1666875</xdr:rowOff>
    </xdr:to>
    <xdr:pic>
      <xdr:nvPicPr>
        <xdr:cNvPr id="1659" name="Picture 1658"/>
        <xdr:cNvPicPr>
          <a:picLocks noChangeAspect="1" noChangeArrowheads="1"/>
        </xdr:cNvPicPr>
      </xdr:nvPicPr>
      <xdr:blipFill>
        <a:blip xmlns:r="http://schemas.openxmlformats.org/officeDocument/2006/relationships" r:embed="rId1658">
          <a:extLst>
            <a:ext uri="{28A0092B-C50C-407E-A947-70E740481C1C}">
              <a14:useLocalDpi xmlns:a14="http://schemas.microsoft.com/office/drawing/2010/main" val="0"/>
            </a:ext>
          </a:extLst>
        </a:blip>
        <a:srcRect/>
        <a:stretch>
          <a:fillRect/>
        </a:stretch>
      </xdr:blipFill>
      <xdr:spPr bwMode="auto">
        <a:xfrm>
          <a:off x="1228725" y="3144821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1660</xdr:row>
      <xdr:rowOff>19050</xdr:rowOff>
    </xdr:from>
    <xdr:to>
      <xdr:col>2</xdr:col>
      <xdr:colOff>1733550</xdr:colOff>
      <xdr:row>1660</xdr:row>
      <xdr:rowOff>1666875</xdr:rowOff>
    </xdr:to>
    <xdr:pic>
      <xdr:nvPicPr>
        <xdr:cNvPr id="1660" name="Picture 1659"/>
        <xdr:cNvPicPr>
          <a:picLocks noChangeAspect="1" noChangeArrowheads="1"/>
        </xdr:cNvPicPr>
      </xdr:nvPicPr>
      <xdr:blipFill>
        <a:blip xmlns:r="http://schemas.openxmlformats.org/officeDocument/2006/relationships" r:embed="rId1659">
          <a:extLst>
            <a:ext uri="{28A0092B-C50C-407E-A947-70E740481C1C}">
              <a14:useLocalDpi xmlns:a14="http://schemas.microsoft.com/office/drawing/2010/main" val="0"/>
            </a:ext>
          </a:extLst>
        </a:blip>
        <a:srcRect/>
        <a:stretch>
          <a:fillRect/>
        </a:stretch>
      </xdr:blipFill>
      <xdr:spPr bwMode="auto">
        <a:xfrm>
          <a:off x="1228725" y="3146736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1661</xdr:row>
      <xdr:rowOff>19050</xdr:rowOff>
    </xdr:from>
    <xdr:to>
      <xdr:col>2</xdr:col>
      <xdr:colOff>1733550</xdr:colOff>
      <xdr:row>1661</xdr:row>
      <xdr:rowOff>1666875</xdr:rowOff>
    </xdr:to>
    <xdr:pic>
      <xdr:nvPicPr>
        <xdr:cNvPr id="1661" name="Picture 1660"/>
        <xdr:cNvPicPr>
          <a:picLocks noChangeAspect="1" noChangeArrowheads="1"/>
        </xdr:cNvPicPr>
      </xdr:nvPicPr>
      <xdr:blipFill>
        <a:blip xmlns:r="http://schemas.openxmlformats.org/officeDocument/2006/relationships" r:embed="rId1660">
          <a:extLst>
            <a:ext uri="{28A0092B-C50C-407E-A947-70E740481C1C}">
              <a14:useLocalDpi xmlns:a14="http://schemas.microsoft.com/office/drawing/2010/main" val="0"/>
            </a:ext>
          </a:extLst>
        </a:blip>
        <a:srcRect/>
        <a:stretch>
          <a:fillRect/>
        </a:stretch>
      </xdr:blipFill>
      <xdr:spPr bwMode="auto">
        <a:xfrm>
          <a:off x="1228725" y="3148650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1662</xdr:row>
      <xdr:rowOff>19050</xdr:rowOff>
    </xdr:from>
    <xdr:to>
      <xdr:col>2</xdr:col>
      <xdr:colOff>1733550</xdr:colOff>
      <xdr:row>1662</xdr:row>
      <xdr:rowOff>1666875</xdr:rowOff>
    </xdr:to>
    <xdr:pic>
      <xdr:nvPicPr>
        <xdr:cNvPr id="1662" name="Picture 1661"/>
        <xdr:cNvPicPr>
          <a:picLocks noChangeAspect="1" noChangeArrowheads="1"/>
        </xdr:cNvPicPr>
      </xdr:nvPicPr>
      <xdr:blipFill>
        <a:blip xmlns:r="http://schemas.openxmlformats.org/officeDocument/2006/relationships" r:embed="rId1661">
          <a:extLst>
            <a:ext uri="{28A0092B-C50C-407E-A947-70E740481C1C}">
              <a14:useLocalDpi xmlns:a14="http://schemas.microsoft.com/office/drawing/2010/main" val="0"/>
            </a:ext>
          </a:extLst>
        </a:blip>
        <a:srcRect/>
        <a:stretch>
          <a:fillRect/>
        </a:stretch>
      </xdr:blipFill>
      <xdr:spPr bwMode="auto">
        <a:xfrm>
          <a:off x="1228725" y="3150565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1663</xdr:row>
      <xdr:rowOff>19050</xdr:rowOff>
    </xdr:from>
    <xdr:to>
      <xdr:col>2</xdr:col>
      <xdr:colOff>1733550</xdr:colOff>
      <xdr:row>1663</xdr:row>
      <xdr:rowOff>1666875</xdr:rowOff>
    </xdr:to>
    <xdr:pic>
      <xdr:nvPicPr>
        <xdr:cNvPr id="1663" name="Picture 1662"/>
        <xdr:cNvPicPr>
          <a:picLocks noChangeAspect="1" noChangeArrowheads="1"/>
        </xdr:cNvPicPr>
      </xdr:nvPicPr>
      <xdr:blipFill>
        <a:blip xmlns:r="http://schemas.openxmlformats.org/officeDocument/2006/relationships" r:embed="rId1662">
          <a:extLst>
            <a:ext uri="{28A0092B-C50C-407E-A947-70E740481C1C}">
              <a14:useLocalDpi xmlns:a14="http://schemas.microsoft.com/office/drawing/2010/main" val="0"/>
            </a:ext>
          </a:extLst>
        </a:blip>
        <a:srcRect/>
        <a:stretch>
          <a:fillRect/>
        </a:stretch>
      </xdr:blipFill>
      <xdr:spPr bwMode="auto">
        <a:xfrm>
          <a:off x="1228725" y="3152479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1664</xdr:row>
      <xdr:rowOff>19050</xdr:rowOff>
    </xdr:from>
    <xdr:to>
      <xdr:col>2</xdr:col>
      <xdr:colOff>1733550</xdr:colOff>
      <xdr:row>1664</xdr:row>
      <xdr:rowOff>1666875</xdr:rowOff>
    </xdr:to>
    <xdr:pic>
      <xdr:nvPicPr>
        <xdr:cNvPr id="1664" name="Picture 1663"/>
        <xdr:cNvPicPr>
          <a:picLocks noChangeAspect="1" noChangeArrowheads="1"/>
        </xdr:cNvPicPr>
      </xdr:nvPicPr>
      <xdr:blipFill>
        <a:blip xmlns:r="http://schemas.openxmlformats.org/officeDocument/2006/relationships" r:embed="rId1663">
          <a:extLst>
            <a:ext uri="{28A0092B-C50C-407E-A947-70E740481C1C}">
              <a14:useLocalDpi xmlns:a14="http://schemas.microsoft.com/office/drawing/2010/main" val="0"/>
            </a:ext>
          </a:extLst>
        </a:blip>
        <a:srcRect/>
        <a:stretch>
          <a:fillRect/>
        </a:stretch>
      </xdr:blipFill>
      <xdr:spPr bwMode="auto">
        <a:xfrm>
          <a:off x="1228725" y="315439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1665</xdr:row>
      <xdr:rowOff>19050</xdr:rowOff>
    </xdr:from>
    <xdr:to>
      <xdr:col>2</xdr:col>
      <xdr:colOff>1733550</xdr:colOff>
      <xdr:row>1665</xdr:row>
      <xdr:rowOff>1647825</xdr:rowOff>
    </xdr:to>
    <xdr:pic>
      <xdr:nvPicPr>
        <xdr:cNvPr id="1665" name="Picture 1664"/>
        <xdr:cNvPicPr>
          <a:picLocks noChangeAspect="1" noChangeArrowheads="1"/>
        </xdr:cNvPicPr>
      </xdr:nvPicPr>
      <xdr:blipFill>
        <a:blip xmlns:r="http://schemas.openxmlformats.org/officeDocument/2006/relationships" r:embed="rId1664">
          <a:extLst>
            <a:ext uri="{28A0092B-C50C-407E-A947-70E740481C1C}">
              <a14:useLocalDpi xmlns:a14="http://schemas.microsoft.com/office/drawing/2010/main" val="0"/>
            </a:ext>
          </a:extLst>
        </a:blip>
        <a:srcRect/>
        <a:stretch>
          <a:fillRect/>
        </a:stretch>
      </xdr:blipFill>
      <xdr:spPr bwMode="auto">
        <a:xfrm>
          <a:off x="1228725" y="31563087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1666</xdr:row>
      <xdr:rowOff>19050</xdr:rowOff>
    </xdr:from>
    <xdr:to>
      <xdr:col>2</xdr:col>
      <xdr:colOff>1733550</xdr:colOff>
      <xdr:row>1666</xdr:row>
      <xdr:rowOff>1666875</xdr:rowOff>
    </xdr:to>
    <xdr:pic>
      <xdr:nvPicPr>
        <xdr:cNvPr id="1666" name="Picture 1665"/>
        <xdr:cNvPicPr>
          <a:picLocks noChangeAspect="1" noChangeArrowheads="1"/>
        </xdr:cNvPicPr>
      </xdr:nvPicPr>
      <xdr:blipFill>
        <a:blip xmlns:r="http://schemas.openxmlformats.org/officeDocument/2006/relationships" r:embed="rId1665">
          <a:extLst>
            <a:ext uri="{28A0092B-C50C-407E-A947-70E740481C1C}">
              <a14:useLocalDpi xmlns:a14="http://schemas.microsoft.com/office/drawing/2010/main" val="0"/>
            </a:ext>
          </a:extLst>
        </a:blip>
        <a:srcRect/>
        <a:stretch>
          <a:fillRect/>
        </a:stretch>
      </xdr:blipFill>
      <xdr:spPr bwMode="auto">
        <a:xfrm>
          <a:off x="1228725" y="315820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1667</xdr:row>
      <xdr:rowOff>19050</xdr:rowOff>
    </xdr:from>
    <xdr:to>
      <xdr:col>2</xdr:col>
      <xdr:colOff>1733550</xdr:colOff>
      <xdr:row>1667</xdr:row>
      <xdr:rowOff>1666875</xdr:rowOff>
    </xdr:to>
    <xdr:pic>
      <xdr:nvPicPr>
        <xdr:cNvPr id="1667" name="Picture 1666"/>
        <xdr:cNvPicPr>
          <a:picLocks noChangeAspect="1" noChangeArrowheads="1"/>
        </xdr:cNvPicPr>
      </xdr:nvPicPr>
      <xdr:blipFill>
        <a:blip xmlns:r="http://schemas.openxmlformats.org/officeDocument/2006/relationships" r:embed="rId1666">
          <a:extLst>
            <a:ext uri="{28A0092B-C50C-407E-A947-70E740481C1C}">
              <a14:useLocalDpi xmlns:a14="http://schemas.microsoft.com/office/drawing/2010/main" val="0"/>
            </a:ext>
          </a:extLst>
        </a:blip>
        <a:srcRect/>
        <a:stretch>
          <a:fillRect/>
        </a:stretch>
      </xdr:blipFill>
      <xdr:spPr bwMode="auto">
        <a:xfrm>
          <a:off x="1228725" y="3160118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1668</xdr:row>
      <xdr:rowOff>19050</xdr:rowOff>
    </xdr:from>
    <xdr:to>
      <xdr:col>2</xdr:col>
      <xdr:colOff>1733550</xdr:colOff>
      <xdr:row>1668</xdr:row>
      <xdr:rowOff>1666875</xdr:rowOff>
    </xdr:to>
    <xdr:pic>
      <xdr:nvPicPr>
        <xdr:cNvPr id="1668" name="Picture 1667"/>
        <xdr:cNvPicPr>
          <a:picLocks noChangeAspect="1" noChangeArrowheads="1"/>
        </xdr:cNvPicPr>
      </xdr:nvPicPr>
      <xdr:blipFill>
        <a:blip xmlns:r="http://schemas.openxmlformats.org/officeDocument/2006/relationships" r:embed="rId1667">
          <a:extLst>
            <a:ext uri="{28A0092B-C50C-407E-A947-70E740481C1C}">
              <a14:useLocalDpi xmlns:a14="http://schemas.microsoft.com/office/drawing/2010/main" val="0"/>
            </a:ext>
          </a:extLst>
        </a:blip>
        <a:srcRect/>
        <a:stretch>
          <a:fillRect/>
        </a:stretch>
      </xdr:blipFill>
      <xdr:spPr bwMode="auto">
        <a:xfrm>
          <a:off x="1228725" y="3162033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1669</xdr:row>
      <xdr:rowOff>19050</xdr:rowOff>
    </xdr:from>
    <xdr:to>
      <xdr:col>2</xdr:col>
      <xdr:colOff>1733550</xdr:colOff>
      <xdr:row>1669</xdr:row>
      <xdr:rowOff>1666875</xdr:rowOff>
    </xdr:to>
    <xdr:pic>
      <xdr:nvPicPr>
        <xdr:cNvPr id="1669" name="Picture 1668"/>
        <xdr:cNvPicPr>
          <a:picLocks noChangeAspect="1" noChangeArrowheads="1"/>
        </xdr:cNvPicPr>
      </xdr:nvPicPr>
      <xdr:blipFill>
        <a:blip xmlns:r="http://schemas.openxmlformats.org/officeDocument/2006/relationships" r:embed="rId1668">
          <a:extLst>
            <a:ext uri="{28A0092B-C50C-407E-A947-70E740481C1C}">
              <a14:useLocalDpi xmlns:a14="http://schemas.microsoft.com/office/drawing/2010/main" val="0"/>
            </a:ext>
          </a:extLst>
        </a:blip>
        <a:srcRect/>
        <a:stretch>
          <a:fillRect/>
        </a:stretch>
      </xdr:blipFill>
      <xdr:spPr bwMode="auto">
        <a:xfrm>
          <a:off x="1228725" y="3163947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1670</xdr:row>
      <xdr:rowOff>19050</xdr:rowOff>
    </xdr:from>
    <xdr:to>
      <xdr:col>2</xdr:col>
      <xdr:colOff>1733550</xdr:colOff>
      <xdr:row>1670</xdr:row>
      <xdr:rowOff>1666875</xdr:rowOff>
    </xdr:to>
    <xdr:pic>
      <xdr:nvPicPr>
        <xdr:cNvPr id="1670" name="Picture 1669"/>
        <xdr:cNvPicPr>
          <a:picLocks noChangeAspect="1" noChangeArrowheads="1"/>
        </xdr:cNvPicPr>
      </xdr:nvPicPr>
      <xdr:blipFill>
        <a:blip xmlns:r="http://schemas.openxmlformats.org/officeDocument/2006/relationships" r:embed="rId1669">
          <a:extLst>
            <a:ext uri="{28A0092B-C50C-407E-A947-70E740481C1C}">
              <a14:useLocalDpi xmlns:a14="http://schemas.microsoft.com/office/drawing/2010/main" val="0"/>
            </a:ext>
          </a:extLst>
        </a:blip>
        <a:srcRect/>
        <a:stretch>
          <a:fillRect/>
        </a:stretch>
      </xdr:blipFill>
      <xdr:spPr bwMode="auto">
        <a:xfrm>
          <a:off x="1228725" y="3165862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1671</xdr:row>
      <xdr:rowOff>19050</xdr:rowOff>
    </xdr:from>
    <xdr:to>
      <xdr:col>2</xdr:col>
      <xdr:colOff>1733550</xdr:colOff>
      <xdr:row>1671</xdr:row>
      <xdr:rowOff>1666875</xdr:rowOff>
    </xdr:to>
    <xdr:pic>
      <xdr:nvPicPr>
        <xdr:cNvPr id="1671" name="Picture 1670"/>
        <xdr:cNvPicPr>
          <a:picLocks noChangeAspect="1" noChangeArrowheads="1"/>
        </xdr:cNvPicPr>
      </xdr:nvPicPr>
      <xdr:blipFill>
        <a:blip xmlns:r="http://schemas.openxmlformats.org/officeDocument/2006/relationships" r:embed="rId1670">
          <a:extLst>
            <a:ext uri="{28A0092B-C50C-407E-A947-70E740481C1C}">
              <a14:useLocalDpi xmlns:a14="http://schemas.microsoft.com/office/drawing/2010/main" val="0"/>
            </a:ext>
          </a:extLst>
        </a:blip>
        <a:srcRect/>
        <a:stretch>
          <a:fillRect/>
        </a:stretch>
      </xdr:blipFill>
      <xdr:spPr bwMode="auto">
        <a:xfrm>
          <a:off x="1228725" y="3167776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1672</xdr:row>
      <xdr:rowOff>19050</xdr:rowOff>
    </xdr:from>
    <xdr:to>
      <xdr:col>2</xdr:col>
      <xdr:colOff>1733550</xdr:colOff>
      <xdr:row>1672</xdr:row>
      <xdr:rowOff>1666875</xdr:rowOff>
    </xdr:to>
    <xdr:pic>
      <xdr:nvPicPr>
        <xdr:cNvPr id="1672" name="Picture 1671"/>
        <xdr:cNvPicPr>
          <a:picLocks noChangeAspect="1" noChangeArrowheads="1"/>
        </xdr:cNvPicPr>
      </xdr:nvPicPr>
      <xdr:blipFill>
        <a:blip xmlns:r="http://schemas.openxmlformats.org/officeDocument/2006/relationships" r:embed="rId1671">
          <a:extLst>
            <a:ext uri="{28A0092B-C50C-407E-A947-70E740481C1C}">
              <a14:useLocalDpi xmlns:a14="http://schemas.microsoft.com/office/drawing/2010/main" val="0"/>
            </a:ext>
          </a:extLst>
        </a:blip>
        <a:srcRect/>
        <a:stretch>
          <a:fillRect/>
        </a:stretch>
      </xdr:blipFill>
      <xdr:spPr bwMode="auto">
        <a:xfrm>
          <a:off x="1228725" y="3169691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1673</xdr:row>
      <xdr:rowOff>19050</xdr:rowOff>
    </xdr:from>
    <xdr:to>
      <xdr:col>2</xdr:col>
      <xdr:colOff>1733550</xdr:colOff>
      <xdr:row>1673</xdr:row>
      <xdr:rowOff>1666875</xdr:rowOff>
    </xdr:to>
    <xdr:pic>
      <xdr:nvPicPr>
        <xdr:cNvPr id="1673" name="Picture 1672"/>
        <xdr:cNvPicPr>
          <a:picLocks noChangeAspect="1" noChangeArrowheads="1"/>
        </xdr:cNvPicPr>
      </xdr:nvPicPr>
      <xdr:blipFill>
        <a:blip xmlns:r="http://schemas.openxmlformats.org/officeDocument/2006/relationships" r:embed="rId1672">
          <a:extLst>
            <a:ext uri="{28A0092B-C50C-407E-A947-70E740481C1C}">
              <a14:useLocalDpi xmlns:a14="http://schemas.microsoft.com/office/drawing/2010/main" val="0"/>
            </a:ext>
          </a:extLst>
        </a:blip>
        <a:srcRect/>
        <a:stretch>
          <a:fillRect/>
        </a:stretch>
      </xdr:blipFill>
      <xdr:spPr bwMode="auto">
        <a:xfrm>
          <a:off x="1228725" y="3171605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1674</xdr:row>
      <xdr:rowOff>19050</xdr:rowOff>
    </xdr:from>
    <xdr:to>
      <xdr:col>2</xdr:col>
      <xdr:colOff>1733550</xdr:colOff>
      <xdr:row>1674</xdr:row>
      <xdr:rowOff>1666875</xdr:rowOff>
    </xdr:to>
    <xdr:pic>
      <xdr:nvPicPr>
        <xdr:cNvPr id="1674" name="Picture 1673"/>
        <xdr:cNvPicPr>
          <a:picLocks noChangeAspect="1" noChangeArrowheads="1"/>
        </xdr:cNvPicPr>
      </xdr:nvPicPr>
      <xdr:blipFill>
        <a:blip xmlns:r="http://schemas.openxmlformats.org/officeDocument/2006/relationships" r:embed="rId1673">
          <a:extLst>
            <a:ext uri="{28A0092B-C50C-407E-A947-70E740481C1C}">
              <a14:useLocalDpi xmlns:a14="http://schemas.microsoft.com/office/drawing/2010/main" val="0"/>
            </a:ext>
          </a:extLst>
        </a:blip>
        <a:srcRect/>
        <a:stretch>
          <a:fillRect/>
        </a:stretch>
      </xdr:blipFill>
      <xdr:spPr bwMode="auto">
        <a:xfrm>
          <a:off x="1228725" y="3173520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1675</xdr:row>
      <xdr:rowOff>19050</xdr:rowOff>
    </xdr:from>
    <xdr:to>
      <xdr:col>2</xdr:col>
      <xdr:colOff>1733550</xdr:colOff>
      <xdr:row>1675</xdr:row>
      <xdr:rowOff>1666875</xdr:rowOff>
    </xdr:to>
    <xdr:pic>
      <xdr:nvPicPr>
        <xdr:cNvPr id="1675" name="Picture 1674"/>
        <xdr:cNvPicPr>
          <a:picLocks noChangeAspect="1" noChangeArrowheads="1"/>
        </xdr:cNvPicPr>
      </xdr:nvPicPr>
      <xdr:blipFill>
        <a:blip xmlns:r="http://schemas.openxmlformats.org/officeDocument/2006/relationships" r:embed="rId1674">
          <a:extLst>
            <a:ext uri="{28A0092B-C50C-407E-A947-70E740481C1C}">
              <a14:useLocalDpi xmlns:a14="http://schemas.microsoft.com/office/drawing/2010/main" val="0"/>
            </a:ext>
          </a:extLst>
        </a:blip>
        <a:srcRect/>
        <a:stretch>
          <a:fillRect/>
        </a:stretch>
      </xdr:blipFill>
      <xdr:spPr bwMode="auto">
        <a:xfrm>
          <a:off x="1228725" y="3175434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1676</xdr:row>
      <xdr:rowOff>19050</xdr:rowOff>
    </xdr:from>
    <xdr:to>
      <xdr:col>2</xdr:col>
      <xdr:colOff>1733550</xdr:colOff>
      <xdr:row>1676</xdr:row>
      <xdr:rowOff>1666875</xdr:rowOff>
    </xdr:to>
    <xdr:pic>
      <xdr:nvPicPr>
        <xdr:cNvPr id="1676" name="Picture 1675"/>
        <xdr:cNvPicPr>
          <a:picLocks noChangeAspect="1" noChangeArrowheads="1"/>
        </xdr:cNvPicPr>
      </xdr:nvPicPr>
      <xdr:blipFill>
        <a:blip xmlns:r="http://schemas.openxmlformats.org/officeDocument/2006/relationships" r:embed="rId1675">
          <a:extLst>
            <a:ext uri="{28A0092B-C50C-407E-A947-70E740481C1C}">
              <a14:useLocalDpi xmlns:a14="http://schemas.microsoft.com/office/drawing/2010/main" val="0"/>
            </a:ext>
          </a:extLst>
        </a:blip>
        <a:srcRect/>
        <a:stretch>
          <a:fillRect/>
        </a:stretch>
      </xdr:blipFill>
      <xdr:spPr bwMode="auto">
        <a:xfrm>
          <a:off x="1228725" y="3177349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1677</xdr:row>
      <xdr:rowOff>19050</xdr:rowOff>
    </xdr:from>
    <xdr:to>
      <xdr:col>2</xdr:col>
      <xdr:colOff>1733550</xdr:colOff>
      <xdr:row>1677</xdr:row>
      <xdr:rowOff>1666875</xdr:rowOff>
    </xdr:to>
    <xdr:pic>
      <xdr:nvPicPr>
        <xdr:cNvPr id="1677" name="Picture 1676"/>
        <xdr:cNvPicPr>
          <a:picLocks noChangeAspect="1" noChangeArrowheads="1"/>
        </xdr:cNvPicPr>
      </xdr:nvPicPr>
      <xdr:blipFill>
        <a:blip xmlns:r="http://schemas.openxmlformats.org/officeDocument/2006/relationships" r:embed="rId1676">
          <a:extLst>
            <a:ext uri="{28A0092B-C50C-407E-A947-70E740481C1C}">
              <a14:useLocalDpi xmlns:a14="http://schemas.microsoft.com/office/drawing/2010/main" val="0"/>
            </a:ext>
          </a:extLst>
        </a:blip>
        <a:srcRect/>
        <a:stretch>
          <a:fillRect/>
        </a:stretch>
      </xdr:blipFill>
      <xdr:spPr bwMode="auto">
        <a:xfrm>
          <a:off x="1228725" y="317926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1678</xdr:row>
      <xdr:rowOff>19050</xdr:rowOff>
    </xdr:from>
    <xdr:to>
      <xdr:col>2</xdr:col>
      <xdr:colOff>1733550</xdr:colOff>
      <xdr:row>1678</xdr:row>
      <xdr:rowOff>1666875</xdr:rowOff>
    </xdr:to>
    <xdr:pic>
      <xdr:nvPicPr>
        <xdr:cNvPr id="1678" name="Picture 1677"/>
        <xdr:cNvPicPr>
          <a:picLocks noChangeAspect="1" noChangeArrowheads="1"/>
        </xdr:cNvPicPr>
      </xdr:nvPicPr>
      <xdr:blipFill>
        <a:blip xmlns:r="http://schemas.openxmlformats.org/officeDocument/2006/relationships" r:embed="rId1677">
          <a:extLst>
            <a:ext uri="{28A0092B-C50C-407E-A947-70E740481C1C}">
              <a14:useLocalDpi xmlns:a14="http://schemas.microsoft.com/office/drawing/2010/main" val="0"/>
            </a:ext>
          </a:extLst>
        </a:blip>
        <a:srcRect/>
        <a:stretch>
          <a:fillRect/>
        </a:stretch>
      </xdr:blipFill>
      <xdr:spPr bwMode="auto">
        <a:xfrm>
          <a:off x="1228725" y="318117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1679</xdr:row>
      <xdr:rowOff>19050</xdr:rowOff>
    </xdr:from>
    <xdr:to>
      <xdr:col>2</xdr:col>
      <xdr:colOff>1733550</xdr:colOff>
      <xdr:row>1679</xdr:row>
      <xdr:rowOff>1666875</xdr:rowOff>
    </xdr:to>
    <xdr:pic>
      <xdr:nvPicPr>
        <xdr:cNvPr id="1679" name="Picture 1678"/>
        <xdr:cNvPicPr>
          <a:picLocks noChangeAspect="1" noChangeArrowheads="1"/>
        </xdr:cNvPicPr>
      </xdr:nvPicPr>
      <xdr:blipFill>
        <a:blip xmlns:r="http://schemas.openxmlformats.org/officeDocument/2006/relationships" r:embed="rId1678">
          <a:extLst>
            <a:ext uri="{28A0092B-C50C-407E-A947-70E740481C1C}">
              <a14:useLocalDpi xmlns:a14="http://schemas.microsoft.com/office/drawing/2010/main" val="0"/>
            </a:ext>
          </a:extLst>
        </a:blip>
        <a:srcRect/>
        <a:stretch>
          <a:fillRect/>
        </a:stretch>
      </xdr:blipFill>
      <xdr:spPr bwMode="auto">
        <a:xfrm>
          <a:off x="1228725" y="3183093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1680</xdr:row>
      <xdr:rowOff>19050</xdr:rowOff>
    </xdr:from>
    <xdr:to>
      <xdr:col>2</xdr:col>
      <xdr:colOff>1733550</xdr:colOff>
      <xdr:row>1680</xdr:row>
      <xdr:rowOff>1666875</xdr:rowOff>
    </xdr:to>
    <xdr:pic>
      <xdr:nvPicPr>
        <xdr:cNvPr id="1680" name="Picture 1679"/>
        <xdr:cNvPicPr>
          <a:picLocks noChangeAspect="1" noChangeArrowheads="1"/>
        </xdr:cNvPicPr>
      </xdr:nvPicPr>
      <xdr:blipFill>
        <a:blip xmlns:r="http://schemas.openxmlformats.org/officeDocument/2006/relationships" r:embed="rId1679">
          <a:extLst>
            <a:ext uri="{28A0092B-C50C-407E-A947-70E740481C1C}">
              <a14:useLocalDpi xmlns:a14="http://schemas.microsoft.com/office/drawing/2010/main" val="0"/>
            </a:ext>
          </a:extLst>
        </a:blip>
        <a:srcRect/>
        <a:stretch>
          <a:fillRect/>
        </a:stretch>
      </xdr:blipFill>
      <xdr:spPr bwMode="auto">
        <a:xfrm>
          <a:off x="1228725" y="3185007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1681</xdr:row>
      <xdr:rowOff>19050</xdr:rowOff>
    </xdr:from>
    <xdr:to>
      <xdr:col>2</xdr:col>
      <xdr:colOff>1733550</xdr:colOff>
      <xdr:row>1681</xdr:row>
      <xdr:rowOff>1666875</xdr:rowOff>
    </xdr:to>
    <xdr:pic>
      <xdr:nvPicPr>
        <xdr:cNvPr id="1681" name="Picture 1680"/>
        <xdr:cNvPicPr>
          <a:picLocks noChangeAspect="1" noChangeArrowheads="1"/>
        </xdr:cNvPicPr>
      </xdr:nvPicPr>
      <xdr:blipFill>
        <a:blip xmlns:r="http://schemas.openxmlformats.org/officeDocument/2006/relationships" r:embed="rId1680">
          <a:extLst>
            <a:ext uri="{28A0092B-C50C-407E-A947-70E740481C1C}">
              <a14:useLocalDpi xmlns:a14="http://schemas.microsoft.com/office/drawing/2010/main" val="0"/>
            </a:ext>
          </a:extLst>
        </a:blip>
        <a:srcRect/>
        <a:stretch>
          <a:fillRect/>
        </a:stretch>
      </xdr:blipFill>
      <xdr:spPr bwMode="auto">
        <a:xfrm>
          <a:off x="1228725" y="3186922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1682</xdr:row>
      <xdr:rowOff>19050</xdr:rowOff>
    </xdr:from>
    <xdr:to>
      <xdr:col>2</xdr:col>
      <xdr:colOff>1733550</xdr:colOff>
      <xdr:row>1682</xdr:row>
      <xdr:rowOff>1666875</xdr:rowOff>
    </xdr:to>
    <xdr:pic>
      <xdr:nvPicPr>
        <xdr:cNvPr id="1682" name="Picture 1681"/>
        <xdr:cNvPicPr>
          <a:picLocks noChangeAspect="1" noChangeArrowheads="1"/>
        </xdr:cNvPicPr>
      </xdr:nvPicPr>
      <xdr:blipFill>
        <a:blip xmlns:r="http://schemas.openxmlformats.org/officeDocument/2006/relationships" r:embed="rId1681">
          <a:extLst>
            <a:ext uri="{28A0092B-C50C-407E-A947-70E740481C1C}">
              <a14:useLocalDpi xmlns:a14="http://schemas.microsoft.com/office/drawing/2010/main" val="0"/>
            </a:ext>
          </a:extLst>
        </a:blip>
        <a:srcRect/>
        <a:stretch>
          <a:fillRect/>
        </a:stretch>
      </xdr:blipFill>
      <xdr:spPr bwMode="auto">
        <a:xfrm>
          <a:off x="1228725" y="3188836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1683</xdr:row>
      <xdr:rowOff>19050</xdr:rowOff>
    </xdr:from>
    <xdr:to>
      <xdr:col>2</xdr:col>
      <xdr:colOff>1733550</xdr:colOff>
      <xdr:row>1683</xdr:row>
      <xdr:rowOff>1666875</xdr:rowOff>
    </xdr:to>
    <xdr:pic>
      <xdr:nvPicPr>
        <xdr:cNvPr id="1683" name="Picture 1682"/>
        <xdr:cNvPicPr>
          <a:picLocks noChangeAspect="1" noChangeArrowheads="1"/>
        </xdr:cNvPicPr>
      </xdr:nvPicPr>
      <xdr:blipFill>
        <a:blip xmlns:r="http://schemas.openxmlformats.org/officeDocument/2006/relationships" r:embed="rId1682">
          <a:extLst>
            <a:ext uri="{28A0092B-C50C-407E-A947-70E740481C1C}">
              <a14:useLocalDpi xmlns:a14="http://schemas.microsoft.com/office/drawing/2010/main" val="0"/>
            </a:ext>
          </a:extLst>
        </a:blip>
        <a:srcRect/>
        <a:stretch>
          <a:fillRect/>
        </a:stretch>
      </xdr:blipFill>
      <xdr:spPr bwMode="auto">
        <a:xfrm>
          <a:off x="1228725" y="3190751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1684</xdr:row>
      <xdr:rowOff>19050</xdr:rowOff>
    </xdr:from>
    <xdr:to>
      <xdr:col>2</xdr:col>
      <xdr:colOff>1733550</xdr:colOff>
      <xdr:row>1684</xdr:row>
      <xdr:rowOff>1666875</xdr:rowOff>
    </xdr:to>
    <xdr:pic>
      <xdr:nvPicPr>
        <xdr:cNvPr id="1684" name="Picture 1683"/>
        <xdr:cNvPicPr>
          <a:picLocks noChangeAspect="1" noChangeArrowheads="1"/>
        </xdr:cNvPicPr>
      </xdr:nvPicPr>
      <xdr:blipFill>
        <a:blip xmlns:r="http://schemas.openxmlformats.org/officeDocument/2006/relationships" r:embed="rId1683">
          <a:extLst>
            <a:ext uri="{28A0092B-C50C-407E-A947-70E740481C1C}">
              <a14:useLocalDpi xmlns:a14="http://schemas.microsoft.com/office/drawing/2010/main" val="0"/>
            </a:ext>
          </a:extLst>
        </a:blip>
        <a:srcRect/>
        <a:stretch>
          <a:fillRect/>
        </a:stretch>
      </xdr:blipFill>
      <xdr:spPr bwMode="auto">
        <a:xfrm>
          <a:off x="1228725" y="3192665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1685</xdr:row>
      <xdr:rowOff>19050</xdr:rowOff>
    </xdr:from>
    <xdr:to>
      <xdr:col>2</xdr:col>
      <xdr:colOff>1733550</xdr:colOff>
      <xdr:row>1685</xdr:row>
      <xdr:rowOff>1666875</xdr:rowOff>
    </xdr:to>
    <xdr:pic>
      <xdr:nvPicPr>
        <xdr:cNvPr id="1685" name="Picture 1684"/>
        <xdr:cNvPicPr>
          <a:picLocks noChangeAspect="1" noChangeArrowheads="1"/>
        </xdr:cNvPicPr>
      </xdr:nvPicPr>
      <xdr:blipFill>
        <a:blip xmlns:r="http://schemas.openxmlformats.org/officeDocument/2006/relationships" r:embed="rId1684">
          <a:extLst>
            <a:ext uri="{28A0092B-C50C-407E-A947-70E740481C1C}">
              <a14:useLocalDpi xmlns:a14="http://schemas.microsoft.com/office/drawing/2010/main" val="0"/>
            </a:ext>
          </a:extLst>
        </a:blip>
        <a:srcRect/>
        <a:stretch>
          <a:fillRect/>
        </a:stretch>
      </xdr:blipFill>
      <xdr:spPr bwMode="auto">
        <a:xfrm>
          <a:off x="1228725" y="3194580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1686</xdr:row>
      <xdr:rowOff>19050</xdr:rowOff>
    </xdr:from>
    <xdr:to>
      <xdr:col>2</xdr:col>
      <xdr:colOff>1733550</xdr:colOff>
      <xdr:row>1686</xdr:row>
      <xdr:rowOff>1666875</xdr:rowOff>
    </xdr:to>
    <xdr:pic>
      <xdr:nvPicPr>
        <xdr:cNvPr id="1686" name="Picture 1685"/>
        <xdr:cNvPicPr>
          <a:picLocks noChangeAspect="1" noChangeArrowheads="1"/>
        </xdr:cNvPicPr>
      </xdr:nvPicPr>
      <xdr:blipFill>
        <a:blip xmlns:r="http://schemas.openxmlformats.org/officeDocument/2006/relationships" r:embed="rId1685">
          <a:extLst>
            <a:ext uri="{28A0092B-C50C-407E-A947-70E740481C1C}">
              <a14:useLocalDpi xmlns:a14="http://schemas.microsoft.com/office/drawing/2010/main" val="0"/>
            </a:ext>
          </a:extLst>
        </a:blip>
        <a:srcRect/>
        <a:stretch>
          <a:fillRect/>
        </a:stretch>
      </xdr:blipFill>
      <xdr:spPr bwMode="auto">
        <a:xfrm>
          <a:off x="1228725" y="3196494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1687</xdr:row>
      <xdr:rowOff>19050</xdr:rowOff>
    </xdr:from>
    <xdr:to>
      <xdr:col>2</xdr:col>
      <xdr:colOff>1733550</xdr:colOff>
      <xdr:row>1687</xdr:row>
      <xdr:rowOff>1666875</xdr:rowOff>
    </xdr:to>
    <xdr:pic>
      <xdr:nvPicPr>
        <xdr:cNvPr id="1687" name="Picture 1686"/>
        <xdr:cNvPicPr>
          <a:picLocks noChangeAspect="1" noChangeArrowheads="1"/>
        </xdr:cNvPicPr>
      </xdr:nvPicPr>
      <xdr:blipFill>
        <a:blip xmlns:r="http://schemas.openxmlformats.org/officeDocument/2006/relationships" r:embed="rId1686">
          <a:extLst>
            <a:ext uri="{28A0092B-C50C-407E-A947-70E740481C1C}">
              <a14:useLocalDpi xmlns:a14="http://schemas.microsoft.com/office/drawing/2010/main" val="0"/>
            </a:ext>
          </a:extLst>
        </a:blip>
        <a:srcRect/>
        <a:stretch>
          <a:fillRect/>
        </a:stretch>
      </xdr:blipFill>
      <xdr:spPr bwMode="auto">
        <a:xfrm>
          <a:off x="1228725" y="3198409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1688</xdr:row>
      <xdr:rowOff>19050</xdr:rowOff>
    </xdr:from>
    <xdr:to>
      <xdr:col>2</xdr:col>
      <xdr:colOff>1733550</xdr:colOff>
      <xdr:row>1688</xdr:row>
      <xdr:rowOff>1666875</xdr:rowOff>
    </xdr:to>
    <xdr:pic>
      <xdr:nvPicPr>
        <xdr:cNvPr id="1688" name="Picture 1687"/>
        <xdr:cNvPicPr>
          <a:picLocks noChangeAspect="1" noChangeArrowheads="1"/>
        </xdr:cNvPicPr>
      </xdr:nvPicPr>
      <xdr:blipFill>
        <a:blip xmlns:r="http://schemas.openxmlformats.org/officeDocument/2006/relationships" r:embed="rId1687">
          <a:extLst>
            <a:ext uri="{28A0092B-C50C-407E-A947-70E740481C1C}">
              <a14:useLocalDpi xmlns:a14="http://schemas.microsoft.com/office/drawing/2010/main" val="0"/>
            </a:ext>
          </a:extLst>
        </a:blip>
        <a:srcRect/>
        <a:stretch>
          <a:fillRect/>
        </a:stretch>
      </xdr:blipFill>
      <xdr:spPr bwMode="auto">
        <a:xfrm>
          <a:off x="1228725" y="3200323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1689</xdr:row>
      <xdr:rowOff>19050</xdr:rowOff>
    </xdr:from>
    <xdr:to>
      <xdr:col>2</xdr:col>
      <xdr:colOff>1733550</xdr:colOff>
      <xdr:row>1689</xdr:row>
      <xdr:rowOff>1666875</xdr:rowOff>
    </xdr:to>
    <xdr:pic>
      <xdr:nvPicPr>
        <xdr:cNvPr id="1689" name="Picture 1688"/>
        <xdr:cNvPicPr>
          <a:picLocks noChangeAspect="1" noChangeArrowheads="1"/>
        </xdr:cNvPicPr>
      </xdr:nvPicPr>
      <xdr:blipFill>
        <a:blip xmlns:r="http://schemas.openxmlformats.org/officeDocument/2006/relationships" r:embed="rId1688">
          <a:extLst>
            <a:ext uri="{28A0092B-C50C-407E-A947-70E740481C1C}">
              <a14:useLocalDpi xmlns:a14="http://schemas.microsoft.com/office/drawing/2010/main" val="0"/>
            </a:ext>
          </a:extLst>
        </a:blip>
        <a:srcRect/>
        <a:stretch>
          <a:fillRect/>
        </a:stretch>
      </xdr:blipFill>
      <xdr:spPr bwMode="auto">
        <a:xfrm>
          <a:off x="1228725" y="3202238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1690</xdr:row>
      <xdr:rowOff>19050</xdr:rowOff>
    </xdr:from>
    <xdr:to>
      <xdr:col>2</xdr:col>
      <xdr:colOff>1733550</xdr:colOff>
      <xdr:row>1690</xdr:row>
      <xdr:rowOff>1666875</xdr:rowOff>
    </xdr:to>
    <xdr:pic>
      <xdr:nvPicPr>
        <xdr:cNvPr id="1690" name="Picture 1689"/>
        <xdr:cNvPicPr>
          <a:picLocks noChangeAspect="1" noChangeArrowheads="1"/>
        </xdr:cNvPicPr>
      </xdr:nvPicPr>
      <xdr:blipFill>
        <a:blip xmlns:r="http://schemas.openxmlformats.org/officeDocument/2006/relationships" r:embed="rId1689">
          <a:extLst>
            <a:ext uri="{28A0092B-C50C-407E-A947-70E740481C1C}">
              <a14:useLocalDpi xmlns:a14="http://schemas.microsoft.com/office/drawing/2010/main" val="0"/>
            </a:ext>
          </a:extLst>
        </a:blip>
        <a:srcRect/>
        <a:stretch>
          <a:fillRect/>
        </a:stretch>
      </xdr:blipFill>
      <xdr:spPr bwMode="auto">
        <a:xfrm>
          <a:off x="1228725" y="3204152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1691</xdr:row>
      <xdr:rowOff>19050</xdr:rowOff>
    </xdr:from>
    <xdr:to>
      <xdr:col>2</xdr:col>
      <xdr:colOff>1733550</xdr:colOff>
      <xdr:row>1691</xdr:row>
      <xdr:rowOff>1666875</xdr:rowOff>
    </xdr:to>
    <xdr:pic>
      <xdr:nvPicPr>
        <xdr:cNvPr id="1691" name="Picture 1690"/>
        <xdr:cNvPicPr>
          <a:picLocks noChangeAspect="1" noChangeArrowheads="1"/>
        </xdr:cNvPicPr>
      </xdr:nvPicPr>
      <xdr:blipFill>
        <a:blip xmlns:r="http://schemas.openxmlformats.org/officeDocument/2006/relationships" r:embed="rId1690">
          <a:extLst>
            <a:ext uri="{28A0092B-C50C-407E-A947-70E740481C1C}">
              <a14:useLocalDpi xmlns:a14="http://schemas.microsoft.com/office/drawing/2010/main" val="0"/>
            </a:ext>
          </a:extLst>
        </a:blip>
        <a:srcRect/>
        <a:stretch>
          <a:fillRect/>
        </a:stretch>
      </xdr:blipFill>
      <xdr:spPr bwMode="auto">
        <a:xfrm>
          <a:off x="1228725" y="3206067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1692</xdr:row>
      <xdr:rowOff>19050</xdr:rowOff>
    </xdr:from>
    <xdr:to>
      <xdr:col>2</xdr:col>
      <xdr:colOff>1733550</xdr:colOff>
      <xdr:row>1692</xdr:row>
      <xdr:rowOff>1666875</xdr:rowOff>
    </xdr:to>
    <xdr:pic>
      <xdr:nvPicPr>
        <xdr:cNvPr id="1692" name="Picture 1691"/>
        <xdr:cNvPicPr>
          <a:picLocks noChangeAspect="1" noChangeArrowheads="1"/>
        </xdr:cNvPicPr>
      </xdr:nvPicPr>
      <xdr:blipFill>
        <a:blip xmlns:r="http://schemas.openxmlformats.org/officeDocument/2006/relationships" r:embed="rId1691">
          <a:extLst>
            <a:ext uri="{28A0092B-C50C-407E-A947-70E740481C1C}">
              <a14:useLocalDpi xmlns:a14="http://schemas.microsoft.com/office/drawing/2010/main" val="0"/>
            </a:ext>
          </a:extLst>
        </a:blip>
        <a:srcRect/>
        <a:stretch>
          <a:fillRect/>
        </a:stretch>
      </xdr:blipFill>
      <xdr:spPr bwMode="auto">
        <a:xfrm>
          <a:off x="1228725" y="3207981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1693</xdr:row>
      <xdr:rowOff>19050</xdr:rowOff>
    </xdr:from>
    <xdr:to>
      <xdr:col>2</xdr:col>
      <xdr:colOff>1733550</xdr:colOff>
      <xdr:row>1693</xdr:row>
      <xdr:rowOff>1666875</xdr:rowOff>
    </xdr:to>
    <xdr:pic>
      <xdr:nvPicPr>
        <xdr:cNvPr id="1693" name="Picture 1692"/>
        <xdr:cNvPicPr>
          <a:picLocks noChangeAspect="1" noChangeArrowheads="1"/>
        </xdr:cNvPicPr>
      </xdr:nvPicPr>
      <xdr:blipFill>
        <a:blip xmlns:r="http://schemas.openxmlformats.org/officeDocument/2006/relationships" r:embed="rId1692">
          <a:extLst>
            <a:ext uri="{28A0092B-C50C-407E-A947-70E740481C1C}">
              <a14:useLocalDpi xmlns:a14="http://schemas.microsoft.com/office/drawing/2010/main" val="0"/>
            </a:ext>
          </a:extLst>
        </a:blip>
        <a:srcRect/>
        <a:stretch>
          <a:fillRect/>
        </a:stretch>
      </xdr:blipFill>
      <xdr:spPr bwMode="auto">
        <a:xfrm>
          <a:off x="1228725" y="3209896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1694</xdr:row>
      <xdr:rowOff>19050</xdr:rowOff>
    </xdr:from>
    <xdr:to>
      <xdr:col>2</xdr:col>
      <xdr:colOff>1733550</xdr:colOff>
      <xdr:row>1694</xdr:row>
      <xdr:rowOff>1666875</xdr:rowOff>
    </xdr:to>
    <xdr:pic>
      <xdr:nvPicPr>
        <xdr:cNvPr id="1694" name="Picture 1693"/>
        <xdr:cNvPicPr>
          <a:picLocks noChangeAspect="1" noChangeArrowheads="1"/>
        </xdr:cNvPicPr>
      </xdr:nvPicPr>
      <xdr:blipFill>
        <a:blip xmlns:r="http://schemas.openxmlformats.org/officeDocument/2006/relationships" r:embed="rId1693">
          <a:extLst>
            <a:ext uri="{28A0092B-C50C-407E-A947-70E740481C1C}">
              <a14:useLocalDpi xmlns:a14="http://schemas.microsoft.com/office/drawing/2010/main" val="0"/>
            </a:ext>
          </a:extLst>
        </a:blip>
        <a:srcRect/>
        <a:stretch>
          <a:fillRect/>
        </a:stretch>
      </xdr:blipFill>
      <xdr:spPr bwMode="auto">
        <a:xfrm>
          <a:off x="1228725" y="3211810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1695</xdr:row>
      <xdr:rowOff>19050</xdr:rowOff>
    </xdr:from>
    <xdr:to>
      <xdr:col>2</xdr:col>
      <xdr:colOff>1733550</xdr:colOff>
      <xdr:row>1695</xdr:row>
      <xdr:rowOff>1666875</xdr:rowOff>
    </xdr:to>
    <xdr:pic>
      <xdr:nvPicPr>
        <xdr:cNvPr id="1695" name="Picture 1694"/>
        <xdr:cNvPicPr>
          <a:picLocks noChangeAspect="1" noChangeArrowheads="1"/>
        </xdr:cNvPicPr>
      </xdr:nvPicPr>
      <xdr:blipFill>
        <a:blip xmlns:r="http://schemas.openxmlformats.org/officeDocument/2006/relationships" r:embed="rId1694">
          <a:extLst>
            <a:ext uri="{28A0092B-C50C-407E-A947-70E740481C1C}">
              <a14:useLocalDpi xmlns:a14="http://schemas.microsoft.com/office/drawing/2010/main" val="0"/>
            </a:ext>
          </a:extLst>
        </a:blip>
        <a:srcRect/>
        <a:stretch>
          <a:fillRect/>
        </a:stretch>
      </xdr:blipFill>
      <xdr:spPr bwMode="auto">
        <a:xfrm>
          <a:off x="1228725" y="321372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1696</xdr:row>
      <xdr:rowOff>19050</xdr:rowOff>
    </xdr:from>
    <xdr:to>
      <xdr:col>2</xdr:col>
      <xdr:colOff>1733550</xdr:colOff>
      <xdr:row>1696</xdr:row>
      <xdr:rowOff>1647825</xdr:rowOff>
    </xdr:to>
    <xdr:pic>
      <xdr:nvPicPr>
        <xdr:cNvPr id="1696" name="Picture 1695"/>
        <xdr:cNvPicPr>
          <a:picLocks noChangeAspect="1" noChangeArrowheads="1"/>
        </xdr:cNvPicPr>
      </xdr:nvPicPr>
      <xdr:blipFill>
        <a:blip xmlns:r="http://schemas.openxmlformats.org/officeDocument/2006/relationships" r:embed="rId1695">
          <a:extLst>
            <a:ext uri="{28A0092B-C50C-407E-A947-70E740481C1C}">
              <a14:useLocalDpi xmlns:a14="http://schemas.microsoft.com/office/drawing/2010/main" val="0"/>
            </a:ext>
          </a:extLst>
        </a:blip>
        <a:srcRect/>
        <a:stretch>
          <a:fillRect/>
        </a:stretch>
      </xdr:blipFill>
      <xdr:spPr bwMode="auto">
        <a:xfrm>
          <a:off x="1228725" y="32156400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1697</xdr:row>
      <xdr:rowOff>19050</xdr:rowOff>
    </xdr:from>
    <xdr:to>
      <xdr:col>2</xdr:col>
      <xdr:colOff>1733550</xdr:colOff>
      <xdr:row>1697</xdr:row>
      <xdr:rowOff>1666875</xdr:rowOff>
    </xdr:to>
    <xdr:pic>
      <xdr:nvPicPr>
        <xdr:cNvPr id="1697" name="Picture 1696"/>
        <xdr:cNvPicPr>
          <a:picLocks noChangeAspect="1" noChangeArrowheads="1"/>
        </xdr:cNvPicPr>
      </xdr:nvPicPr>
      <xdr:blipFill>
        <a:blip xmlns:r="http://schemas.openxmlformats.org/officeDocument/2006/relationships" r:embed="rId1696">
          <a:extLst>
            <a:ext uri="{28A0092B-C50C-407E-A947-70E740481C1C}">
              <a14:useLocalDpi xmlns:a14="http://schemas.microsoft.com/office/drawing/2010/main" val="0"/>
            </a:ext>
          </a:extLst>
        </a:blip>
        <a:srcRect/>
        <a:stretch>
          <a:fillRect/>
        </a:stretch>
      </xdr:blipFill>
      <xdr:spPr bwMode="auto">
        <a:xfrm>
          <a:off x="1228725" y="321753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1698</xdr:row>
      <xdr:rowOff>19050</xdr:rowOff>
    </xdr:from>
    <xdr:to>
      <xdr:col>2</xdr:col>
      <xdr:colOff>1733550</xdr:colOff>
      <xdr:row>1698</xdr:row>
      <xdr:rowOff>1666875</xdr:rowOff>
    </xdr:to>
    <xdr:pic>
      <xdr:nvPicPr>
        <xdr:cNvPr id="1698" name="Picture 1697"/>
        <xdr:cNvPicPr>
          <a:picLocks noChangeAspect="1" noChangeArrowheads="1"/>
        </xdr:cNvPicPr>
      </xdr:nvPicPr>
      <xdr:blipFill>
        <a:blip xmlns:r="http://schemas.openxmlformats.org/officeDocument/2006/relationships" r:embed="rId1697">
          <a:extLst>
            <a:ext uri="{28A0092B-C50C-407E-A947-70E740481C1C}">
              <a14:useLocalDpi xmlns:a14="http://schemas.microsoft.com/office/drawing/2010/main" val="0"/>
            </a:ext>
          </a:extLst>
        </a:blip>
        <a:srcRect/>
        <a:stretch>
          <a:fillRect/>
        </a:stretch>
      </xdr:blipFill>
      <xdr:spPr bwMode="auto">
        <a:xfrm>
          <a:off x="1228725" y="3219450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1699</xdr:row>
      <xdr:rowOff>19050</xdr:rowOff>
    </xdr:from>
    <xdr:to>
      <xdr:col>2</xdr:col>
      <xdr:colOff>1733550</xdr:colOff>
      <xdr:row>1699</xdr:row>
      <xdr:rowOff>1666875</xdr:rowOff>
    </xdr:to>
    <xdr:pic>
      <xdr:nvPicPr>
        <xdr:cNvPr id="1699" name="Picture 1698"/>
        <xdr:cNvPicPr>
          <a:picLocks noChangeAspect="1" noChangeArrowheads="1"/>
        </xdr:cNvPicPr>
      </xdr:nvPicPr>
      <xdr:blipFill>
        <a:blip xmlns:r="http://schemas.openxmlformats.org/officeDocument/2006/relationships" r:embed="rId1698">
          <a:extLst>
            <a:ext uri="{28A0092B-C50C-407E-A947-70E740481C1C}">
              <a14:useLocalDpi xmlns:a14="http://schemas.microsoft.com/office/drawing/2010/main" val="0"/>
            </a:ext>
          </a:extLst>
        </a:blip>
        <a:srcRect/>
        <a:stretch>
          <a:fillRect/>
        </a:stretch>
      </xdr:blipFill>
      <xdr:spPr bwMode="auto">
        <a:xfrm>
          <a:off x="1228725" y="3221364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1700</xdr:row>
      <xdr:rowOff>19050</xdr:rowOff>
    </xdr:from>
    <xdr:to>
      <xdr:col>2</xdr:col>
      <xdr:colOff>1733550</xdr:colOff>
      <xdr:row>1700</xdr:row>
      <xdr:rowOff>1666875</xdr:rowOff>
    </xdr:to>
    <xdr:pic>
      <xdr:nvPicPr>
        <xdr:cNvPr id="1700" name="Picture 1699"/>
        <xdr:cNvPicPr>
          <a:picLocks noChangeAspect="1" noChangeArrowheads="1"/>
        </xdr:cNvPicPr>
      </xdr:nvPicPr>
      <xdr:blipFill>
        <a:blip xmlns:r="http://schemas.openxmlformats.org/officeDocument/2006/relationships" r:embed="rId1699">
          <a:extLst>
            <a:ext uri="{28A0092B-C50C-407E-A947-70E740481C1C}">
              <a14:useLocalDpi xmlns:a14="http://schemas.microsoft.com/office/drawing/2010/main" val="0"/>
            </a:ext>
          </a:extLst>
        </a:blip>
        <a:srcRect/>
        <a:stretch>
          <a:fillRect/>
        </a:stretch>
      </xdr:blipFill>
      <xdr:spPr bwMode="auto">
        <a:xfrm>
          <a:off x="1228725" y="3223279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1701</xdr:row>
      <xdr:rowOff>19050</xdr:rowOff>
    </xdr:from>
    <xdr:to>
      <xdr:col>2</xdr:col>
      <xdr:colOff>1733550</xdr:colOff>
      <xdr:row>1701</xdr:row>
      <xdr:rowOff>1666875</xdr:rowOff>
    </xdr:to>
    <xdr:pic>
      <xdr:nvPicPr>
        <xdr:cNvPr id="1701" name="Picture 1700"/>
        <xdr:cNvPicPr>
          <a:picLocks noChangeAspect="1" noChangeArrowheads="1"/>
        </xdr:cNvPicPr>
      </xdr:nvPicPr>
      <xdr:blipFill>
        <a:blip xmlns:r="http://schemas.openxmlformats.org/officeDocument/2006/relationships" r:embed="rId1700">
          <a:extLst>
            <a:ext uri="{28A0092B-C50C-407E-A947-70E740481C1C}">
              <a14:useLocalDpi xmlns:a14="http://schemas.microsoft.com/office/drawing/2010/main" val="0"/>
            </a:ext>
          </a:extLst>
        </a:blip>
        <a:srcRect/>
        <a:stretch>
          <a:fillRect/>
        </a:stretch>
      </xdr:blipFill>
      <xdr:spPr bwMode="auto">
        <a:xfrm>
          <a:off x="1228725" y="3225193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1702</xdr:row>
      <xdr:rowOff>19050</xdr:rowOff>
    </xdr:from>
    <xdr:to>
      <xdr:col>2</xdr:col>
      <xdr:colOff>1733550</xdr:colOff>
      <xdr:row>1702</xdr:row>
      <xdr:rowOff>1666875</xdr:rowOff>
    </xdr:to>
    <xdr:pic>
      <xdr:nvPicPr>
        <xdr:cNvPr id="1702" name="Picture 1701"/>
        <xdr:cNvPicPr>
          <a:picLocks noChangeAspect="1" noChangeArrowheads="1"/>
        </xdr:cNvPicPr>
      </xdr:nvPicPr>
      <xdr:blipFill>
        <a:blip xmlns:r="http://schemas.openxmlformats.org/officeDocument/2006/relationships" r:embed="rId1701">
          <a:extLst>
            <a:ext uri="{28A0092B-C50C-407E-A947-70E740481C1C}">
              <a14:useLocalDpi xmlns:a14="http://schemas.microsoft.com/office/drawing/2010/main" val="0"/>
            </a:ext>
          </a:extLst>
        </a:blip>
        <a:srcRect/>
        <a:stretch>
          <a:fillRect/>
        </a:stretch>
      </xdr:blipFill>
      <xdr:spPr bwMode="auto">
        <a:xfrm>
          <a:off x="1228725" y="3227108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1703</xdr:row>
      <xdr:rowOff>19050</xdr:rowOff>
    </xdr:from>
    <xdr:to>
      <xdr:col>2</xdr:col>
      <xdr:colOff>1733550</xdr:colOff>
      <xdr:row>1703</xdr:row>
      <xdr:rowOff>1666875</xdr:rowOff>
    </xdr:to>
    <xdr:pic>
      <xdr:nvPicPr>
        <xdr:cNvPr id="1703" name="Picture 1702"/>
        <xdr:cNvPicPr>
          <a:picLocks noChangeAspect="1" noChangeArrowheads="1"/>
        </xdr:cNvPicPr>
      </xdr:nvPicPr>
      <xdr:blipFill>
        <a:blip xmlns:r="http://schemas.openxmlformats.org/officeDocument/2006/relationships" r:embed="rId1702">
          <a:extLst>
            <a:ext uri="{28A0092B-C50C-407E-A947-70E740481C1C}">
              <a14:useLocalDpi xmlns:a14="http://schemas.microsoft.com/office/drawing/2010/main" val="0"/>
            </a:ext>
          </a:extLst>
        </a:blip>
        <a:srcRect/>
        <a:stretch>
          <a:fillRect/>
        </a:stretch>
      </xdr:blipFill>
      <xdr:spPr bwMode="auto">
        <a:xfrm>
          <a:off x="1228725" y="3229022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1704</xdr:row>
      <xdr:rowOff>19050</xdr:rowOff>
    </xdr:from>
    <xdr:to>
      <xdr:col>2</xdr:col>
      <xdr:colOff>1733550</xdr:colOff>
      <xdr:row>1704</xdr:row>
      <xdr:rowOff>1666875</xdr:rowOff>
    </xdr:to>
    <xdr:pic>
      <xdr:nvPicPr>
        <xdr:cNvPr id="1704" name="Picture 1703"/>
        <xdr:cNvPicPr>
          <a:picLocks noChangeAspect="1" noChangeArrowheads="1"/>
        </xdr:cNvPicPr>
      </xdr:nvPicPr>
      <xdr:blipFill>
        <a:blip xmlns:r="http://schemas.openxmlformats.org/officeDocument/2006/relationships" r:embed="rId1703">
          <a:extLst>
            <a:ext uri="{28A0092B-C50C-407E-A947-70E740481C1C}">
              <a14:useLocalDpi xmlns:a14="http://schemas.microsoft.com/office/drawing/2010/main" val="0"/>
            </a:ext>
          </a:extLst>
        </a:blip>
        <a:srcRect/>
        <a:stretch>
          <a:fillRect/>
        </a:stretch>
      </xdr:blipFill>
      <xdr:spPr bwMode="auto">
        <a:xfrm>
          <a:off x="1228725" y="3230937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1705</xdr:row>
      <xdr:rowOff>19050</xdr:rowOff>
    </xdr:from>
    <xdr:to>
      <xdr:col>2</xdr:col>
      <xdr:colOff>1733550</xdr:colOff>
      <xdr:row>1705</xdr:row>
      <xdr:rowOff>1666875</xdr:rowOff>
    </xdr:to>
    <xdr:pic>
      <xdr:nvPicPr>
        <xdr:cNvPr id="1705" name="Picture 1704"/>
        <xdr:cNvPicPr>
          <a:picLocks noChangeAspect="1" noChangeArrowheads="1"/>
        </xdr:cNvPicPr>
      </xdr:nvPicPr>
      <xdr:blipFill>
        <a:blip xmlns:r="http://schemas.openxmlformats.org/officeDocument/2006/relationships" r:embed="rId1704">
          <a:extLst>
            <a:ext uri="{28A0092B-C50C-407E-A947-70E740481C1C}">
              <a14:useLocalDpi xmlns:a14="http://schemas.microsoft.com/office/drawing/2010/main" val="0"/>
            </a:ext>
          </a:extLst>
        </a:blip>
        <a:srcRect/>
        <a:stretch>
          <a:fillRect/>
        </a:stretch>
      </xdr:blipFill>
      <xdr:spPr bwMode="auto">
        <a:xfrm>
          <a:off x="1228725" y="3232851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1706</xdr:row>
      <xdr:rowOff>19050</xdr:rowOff>
    </xdr:from>
    <xdr:to>
      <xdr:col>2</xdr:col>
      <xdr:colOff>1733550</xdr:colOff>
      <xdr:row>1706</xdr:row>
      <xdr:rowOff>1666875</xdr:rowOff>
    </xdr:to>
    <xdr:pic>
      <xdr:nvPicPr>
        <xdr:cNvPr id="1706" name="Picture 1705"/>
        <xdr:cNvPicPr>
          <a:picLocks noChangeAspect="1" noChangeArrowheads="1"/>
        </xdr:cNvPicPr>
      </xdr:nvPicPr>
      <xdr:blipFill>
        <a:blip xmlns:r="http://schemas.openxmlformats.org/officeDocument/2006/relationships" r:embed="rId1705">
          <a:extLst>
            <a:ext uri="{28A0092B-C50C-407E-A947-70E740481C1C}">
              <a14:useLocalDpi xmlns:a14="http://schemas.microsoft.com/office/drawing/2010/main" val="0"/>
            </a:ext>
          </a:extLst>
        </a:blip>
        <a:srcRect/>
        <a:stretch>
          <a:fillRect/>
        </a:stretch>
      </xdr:blipFill>
      <xdr:spPr bwMode="auto">
        <a:xfrm>
          <a:off x="1228725" y="3234766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1707</xdr:row>
      <xdr:rowOff>19050</xdr:rowOff>
    </xdr:from>
    <xdr:to>
      <xdr:col>2</xdr:col>
      <xdr:colOff>1733550</xdr:colOff>
      <xdr:row>1707</xdr:row>
      <xdr:rowOff>1666875</xdr:rowOff>
    </xdr:to>
    <xdr:pic>
      <xdr:nvPicPr>
        <xdr:cNvPr id="1707" name="Picture 1706"/>
        <xdr:cNvPicPr>
          <a:picLocks noChangeAspect="1" noChangeArrowheads="1"/>
        </xdr:cNvPicPr>
      </xdr:nvPicPr>
      <xdr:blipFill>
        <a:blip xmlns:r="http://schemas.openxmlformats.org/officeDocument/2006/relationships" r:embed="rId1706">
          <a:extLst>
            <a:ext uri="{28A0092B-C50C-407E-A947-70E740481C1C}">
              <a14:useLocalDpi xmlns:a14="http://schemas.microsoft.com/office/drawing/2010/main" val="0"/>
            </a:ext>
          </a:extLst>
        </a:blip>
        <a:srcRect/>
        <a:stretch>
          <a:fillRect/>
        </a:stretch>
      </xdr:blipFill>
      <xdr:spPr bwMode="auto">
        <a:xfrm>
          <a:off x="1228725" y="323668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1708</xdr:row>
      <xdr:rowOff>19050</xdr:rowOff>
    </xdr:from>
    <xdr:to>
      <xdr:col>2</xdr:col>
      <xdr:colOff>1733550</xdr:colOff>
      <xdr:row>1708</xdr:row>
      <xdr:rowOff>1666875</xdr:rowOff>
    </xdr:to>
    <xdr:pic>
      <xdr:nvPicPr>
        <xdr:cNvPr id="1708" name="Picture 1707"/>
        <xdr:cNvPicPr>
          <a:picLocks noChangeAspect="1" noChangeArrowheads="1"/>
        </xdr:cNvPicPr>
      </xdr:nvPicPr>
      <xdr:blipFill>
        <a:blip xmlns:r="http://schemas.openxmlformats.org/officeDocument/2006/relationships" r:embed="rId1707">
          <a:extLst>
            <a:ext uri="{28A0092B-C50C-407E-A947-70E740481C1C}">
              <a14:useLocalDpi xmlns:a14="http://schemas.microsoft.com/office/drawing/2010/main" val="0"/>
            </a:ext>
          </a:extLst>
        </a:blip>
        <a:srcRect/>
        <a:stretch>
          <a:fillRect/>
        </a:stretch>
      </xdr:blipFill>
      <xdr:spPr bwMode="auto">
        <a:xfrm>
          <a:off x="1228725" y="323859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1709</xdr:row>
      <xdr:rowOff>19050</xdr:rowOff>
    </xdr:from>
    <xdr:to>
      <xdr:col>2</xdr:col>
      <xdr:colOff>1733550</xdr:colOff>
      <xdr:row>1709</xdr:row>
      <xdr:rowOff>1666875</xdr:rowOff>
    </xdr:to>
    <xdr:pic>
      <xdr:nvPicPr>
        <xdr:cNvPr id="1709" name="Picture 1708"/>
        <xdr:cNvPicPr>
          <a:picLocks noChangeAspect="1" noChangeArrowheads="1"/>
        </xdr:cNvPicPr>
      </xdr:nvPicPr>
      <xdr:blipFill>
        <a:blip xmlns:r="http://schemas.openxmlformats.org/officeDocument/2006/relationships" r:embed="rId1708">
          <a:extLst>
            <a:ext uri="{28A0092B-C50C-407E-A947-70E740481C1C}">
              <a14:useLocalDpi xmlns:a14="http://schemas.microsoft.com/office/drawing/2010/main" val="0"/>
            </a:ext>
          </a:extLst>
        </a:blip>
        <a:srcRect/>
        <a:stretch>
          <a:fillRect/>
        </a:stretch>
      </xdr:blipFill>
      <xdr:spPr bwMode="auto">
        <a:xfrm>
          <a:off x="1228725" y="3240509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1710</xdr:row>
      <xdr:rowOff>19050</xdr:rowOff>
    </xdr:from>
    <xdr:to>
      <xdr:col>2</xdr:col>
      <xdr:colOff>1733550</xdr:colOff>
      <xdr:row>1710</xdr:row>
      <xdr:rowOff>1666875</xdr:rowOff>
    </xdr:to>
    <xdr:pic>
      <xdr:nvPicPr>
        <xdr:cNvPr id="1710" name="Picture 1709"/>
        <xdr:cNvPicPr>
          <a:picLocks noChangeAspect="1" noChangeArrowheads="1"/>
        </xdr:cNvPicPr>
      </xdr:nvPicPr>
      <xdr:blipFill>
        <a:blip xmlns:r="http://schemas.openxmlformats.org/officeDocument/2006/relationships" r:embed="rId1709">
          <a:extLst>
            <a:ext uri="{28A0092B-C50C-407E-A947-70E740481C1C}">
              <a14:useLocalDpi xmlns:a14="http://schemas.microsoft.com/office/drawing/2010/main" val="0"/>
            </a:ext>
          </a:extLst>
        </a:blip>
        <a:srcRect/>
        <a:stretch>
          <a:fillRect/>
        </a:stretch>
      </xdr:blipFill>
      <xdr:spPr bwMode="auto">
        <a:xfrm>
          <a:off x="1228725" y="3242424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1711</xdr:row>
      <xdr:rowOff>19050</xdr:rowOff>
    </xdr:from>
    <xdr:to>
      <xdr:col>2</xdr:col>
      <xdr:colOff>1733550</xdr:colOff>
      <xdr:row>1711</xdr:row>
      <xdr:rowOff>1666875</xdr:rowOff>
    </xdr:to>
    <xdr:pic>
      <xdr:nvPicPr>
        <xdr:cNvPr id="1711" name="Picture 1710"/>
        <xdr:cNvPicPr>
          <a:picLocks noChangeAspect="1" noChangeArrowheads="1"/>
        </xdr:cNvPicPr>
      </xdr:nvPicPr>
      <xdr:blipFill>
        <a:blip xmlns:r="http://schemas.openxmlformats.org/officeDocument/2006/relationships" r:embed="rId1710">
          <a:extLst>
            <a:ext uri="{28A0092B-C50C-407E-A947-70E740481C1C}">
              <a14:useLocalDpi xmlns:a14="http://schemas.microsoft.com/office/drawing/2010/main" val="0"/>
            </a:ext>
          </a:extLst>
        </a:blip>
        <a:srcRect/>
        <a:stretch>
          <a:fillRect/>
        </a:stretch>
      </xdr:blipFill>
      <xdr:spPr bwMode="auto">
        <a:xfrm>
          <a:off x="1228725" y="3244338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1712</xdr:row>
      <xdr:rowOff>19050</xdr:rowOff>
    </xdr:from>
    <xdr:to>
      <xdr:col>2</xdr:col>
      <xdr:colOff>1733550</xdr:colOff>
      <xdr:row>1712</xdr:row>
      <xdr:rowOff>1666875</xdr:rowOff>
    </xdr:to>
    <xdr:pic>
      <xdr:nvPicPr>
        <xdr:cNvPr id="1712" name="Picture 1711"/>
        <xdr:cNvPicPr>
          <a:picLocks noChangeAspect="1" noChangeArrowheads="1"/>
        </xdr:cNvPicPr>
      </xdr:nvPicPr>
      <xdr:blipFill>
        <a:blip xmlns:r="http://schemas.openxmlformats.org/officeDocument/2006/relationships" r:embed="rId1711">
          <a:extLst>
            <a:ext uri="{28A0092B-C50C-407E-A947-70E740481C1C}">
              <a14:useLocalDpi xmlns:a14="http://schemas.microsoft.com/office/drawing/2010/main" val="0"/>
            </a:ext>
          </a:extLst>
        </a:blip>
        <a:srcRect/>
        <a:stretch>
          <a:fillRect/>
        </a:stretch>
      </xdr:blipFill>
      <xdr:spPr bwMode="auto">
        <a:xfrm>
          <a:off x="1228725" y="3246253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1713</xdr:row>
      <xdr:rowOff>19050</xdr:rowOff>
    </xdr:from>
    <xdr:to>
      <xdr:col>2</xdr:col>
      <xdr:colOff>1733550</xdr:colOff>
      <xdr:row>1713</xdr:row>
      <xdr:rowOff>1666875</xdr:rowOff>
    </xdr:to>
    <xdr:pic>
      <xdr:nvPicPr>
        <xdr:cNvPr id="1713" name="Picture 1712"/>
        <xdr:cNvPicPr>
          <a:picLocks noChangeAspect="1" noChangeArrowheads="1"/>
        </xdr:cNvPicPr>
      </xdr:nvPicPr>
      <xdr:blipFill>
        <a:blip xmlns:r="http://schemas.openxmlformats.org/officeDocument/2006/relationships" r:embed="rId1712">
          <a:extLst>
            <a:ext uri="{28A0092B-C50C-407E-A947-70E740481C1C}">
              <a14:useLocalDpi xmlns:a14="http://schemas.microsoft.com/office/drawing/2010/main" val="0"/>
            </a:ext>
          </a:extLst>
        </a:blip>
        <a:srcRect/>
        <a:stretch>
          <a:fillRect/>
        </a:stretch>
      </xdr:blipFill>
      <xdr:spPr bwMode="auto">
        <a:xfrm>
          <a:off x="1228725" y="3248167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1714</xdr:row>
      <xdr:rowOff>19050</xdr:rowOff>
    </xdr:from>
    <xdr:to>
      <xdr:col>2</xdr:col>
      <xdr:colOff>1733550</xdr:colOff>
      <xdr:row>1714</xdr:row>
      <xdr:rowOff>1666875</xdr:rowOff>
    </xdr:to>
    <xdr:pic>
      <xdr:nvPicPr>
        <xdr:cNvPr id="1714" name="Picture 1713"/>
        <xdr:cNvPicPr>
          <a:picLocks noChangeAspect="1" noChangeArrowheads="1"/>
        </xdr:cNvPicPr>
      </xdr:nvPicPr>
      <xdr:blipFill>
        <a:blip xmlns:r="http://schemas.openxmlformats.org/officeDocument/2006/relationships" r:embed="rId1713">
          <a:extLst>
            <a:ext uri="{28A0092B-C50C-407E-A947-70E740481C1C}">
              <a14:useLocalDpi xmlns:a14="http://schemas.microsoft.com/office/drawing/2010/main" val="0"/>
            </a:ext>
          </a:extLst>
        </a:blip>
        <a:srcRect/>
        <a:stretch>
          <a:fillRect/>
        </a:stretch>
      </xdr:blipFill>
      <xdr:spPr bwMode="auto">
        <a:xfrm>
          <a:off x="1228725" y="325008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1715</xdr:row>
      <xdr:rowOff>19050</xdr:rowOff>
    </xdr:from>
    <xdr:to>
      <xdr:col>2</xdr:col>
      <xdr:colOff>1733550</xdr:colOff>
      <xdr:row>1715</xdr:row>
      <xdr:rowOff>1666875</xdr:rowOff>
    </xdr:to>
    <xdr:pic>
      <xdr:nvPicPr>
        <xdr:cNvPr id="1715" name="Picture 1714"/>
        <xdr:cNvPicPr>
          <a:picLocks noChangeAspect="1" noChangeArrowheads="1"/>
        </xdr:cNvPicPr>
      </xdr:nvPicPr>
      <xdr:blipFill>
        <a:blip xmlns:r="http://schemas.openxmlformats.org/officeDocument/2006/relationships" r:embed="rId1714">
          <a:extLst>
            <a:ext uri="{28A0092B-C50C-407E-A947-70E740481C1C}">
              <a14:useLocalDpi xmlns:a14="http://schemas.microsoft.com/office/drawing/2010/main" val="0"/>
            </a:ext>
          </a:extLst>
        </a:blip>
        <a:srcRect/>
        <a:stretch>
          <a:fillRect/>
        </a:stretch>
      </xdr:blipFill>
      <xdr:spPr bwMode="auto">
        <a:xfrm>
          <a:off x="1228725" y="3251996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1716</xdr:row>
      <xdr:rowOff>19050</xdr:rowOff>
    </xdr:from>
    <xdr:to>
      <xdr:col>2</xdr:col>
      <xdr:colOff>1733550</xdr:colOff>
      <xdr:row>1716</xdr:row>
      <xdr:rowOff>1666875</xdr:rowOff>
    </xdr:to>
    <xdr:pic>
      <xdr:nvPicPr>
        <xdr:cNvPr id="1716" name="Picture 1715"/>
        <xdr:cNvPicPr>
          <a:picLocks noChangeAspect="1" noChangeArrowheads="1"/>
        </xdr:cNvPicPr>
      </xdr:nvPicPr>
      <xdr:blipFill>
        <a:blip xmlns:r="http://schemas.openxmlformats.org/officeDocument/2006/relationships" r:embed="rId1715">
          <a:extLst>
            <a:ext uri="{28A0092B-C50C-407E-A947-70E740481C1C}">
              <a14:useLocalDpi xmlns:a14="http://schemas.microsoft.com/office/drawing/2010/main" val="0"/>
            </a:ext>
          </a:extLst>
        </a:blip>
        <a:srcRect/>
        <a:stretch>
          <a:fillRect/>
        </a:stretch>
      </xdr:blipFill>
      <xdr:spPr bwMode="auto">
        <a:xfrm>
          <a:off x="1228725" y="3253911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1717</xdr:row>
      <xdr:rowOff>19050</xdr:rowOff>
    </xdr:from>
    <xdr:to>
      <xdr:col>2</xdr:col>
      <xdr:colOff>1733550</xdr:colOff>
      <xdr:row>1717</xdr:row>
      <xdr:rowOff>1666875</xdr:rowOff>
    </xdr:to>
    <xdr:pic>
      <xdr:nvPicPr>
        <xdr:cNvPr id="1717" name="Picture 1716"/>
        <xdr:cNvPicPr>
          <a:picLocks noChangeAspect="1" noChangeArrowheads="1"/>
        </xdr:cNvPicPr>
      </xdr:nvPicPr>
      <xdr:blipFill>
        <a:blip xmlns:r="http://schemas.openxmlformats.org/officeDocument/2006/relationships" r:embed="rId1716">
          <a:extLst>
            <a:ext uri="{28A0092B-C50C-407E-A947-70E740481C1C}">
              <a14:useLocalDpi xmlns:a14="http://schemas.microsoft.com/office/drawing/2010/main" val="0"/>
            </a:ext>
          </a:extLst>
        </a:blip>
        <a:srcRect/>
        <a:stretch>
          <a:fillRect/>
        </a:stretch>
      </xdr:blipFill>
      <xdr:spPr bwMode="auto">
        <a:xfrm>
          <a:off x="1228725" y="3255825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1718</xdr:row>
      <xdr:rowOff>19050</xdr:rowOff>
    </xdr:from>
    <xdr:to>
      <xdr:col>2</xdr:col>
      <xdr:colOff>1733550</xdr:colOff>
      <xdr:row>1718</xdr:row>
      <xdr:rowOff>1666875</xdr:rowOff>
    </xdr:to>
    <xdr:pic>
      <xdr:nvPicPr>
        <xdr:cNvPr id="1718" name="Picture 1717"/>
        <xdr:cNvPicPr>
          <a:picLocks noChangeAspect="1" noChangeArrowheads="1"/>
        </xdr:cNvPicPr>
      </xdr:nvPicPr>
      <xdr:blipFill>
        <a:blip xmlns:r="http://schemas.openxmlformats.org/officeDocument/2006/relationships" r:embed="rId1717">
          <a:extLst>
            <a:ext uri="{28A0092B-C50C-407E-A947-70E740481C1C}">
              <a14:useLocalDpi xmlns:a14="http://schemas.microsoft.com/office/drawing/2010/main" val="0"/>
            </a:ext>
          </a:extLst>
        </a:blip>
        <a:srcRect/>
        <a:stretch>
          <a:fillRect/>
        </a:stretch>
      </xdr:blipFill>
      <xdr:spPr bwMode="auto">
        <a:xfrm>
          <a:off x="1228725" y="3257740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1719</xdr:row>
      <xdr:rowOff>19050</xdr:rowOff>
    </xdr:from>
    <xdr:to>
      <xdr:col>2</xdr:col>
      <xdr:colOff>1733550</xdr:colOff>
      <xdr:row>1719</xdr:row>
      <xdr:rowOff>1666875</xdr:rowOff>
    </xdr:to>
    <xdr:pic>
      <xdr:nvPicPr>
        <xdr:cNvPr id="1719" name="Picture 1718"/>
        <xdr:cNvPicPr>
          <a:picLocks noChangeAspect="1" noChangeArrowheads="1"/>
        </xdr:cNvPicPr>
      </xdr:nvPicPr>
      <xdr:blipFill>
        <a:blip xmlns:r="http://schemas.openxmlformats.org/officeDocument/2006/relationships" r:embed="rId1718">
          <a:extLst>
            <a:ext uri="{28A0092B-C50C-407E-A947-70E740481C1C}">
              <a14:useLocalDpi xmlns:a14="http://schemas.microsoft.com/office/drawing/2010/main" val="0"/>
            </a:ext>
          </a:extLst>
        </a:blip>
        <a:srcRect/>
        <a:stretch>
          <a:fillRect/>
        </a:stretch>
      </xdr:blipFill>
      <xdr:spPr bwMode="auto">
        <a:xfrm>
          <a:off x="1228725" y="3259655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1720</xdr:row>
      <xdr:rowOff>19050</xdr:rowOff>
    </xdr:from>
    <xdr:to>
      <xdr:col>2</xdr:col>
      <xdr:colOff>1733550</xdr:colOff>
      <xdr:row>1720</xdr:row>
      <xdr:rowOff>1666875</xdr:rowOff>
    </xdr:to>
    <xdr:pic>
      <xdr:nvPicPr>
        <xdr:cNvPr id="1720" name="Picture 1719"/>
        <xdr:cNvPicPr>
          <a:picLocks noChangeAspect="1" noChangeArrowheads="1"/>
        </xdr:cNvPicPr>
      </xdr:nvPicPr>
      <xdr:blipFill>
        <a:blip xmlns:r="http://schemas.openxmlformats.org/officeDocument/2006/relationships" r:embed="rId1719">
          <a:extLst>
            <a:ext uri="{28A0092B-C50C-407E-A947-70E740481C1C}">
              <a14:useLocalDpi xmlns:a14="http://schemas.microsoft.com/office/drawing/2010/main" val="0"/>
            </a:ext>
          </a:extLst>
        </a:blip>
        <a:srcRect/>
        <a:stretch>
          <a:fillRect/>
        </a:stretch>
      </xdr:blipFill>
      <xdr:spPr bwMode="auto">
        <a:xfrm>
          <a:off x="1228725" y="3261569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1721</xdr:row>
      <xdr:rowOff>19050</xdr:rowOff>
    </xdr:from>
    <xdr:to>
      <xdr:col>2</xdr:col>
      <xdr:colOff>1733550</xdr:colOff>
      <xdr:row>1721</xdr:row>
      <xdr:rowOff>1666875</xdr:rowOff>
    </xdr:to>
    <xdr:pic>
      <xdr:nvPicPr>
        <xdr:cNvPr id="1721" name="Picture 1720"/>
        <xdr:cNvPicPr>
          <a:picLocks noChangeAspect="1" noChangeArrowheads="1"/>
        </xdr:cNvPicPr>
      </xdr:nvPicPr>
      <xdr:blipFill>
        <a:blip xmlns:r="http://schemas.openxmlformats.org/officeDocument/2006/relationships" r:embed="rId1720">
          <a:extLst>
            <a:ext uri="{28A0092B-C50C-407E-A947-70E740481C1C}">
              <a14:useLocalDpi xmlns:a14="http://schemas.microsoft.com/office/drawing/2010/main" val="0"/>
            </a:ext>
          </a:extLst>
        </a:blip>
        <a:srcRect/>
        <a:stretch>
          <a:fillRect/>
        </a:stretch>
      </xdr:blipFill>
      <xdr:spPr bwMode="auto">
        <a:xfrm>
          <a:off x="1228725" y="3263484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1722</xdr:row>
      <xdr:rowOff>19050</xdr:rowOff>
    </xdr:from>
    <xdr:to>
      <xdr:col>2</xdr:col>
      <xdr:colOff>1733550</xdr:colOff>
      <xdr:row>1722</xdr:row>
      <xdr:rowOff>1666875</xdr:rowOff>
    </xdr:to>
    <xdr:pic>
      <xdr:nvPicPr>
        <xdr:cNvPr id="1722" name="Picture 1721"/>
        <xdr:cNvPicPr>
          <a:picLocks noChangeAspect="1" noChangeArrowheads="1"/>
        </xdr:cNvPicPr>
      </xdr:nvPicPr>
      <xdr:blipFill>
        <a:blip xmlns:r="http://schemas.openxmlformats.org/officeDocument/2006/relationships" r:embed="rId1721">
          <a:extLst>
            <a:ext uri="{28A0092B-C50C-407E-A947-70E740481C1C}">
              <a14:useLocalDpi xmlns:a14="http://schemas.microsoft.com/office/drawing/2010/main" val="0"/>
            </a:ext>
          </a:extLst>
        </a:blip>
        <a:srcRect/>
        <a:stretch>
          <a:fillRect/>
        </a:stretch>
      </xdr:blipFill>
      <xdr:spPr bwMode="auto">
        <a:xfrm>
          <a:off x="1228725" y="326539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1723</xdr:row>
      <xdr:rowOff>19050</xdr:rowOff>
    </xdr:from>
    <xdr:to>
      <xdr:col>2</xdr:col>
      <xdr:colOff>1733550</xdr:colOff>
      <xdr:row>1723</xdr:row>
      <xdr:rowOff>1666875</xdr:rowOff>
    </xdr:to>
    <xdr:pic>
      <xdr:nvPicPr>
        <xdr:cNvPr id="1723" name="Picture 1722"/>
        <xdr:cNvPicPr>
          <a:picLocks noChangeAspect="1" noChangeArrowheads="1"/>
        </xdr:cNvPicPr>
      </xdr:nvPicPr>
      <xdr:blipFill>
        <a:blip xmlns:r="http://schemas.openxmlformats.org/officeDocument/2006/relationships" r:embed="rId1722">
          <a:extLst>
            <a:ext uri="{28A0092B-C50C-407E-A947-70E740481C1C}">
              <a14:useLocalDpi xmlns:a14="http://schemas.microsoft.com/office/drawing/2010/main" val="0"/>
            </a:ext>
          </a:extLst>
        </a:blip>
        <a:srcRect/>
        <a:stretch>
          <a:fillRect/>
        </a:stretch>
      </xdr:blipFill>
      <xdr:spPr bwMode="auto">
        <a:xfrm>
          <a:off x="1228725" y="3267313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1724</xdr:row>
      <xdr:rowOff>19050</xdr:rowOff>
    </xdr:from>
    <xdr:to>
      <xdr:col>2</xdr:col>
      <xdr:colOff>1733550</xdr:colOff>
      <xdr:row>1724</xdr:row>
      <xdr:rowOff>1666875</xdr:rowOff>
    </xdr:to>
    <xdr:pic>
      <xdr:nvPicPr>
        <xdr:cNvPr id="1724" name="Picture 1723"/>
        <xdr:cNvPicPr>
          <a:picLocks noChangeAspect="1" noChangeArrowheads="1"/>
        </xdr:cNvPicPr>
      </xdr:nvPicPr>
      <xdr:blipFill>
        <a:blip xmlns:r="http://schemas.openxmlformats.org/officeDocument/2006/relationships" r:embed="rId1723">
          <a:extLst>
            <a:ext uri="{28A0092B-C50C-407E-A947-70E740481C1C}">
              <a14:useLocalDpi xmlns:a14="http://schemas.microsoft.com/office/drawing/2010/main" val="0"/>
            </a:ext>
          </a:extLst>
        </a:blip>
        <a:srcRect/>
        <a:stretch>
          <a:fillRect/>
        </a:stretch>
      </xdr:blipFill>
      <xdr:spPr bwMode="auto">
        <a:xfrm>
          <a:off x="1228725" y="3269227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1725</xdr:row>
      <xdr:rowOff>19050</xdr:rowOff>
    </xdr:from>
    <xdr:to>
      <xdr:col>2</xdr:col>
      <xdr:colOff>1733550</xdr:colOff>
      <xdr:row>1725</xdr:row>
      <xdr:rowOff>1666875</xdr:rowOff>
    </xdr:to>
    <xdr:pic>
      <xdr:nvPicPr>
        <xdr:cNvPr id="1725" name="Picture 1724"/>
        <xdr:cNvPicPr>
          <a:picLocks noChangeAspect="1" noChangeArrowheads="1"/>
        </xdr:cNvPicPr>
      </xdr:nvPicPr>
      <xdr:blipFill>
        <a:blip xmlns:r="http://schemas.openxmlformats.org/officeDocument/2006/relationships" r:embed="rId1724">
          <a:extLst>
            <a:ext uri="{28A0092B-C50C-407E-A947-70E740481C1C}">
              <a14:useLocalDpi xmlns:a14="http://schemas.microsoft.com/office/drawing/2010/main" val="0"/>
            </a:ext>
          </a:extLst>
        </a:blip>
        <a:srcRect/>
        <a:stretch>
          <a:fillRect/>
        </a:stretch>
      </xdr:blipFill>
      <xdr:spPr bwMode="auto">
        <a:xfrm>
          <a:off x="1228725" y="3271142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1726</xdr:row>
      <xdr:rowOff>19050</xdr:rowOff>
    </xdr:from>
    <xdr:to>
      <xdr:col>2</xdr:col>
      <xdr:colOff>1733550</xdr:colOff>
      <xdr:row>1726</xdr:row>
      <xdr:rowOff>1666875</xdr:rowOff>
    </xdr:to>
    <xdr:pic>
      <xdr:nvPicPr>
        <xdr:cNvPr id="1726" name="Picture 1725"/>
        <xdr:cNvPicPr>
          <a:picLocks noChangeAspect="1" noChangeArrowheads="1"/>
        </xdr:cNvPicPr>
      </xdr:nvPicPr>
      <xdr:blipFill>
        <a:blip xmlns:r="http://schemas.openxmlformats.org/officeDocument/2006/relationships" r:embed="rId1725">
          <a:extLst>
            <a:ext uri="{28A0092B-C50C-407E-A947-70E740481C1C}">
              <a14:useLocalDpi xmlns:a14="http://schemas.microsoft.com/office/drawing/2010/main" val="0"/>
            </a:ext>
          </a:extLst>
        </a:blip>
        <a:srcRect/>
        <a:stretch>
          <a:fillRect/>
        </a:stretch>
      </xdr:blipFill>
      <xdr:spPr bwMode="auto">
        <a:xfrm>
          <a:off x="1228725" y="3273056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1727</xdr:row>
      <xdr:rowOff>19050</xdr:rowOff>
    </xdr:from>
    <xdr:to>
      <xdr:col>2</xdr:col>
      <xdr:colOff>1733550</xdr:colOff>
      <xdr:row>1727</xdr:row>
      <xdr:rowOff>1666875</xdr:rowOff>
    </xdr:to>
    <xdr:pic>
      <xdr:nvPicPr>
        <xdr:cNvPr id="1727" name="Picture 1726"/>
        <xdr:cNvPicPr>
          <a:picLocks noChangeAspect="1" noChangeArrowheads="1"/>
        </xdr:cNvPicPr>
      </xdr:nvPicPr>
      <xdr:blipFill>
        <a:blip xmlns:r="http://schemas.openxmlformats.org/officeDocument/2006/relationships" r:embed="rId1726">
          <a:extLst>
            <a:ext uri="{28A0092B-C50C-407E-A947-70E740481C1C}">
              <a14:useLocalDpi xmlns:a14="http://schemas.microsoft.com/office/drawing/2010/main" val="0"/>
            </a:ext>
          </a:extLst>
        </a:blip>
        <a:srcRect/>
        <a:stretch>
          <a:fillRect/>
        </a:stretch>
      </xdr:blipFill>
      <xdr:spPr bwMode="auto">
        <a:xfrm>
          <a:off x="1228725" y="3274971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1728</xdr:row>
      <xdr:rowOff>19050</xdr:rowOff>
    </xdr:from>
    <xdr:to>
      <xdr:col>2</xdr:col>
      <xdr:colOff>1733550</xdr:colOff>
      <xdr:row>1728</xdr:row>
      <xdr:rowOff>1666875</xdr:rowOff>
    </xdr:to>
    <xdr:pic>
      <xdr:nvPicPr>
        <xdr:cNvPr id="1728" name="Picture 1727"/>
        <xdr:cNvPicPr>
          <a:picLocks noChangeAspect="1" noChangeArrowheads="1"/>
        </xdr:cNvPicPr>
      </xdr:nvPicPr>
      <xdr:blipFill>
        <a:blip xmlns:r="http://schemas.openxmlformats.org/officeDocument/2006/relationships" r:embed="rId1727">
          <a:extLst>
            <a:ext uri="{28A0092B-C50C-407E-A947-70E740481C1C}">
              <a14:useLocalDpi xmlns:a14="http://schemas.microsoft.com/office/drawing/2010/main" val="0"/>
            </a:ext>
          </a:extLst>
        </a:blip>
        <a:srcRect/>
        <a:stretch>
          <a:fillRect/>
        </a:stretch>
      </xdr:blipFill>
      <xdr:spPr bwMode="auto">
        <a:xfrm>
          <a:off x="1228725" y="3276885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1729</xdr:row>
      <xdr:rowOff>19050</xdr:rowOff>
    </xdr:from>
    <xdr:to>
      <xdr:col>2</xdr:col>
      <xdr:colOff>1733550</xdr:colOff>
      <xdr:row>1729</xdr:row>
      <xdr:rowOff>1666875</xdr:rowOff>
    </xdr:to>
    <xdr:pic>
      <xdr:nvPicPr>
        <xdr:cNvPr id="1729" name="Picture 1728"/>
        <xdr:cNvPicPr>
          <a:picLocks noChangeAspect="1" noChangeArrowheads="1"/>
        </xdr:cNvPicPr>
      </xdr:nvPicPr>
      <xdr:blipFill>
        <a:blip xmlns:r="http://schemas.openxmlformats.org/officeDocument/2006/relationships" r:embed="rId1728">
          <a:extLst>
            <a:ext uri="{28A0092B-C50C-407E-A947-70E740481C1C}">
              <a14:useLocalDpi xmlns:a14="http://schemas.microsoft.com/office/drawing/2010/main" val="0"/>
            </a:ext>
          </a:extLst>
        </a:blip>
        <a:srcRect/>
        <a:stretch>
          <a:fillRect/>
        </a:stretch>
      </xdr:blipFill>
      <xdr:spPr bwMode="auto">
        <a:xfrm>
          <a:off x="1228725" y="3278800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1730</xdr:row>
      <xdr:rowOff>19050</xdr:rowOff>
    </xdr:from>
    <xdr:to>
      <xdr:col>2</xdr:col>
      <xdr:colOff>1733550</xdr:colOff>
      <xdr:row>1730</xdr:row>
      <xdr:rowOff>1666875</xdr:rowOff>
    </xdr:to>
    <xdr:pic>
      <xdr:nvPicPr>
        <xdr:cNvPr id="1730" name="Picture 1729"/>
        <xdr:cNvPicPr>
          <a:picLocks noChangeAspect="1" noChangeArrowheads="1"/>
        </xdr:cNvPicPr>
      </xdr:nvPicPr>
      <xdr:blipFill>
        <a:blip xmlns:r="http://schemas.openxmlformats.org/officeDocument/2006/relationships" r:embed="rId1729">
          <a:extLst>
            <a:ext uri="{28A0092B-C50C-407E-A947-70E740481C1C}">
              <a14:useLocalDpi xmlns:a14="http://schemas.microsoft.com/office/drawing/2010/main" val="0"/>
            </a:ext>
          </a:extLst>
        </a:blip>
        <a:srcRect/>
        <a:stretch>
          <a:fillRect/>
        </a:stretch>
      </xdr:blipFill>
      <xdr:spPr bwMode="auto">
        <a:xfrm>
          <a:off x="1228725" y="3280714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1731</xdr:row>
      <xdr:rowOff>19050</xdr:rowOff>
    </xdr:from>
    <xdr:to>
      <xdr:col>2</xdr:col>
      <xdr:colOff>1733550</xdr:colOff>
      <xdr:row>1731</xdr:row>
      <xdr:rowOff>1666875</xdr:rowOff>
    </xdr:to>
    <xdr:pic>
      <xdr:nvPicPr>
        <xdr:cNvPr id="1731" name="Picture 1730"/>
        <xdr:cNvPicPr>
          <a:picLocks noChangeAspect="1" noChangeArrowheads="1"/>
        </xdr:cNvPicPr>
      </xdr:nvPicPr>
      <xdr:blipFill>
        <a:blip xmlns:r="http://schemas.openxmlformats.org/officeDocument/2006/relationships" r:embed="rId1730">
          <a:extLst>
            <a:ext uri="{28A0092B-C50C-407E-A947-70E740481C1C}">
              <a14:useLocalDpi xmlns:a14="http://schemas.microsoft.com/office/drawing/2010/main" val="0"/>
            </a:ext>
          </a:extLst>
        </a:blip>
        <a:srcRect/>
        <a:stretch>
          <a:fillRect/>
        </a:stretch>
      </xdr:blipFill>
      <xdr:spPr bwMode="auto">
        <a:xfrm>
          <a:off x="1228725" y="3282629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1732</xdr:row>
      <xdr:rowOff>19050</xdr:rowOff>
    </xdr:from>
    <xdr:to>
      <xdr:col>2</xdr:col>
      <xdr:colOff>1733550</xdr:colOff>
      <xdr:row>1732</xdr:row>
      <xdr:rowOff>1666875</xdr:rowOff>
    </xdr:to>
    <xdr:pic>
      <xdr:nvPicPr>
        <xdr:cNvPr id="1732" name="Picture 1731"/>
        <xdr:cNvPicPr>
          <a:picLocks noChangeAspect="1" noChangeArrowheads="1"/>
        </xdr:cNvPicPr>
      </xdr:nvPicPr>
      <xdr:blipFill>
        <a:blip xmlns:r="http://schemas.openxmlformats.org/officeDocument/2006/relationships" r:embed="rId1731">
          <a:extLst>
            <a:ext uri="{28A0092B-C50C-407E-A947-70E740481C1C}">
              <a14:useLocalDpi xmlns:a14="http://schemas.microsoft.com/office/drawing/2010/main" val="0"/>
            </a:ext>
          </a:extLst>
        </a:blip>
        <a:srcRect/>
        <a:stretch>
          <a:fillRect/>
        </a:stretch>
      </xdr:blipFill>
      <xdr:spPr bwMode="auto">
        <a:xfrm>
          <a:off x="1228725" y="328454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1733</xdr:row>
      <xdr:rowOff>19050</xdr:rowOff>
    </xdr:from>
    <xdr:to>
      <xdr:col>2</xdr:col>
      <xdr:colOff>1733550</xdr:colOff>
      <xdr:row>1733</xdr:row>
      <xdr:rowOff>1666875</xdr:rowOff>
    </xdr:to>
    <xdr:pic>
      <xdr:nvPicPr>
        <xdr:cNvPr id="1733" name="Picture 1732"/>
        <xdr:cNvPicPr>
          <a:picLocks noChangeAspect="1" noChangeArrowheads="1"/>
        </xdr:cNvPicPr>
      </xdr:nvPicPr>
      <xdr:blipFill>
        <a:blip xmlns:r="http://schemas.openxmlformats.org/officeDocument/2006/relationships" r:embed="rId1732">
          <a:extLst>
            <a:ext uri="{28A0092B-C50C-407E-A947-70E740481C1C}">
              <a14:useLocalDpi xmlns:a14="http://schemas.microsoft.com/office/drawing/2010/main" val="0"/>
            </a:ext>
          </a:extLst>
        </a:blip>
        <a:srcRect/>
        <a:stretch>
          <a:fillRect/>
        </a:stretch>
      </xdr:blipFill>
      <xdr:spPr bwMode="auto">
        <a:xfrm>
          <a:off x="1228725" y="3286458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1734</xdr:row>
      <xdr:rowOff>19050</xdr:rowOff>
    </xdr:from>
    <xdr:to>
      <xdr:col>2</xdr:col>
      <xdr:colOff>1733550</xdr:colOff>
      <xdr:row>1734</xdr:row>
      <xdr:rowOff>1666875</xdr:rowOff>
    </xdr:to>
    <xdr:pic>
      <xdr:nvPicPr>
        <xdr:cNvPr id="1734" name="Picture 1733"/>
        <xdr:cNvPicPr>
          <a:picLocks noChangeAspect="1" noChangeArrowheads="1"/>
        </xdr:cNvPicPr>
      </xdr:nvPicPr>
      <xdr:blipFill>
        <a:blip xmlns:r="http://schemas.openxmlformats.org/officeDocument/2006/relationships" r:embed="rId1733">
          <a:extLst>
            <a:ext uri="{28A0092B-C50C-407E-A947-70E740481C1C}">
              <a14:useLocalDpi xmlns:a14="http://schemas.microsoft.com/office/drawing/2010/main" val="0"/>
            </a:ext>
          </a:extLst>
        </a:blip>
        <a:srcRect/>
        <a:stretch>
          <a:fillRect/>
        </a:stretch>
      </xdr:blipFill>
      <xdr:spPr bwMode="auto">
        <a:xfrm>
          <a:off x="1228725" y="3288372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1735</xdr:row>
      <xdr:rowOff>19050</xdr:rowOff>
    </xdr:from>
    <xdr:to>
      <xdr:col>2</xdr:col>
      <xdr:colOff>1733550</xdr:colOff>
      <xdr:row>1735</xdr:row>
      <xdr:rowOff>1666875</xdr:rowOff>
    </xdr:to>
    <xdr:pic>
      <xdr:nvPicPr>
        <xdr:cNvPr id="1735" name="Picture 1734"/>
        <xdr:cNvPicPr>
          <a:picLocks noChangeAspect="1" noChangeArrowheads="1"/>
        </xdr:cNvPicPr>
      </xdr:nvPicPr>
      <xdr:blipFill>
        <a:blip xmlns:r="http://schemas.openxmlformats.org/officeDocument/2006/relationships" r:embed="rId1734">
          <a:extLst>
            <a:ext uri="{28A0092B-C50C-407E-A947-70E740481C1C}">
              <a14:useLocalDpi xmlns:a14="http://schemas.microsoft.com/office/drawing/2010/main" val="0"/>
            </a:ext>
          </a:extLst>
        </a:blip>
        <a:srcRect/>
        <a:stretch>
          <a:fillRect/>
        </a:stretch>
      </xdr:blipFill>
      <xdr:spPr bwMode="auto">
        <a:xfrm>
          <a:off x="1228725" y="3290287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1736</xdr:row>
      <xdr:rowOff>19050</xdr:rowOff>
    </xdr:from>
    <xdr:to>
      <xdr:col>2</xdr:col>
      <xdr:colOff>1733550</xdr:colOff>
      <xdr:row>1736</xdr:row>
      <xdr:rowOff>1666875</xdr:rowOff>
    </xdr:to>
    <xdr:pic>
      <xdr:nvPicPr>
        <xdr:cNvPr id="1736" name="Picture 1735"/>
        <xdr:cNvPicPr>
          <a:picLocks noChangeAspect="1" noChangeArrowheads="1"/>
        </xdr:cNvPicPr>
      </xdr:nvPicPr>
      <xdr:blipFill>
        <a:blip xmlns:r="http://schemas.openxmlformats.org/officeDocument/2006/relationships" r:embed="rId1735">
          <a:extLst>
            <a:ext uri="{28A0092B-C50C-407E-A947-70E740481C1C}">
              <a14:useLocalDpi xmlns:a14="http://schemas.microsoft.com/office/drawing/2010/main" val="0"/>
            </a:ext>
          </a:extLst>
        </a:blip>
        <a:srcRect/>
        <a:stretch>
          <a:fillRect/>
        </a:stretch>
      </xdr:blipFill>
      <xdr:spPr bwMode="auto">
        <a:xfrm>
          <a:off x="1228725" y="3292201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1737</xdr:row>
      <xdr:rowOff>19050</xdr:rowOff>
    </xdr:from>
    <xdr:to>
      <xdr:col>2</xdr:col>
      <xdr:colOff>1733550</xdr:colOff>
      <xdr:row>1737</xdr:row>
      <xdr:rowOff>1666875</xdr:rowOff>
    </xdr:to>
    <xdr:pic>
      <xdr:nvPicPr>
        <xdr:cNvPr id="1737" name="Picture 1736"/>
        <xdr:cNvPicPr>
          <a:picLocks noChangeAspect="1" noChangeArrowheads="1"/>
        </xdr:cNvPicPr>
      </xdr:nvPicPr>
      <xdr:blipFill>
        <a:blip xmlns:r="http://schemas.openxmlformats.org/officeDocument/2006/relationships" r:embed="rId1736">
          <a:extLst>
            <a:ext uri="{28A0092B-C50C-407E-A947-70E740481C1C}">
              <a14:useLocalDpi xmlns:a14="http://schemas.microsoft.com/office/drawing/2010/main" val="0"/>
            </a:ext>
          </a:extLst>
        </a:blip>
        <a:srcRect/>
        <a:stretch>
          <a:fillRect/>
        </a:stretch>
      </xdr:blipFill>
      <xdr:spPr bwMode="auto">
        <a:xfrm>
          <a:off x="1228725" y="3294116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1738</xdr:row>
      <xdr:rowOff>19050</xdr:rowOff>
    </xdr:from>
    <xdr:to>
      <xdr:col>2</xdr:col>
      <xdr:colOff>1733550</xdr:colOff>
      <xdr:row>1738</xdr:row>
      <xdr:rowOff>1666875</xdr:rowOff>
    </xdr:to>
    <xdr:pic>
      <xdr:nvPicPr>
        <xdr:cNvPr id="1738" name="Picture 1737"/>
        <xdr:cNvPicPr>
          <a:picLocks noChangeAspect="1" noChangeArrowheads="1"/>
        </xdr:cNvPicPr>
      </xdr:nvPicPr>
      <xdr:blipFill>
        <a:blip xmlns:r="http://schemas.openxmlformats.org/officeDocument/2006/relationships" r:embed="rId1737">
          <a:extLst>
            <a:ext uri="{28A0092B-C50C-407E-A947-70E740481C1C}">
              <a14:useLocalDpi xmlns:a14="http://schemas.microsoft.com/office/drawing/2010/main" val="0"/>
            </a:ext>
          </a:extLst>
        </a:blip>
        <a:srcRect/>
        <a:stretch>
          <a:fillRect/>
        </a:stretch>
      </xdr:blipFill>
      <xdr:spPr bwMode="auto">
        <a:xfrm>
          <a:off x="1228725" y="3296031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1739</xdr:row>
      <xdr:rowOff>19050</xdr:rowOff>
    </xdr:from>
    <xdr:to>
      <xdr:col>2</xdr:col>
      <xdr:colOff>1733550</xdr:colOff>
      <xdr:row>1739</xdr:row>
      <xdr:rowOff>1666875</xdr:rowOff>
    </xdr:to>
    <xdr:pic>
      <xdr:nvPicPr>
        <xdr:cNvPr id="1739" name="Picture 1738"/>
        <xdr:cNvPicPr>
          <a:picLocks noChangeAspect="1" noChangeArrowheads="1"/>
        </xdr:cNvPicPr>
      </xdr:nvPicPr>
      <xdr:blipFill>
        <a:blip xmlns:r="http://schemas.openxmlformats.org/officeDocument/2006/relationships" r:embed="rId1738">
          <a:extLst>
            <a:ext uri="{28A0092B-C50C-407E-A947-70E740481C1C}">
              <a14:useLocalDpi xmlns:a14="http://schemas.microsoft.com/office/drawing/2010/main" val="0"/>
            </a:ext>
          </a:extLst>
        </a:blip>
        <a:srcRect/>
        <a:stretch>
          <a:fillRect/>
        </a:stretch>
      </xdr:blipFill>
      <xdr:spPr bwMode="auto">
        <a:xfrm>
          <a:off x="1228725" y="3297945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1740</xdr:row>
      <xdr:rowOff>19050</xdr:rowOff>
    </xdr:from>
    <xdr:to>
      <xdr:col>2</xdr:col>
      <xdr:colOff>1733550</xdr:colOff>
      <xdr:row>1740</xdr:row>
      <xdr:rowOff>1666875</xdr:rowOff>
    </xdr:to>
    <xdr:pic>
      <xdr:nvPicPr>
        <xdr:cNvPr id="1740" name="Picture 1739"/>
        <xdr:cNvPicPr>
          <a:picLocks noChangeAspect="1" noChangeArrowheads="1"/>
        </xdr:cNvPicPr>
      </xdr:nvPicPr>
      <xdr:blipFill>
        <a:blip xmlns:r="http://schemas.openxmlformats.org/officeDocument/2006/relationships" r:embed="rId1739">
          <a:extLst>
            <a:ext uri="{28A0092B-C50C-407E-A947-70E740481C1C}">
              <a14:useLocalDpi xmlns:a14="http://schemas.microsoft.com/office/drawing/2010/main" val="0"/>
            </a:ext>
          </a:extLst>
        </a:blip>
        <a:srcRect/>
        <a:stretch>
          <a:fillRect/>
        </a:stretch>
      </xdr:blipFill>
      <xdr:spPr bwMode="auto">
        <a:xfrm>
          <a:off x="1228725" y="3299860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1741</xdr:row>
      <xdr:rowOff>19050</xdr:rowOff>
    </xdr:from>
    <xdr:to>
      <xdr:col>2</xdr:col>
      <xdr:colOff>1733550</xdr:colOff>
      <xdr:row>1741</xdr:row>
      <xdr:rowOff>1666875</xdr:rowOff>
    </xdr:to>
    <xdr:pic>
      <xdr:nvPicPr>
        <xdr:cNvPr id="1741" name="Picture 1740"/>
        <xdr:cNvPicPr>
          <a:picLocks noChangeAspect="1" noChangeArrowheads="1"/>
        </xdr:cNvPicPr>
      </xdr:nvPicPr>
      <xdr:blipFill>
        <a:blip xmlns:r="http://schemas.openxmlformats.org/officeDocument/2006/relationships" r:embed="rId1740">
          <a:extLst>
            <a:ext uri="{28A0092B-C50C-407E-A947-70E740481C1C}">
              <a14:useLocalDpi xmlns:a14="http://schemas.microsoft.com/office/drawing/2010/main" val="0"/>
            </a:ext>
          </a:extLst>
        </a:blip>
        <a:srcRect/>
        <a:stretch>
          <a:fillRect/>
        </a:stretch>
      </xdr:blipFill>
      <xdr:spPr bwMode="auto">
        <a:xfrm>
          <a:off x="1228725" y="3301774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1742</xdr:row>
      <xdr:rowOff>19050</xdr:rowOff>
    </xdr:from>
    <xdr:to>
      <xdr:col>2</xdr:col>
      <xdr:colOff>1733550</xdr:colOff>
      <xdr:row>1742</xdr:row>
      <xdr:rowOff>1666875</xdr:rowOff>
    </xdr:to>
    <xdr:pic>
      <xdr:nvPicPr>
        <xdr:cNvPr id="1742" name="Picture 1741"/>
        <xdr:cNvPicPr>
          <a:picLocks noChangeAspect="1" noChangeArrowheads="1"/>
        </xdr:cNvPicPr>
      </xdr:nvPicPr>
      <xdr:blipFill>
        <a:blip xmlns:r="http://schemas.openxmlformats.org/officeDocument/2006/relationships" r:embed="rId1741">
          <a:extLst>
            <a:ext uri="{28A0092B-C50C-407E-A947-70E740481C1C}">
              <a14:useLocalDpi xmlns:a14="http://schemas.microsoft.com/office/drawing/2010/main" val="0"/>
            </a:ext>
          </a:extLst>
        </a:blip>
        <a:srcRect/>
        <a:stretch>
          <a:fillRect/>
        </a:stretch>
      </xdr:blipFill>
      <xdr:spPr bwMode="auto">
        <a:xfrm>
          <a:off x="1228725" y="3303689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1743</xdr:row>
      <xdr:rowOff>19050</xdr:rowOff>
    </xdr:from>
    <xdr:to>
      <xdr:col>2</xdr:col>
      <xdr:colOff>1733550</xdr:colOff>
      <xdr:row>1743</xdr:row>
      <xdr:rowOff>1666875</xdr:rowOff>
    </xdr:to>
    <xdr:pic>
      <xdr:nvPicPr>
        <xdr:cNvPr id="1743" name="Picture 1742"/>
        <xdr:cNvPicPr>
          <a:picLocks noChangeAspect="1" noChangeArrowheads="1"/>
        </xdr:cNvPicPr>
      </xdr:nvPicPr>
      <xdr:blipFill>
        <a:blip xmlns:r="http://schemas.openxmlformats.org/officeDocument/2006/relationships" r:embed="rId1742">
          <a:extLst>
            <a:ext uri="{28A0092B-C50C-407E-A947-70E740481C1C}">
              <a14:useLocalDpi xmlns:a14="http://schemas.microsoft.com/office/drawing/2010/main" val="0"/>
            </a:ext>
          </a:extLst>
        </a:blip>
        <a:srcRect/>
        <a:stretch>
          <a:fillRect/>
        </a:stretch>
      </xdr:blipFill>
      <xdr:spPr bwMode="auto">
        <a:xfrm>
          <a:off x="1228725" y="3305603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1744</xdr:row>
      <xdr:rowOff>19050</xdr:rowOff>
    </xdr:from>
    <xdr:to>
      <xdr:col>2</xdr:col>
      <xdr:colOff>1733550</xdr:colOff>
      <xdr:row>1744</xdr:row>
      <xdr:rowOff>1666875</xdr:rowOff>
    </xdr:to>
    <xdr:pic>
      <xdr:nvPicPr>
        <xdr:cNvPr id="1744" name="Picture 1743"/>
        <xdr:cNvPicPr>
          <a:picLocks noChangeAspect="1" noChangeArrowheads="1"/>
        </xdr:cNvPicPr>
      </xdr:nvPicPr>
      <xdr:blipFill>
        <a:blip xmlns:r="http://schemas.openxmlformats.org/officeDocument/2006/relationships" r:embed="rId1743">
          <a:extLst>
            <a:ext uri="{28A0092B-C50C-407E-A947-70E740481C1C}">
              <a14:useLocalDpi xmlns:a14="http://schemas.microsoft.com/office/drawing/2010/main" val="0"/>
            </a:ext>
          </a:extLst>
        </a:blip>
        <a:srcRect/>
        <a:stretch>
          <a:fillRect/>
        </a:stretch>
      </xdr:blipFill>
      <xdr:spPr bwMode="auto">
        <a:xfrm>
          <a:off x="1228725" y="3307518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1745</xdr:row>
      <xdr:rowOff>19050</xdr:rowOff>
    </xdr:from>
    <xdr:to>
      <xdr:col>2</xdr:col>
      <xdr:colOff>1733550</xdr:colOff>
      <xdr:row>1745</xdr:row>
      <xdr:rowOff>1666875</xdr:rowOff>
    </xdr:to>
    <xdr:pic>
      <xdr:nvPicPr>
        <xdr:cNvPr id="1745" name="Picture 1744"/>
        <xdr:cNvPicPr>
          <a:picLocks noChangeAspect="1" noChangeArrowheads="1"/>
        </xdr:cNvPicPr>
      </xdr:nvPicPr>
      <xdr:blipFill>
        <a:blip xmlns:r="http://schemas.openxmlformats.org/officeDocument/2006/relationships" r:embed="rId1744">
          <a:extLst>
            <a:ext uri="{28A0092B-C50C-407E-A947-70E740481C1C}">
              <a14:useLocalDpi xmlns:a14="http://schemas.microsoft.com/office/drawing/2010/main" val="0"/>
            </a:ext>
          </a:extLst>
        </a:blip>
        <a:srcRect/>
        <a:stretch>
          <a:fillRect/>
        </a:stretch>
      </xdr:blipFill>
      <xdr:spPr bwMode="auto">
        <a:xfrm>
          <a:off x="1228725" y="3309432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1746</xdr:row>
      <xdr:rowOff>19050</xdr:rowOff>
    </xdr:from>
    <xdr:to>
      <xdr:col>2</xdr:col>
      <xdr:colOff>1733550</xdr:colOff>
      <xdr:row>1746</xdr:row>
      <xdr:rowOff>1666875</xdr:rowOff>
    </xdr:to>
    <xdr:pic>
      <xdr:nvPicPr>
        <xdr:cNvPr id="1746" name="Picture 1745"/>
        <xdr:cNvPicPr>
          <a:picLocks noChangeAspect="1" noChangeArrowheads="1"/>
        </xdr:cNvPicPr>
      </xdr:nvPicPr>
      <xdr:blipFill>
        <a:blip xmlns:r="http://schemas.openxmlformats.org/officeDocument/2006/relationships" r:embed="rId1745">
          <a:extLst>
            <a:ext uri="{28A0092B-C50C-407E-A947-70E740481C1C}">
              <a14:useLocalDpi xmlns:a14="http://schemas.microsoft.com/office/drawing/2010/main" val="0"/>
            </a:ext>
          </a:extLst>
        </a:blip>
        <a:srcRect/>
        <a:stretch>
          <a:fillRect/>
        </a:stretch>
      </xdr:blipFill>
      <xdr:spPr bwMode="auto">
        <a:xfrm>
          <a:off x="1228725" y="3311347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1747</xdr:row>
      <xdr:rowOff>19050</xdr:rowOff>
    </xdr:from>
    <xdr:to>
      <xdr:col>2</xdr:col>
      <xdr:colOff>1733550</xdr:colOff>
      <xdr:row>1747</xdr:row>
      <xdr:rowOff>1666875</xdr:rowOff>
    </xdr:to>
    <xdr:pic>
      <xdr:nvPicPr>
        <xdr:cNvPr id="1747" name="Picture 1746"/>
        <xdr:cNvPicPr>
          <a:picLocks noChangeAspect="1" noChangeArrowheads="1"/>
        </xdr:cNvPicPr>
      </xdr:nvPicPr>
      <xdr:blipFill>
        <a:blip xmlns:r="http://schemas.openxmlformats.org/officeDocument/2006/relationships" r:embed="rId1746">
          <a:extLst>
            <a:ext uri="{28A0092B-C50C-407E-A947-70E740481C1C}">
              <a14:useLocalDpi xmlns:a14="http://schemas.microsoft.com/office/drawing/2010/main" val="0"/>
            </a:ext>
          </a:extLst>
        </a:blip>
        <a:srcRect/>
        <a:stretch>
          <a:fillRect/>
        </a:stretch>
      </xdr:blipFill>
      <xdr:spPr bwMode="auto">
        <a:xfrm>
          <a:off x="1228725" y="3313261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1748</xdr:row>
      <xdr:rowOff>19050</xdr:rowOff>
    </xdr:from>
    <xdr:to>
      <xdr:col>2</xdr:col>
      <xdr:colOff>1733550</xdr:colOff>
      <xdr:row>1748</xdr:row>
      <xdr:rowOff>1666875</xdr:rowOff>
    </xdr:to>
    <xdr:pic>
      <xdr:nvPicPr>
        <xdr:cNvPr id="1748" name="Picture 1747"/>
        <xdr:cNvPicPr>
          <a:picLocks noChangeAspect="1" noChangeArrowheads="1"/>
        </xdr:cNvPicPr>
      </xdr:nvPicPr>
      <xdr:blipFill>
        <a:blip xmlns:r="http://schemas.openxmlformats.org/officeDocument/2006/relationships" r:embed="rId1747">
          <a:extLst>
            <a:ext uri="{28A0092B-C50C-407E-A947-70E740481C1C}">
              <a14:useLocalDpi xmlns:a14="http://schemas.microsoft.com/office/drawing/2010/main" val="0"/>
            </a:ext>
          </a:extLst>
        </a:blip>
        <a:srcRect/>
        <a:stretch>
          <a:fillRect/>
        </a:stretch>
      </xdr:blipFill>
      <xdr:spPr bwMode="auto">
        <a:xfrm>
          <a:off x="1228725" y="3315176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1749</xdr:row>
      <xdr:rowOff>19050</xdr:rowOff>
    </xdr:from>
    <xdr:to>
      <xdr:col>2</xdr:col>
      <xdr:colOff>1733550</xdr:colOff>
      <xdr:row>1749</xdr:row>
      <xdr:rowOff>1666875</xdr:rowOff>
    </xdr:to>
    <xdr:pic>
      <xdr:nvPicPr>
        <xdr:cNvPr id="1749" name="Picture 1748"/>
        <xdr:cNvPicPr>
          <a:picLocks noChangeAspect="1" noChangeArrowheads="1"/>
        </xdr:cNvPicPr>
      </xdr:nvPicPr>
      <xdr:blipFill>
        <a:blip xmlns:r="http://schemas.openxmlformats.org/officeDocument/2006/relationships" r:embed="rId1748">
          <a:extLst>
            <a:ext uri="{28A0092B-C50C-407E-A947-70E740481C1C}">
              <a14:useLocalDpi xmlns:a14="http://schemas.microsoft.com/office/drawing/2010/main" val="0"/>
            </a:ext>
          </a:extLst>
        </a:blip>
        <a:srcRect/>
        <a:stretch>
          <a:fillRect/>
        </a:stretch>
      </xdr:blipFill>
      <xdr:spPr bwMode="auto">
        <a:xfrm>
          <a:off x="1228725" y="3317090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1750</xdr:row>
      <xdr:rowOff>19050</xdr:rowOff>
    </xdr:from>
    <xdr:to>
      <xdr:col>2</xdr:col>
      <xdr:colOff>1733550</xdr:colOff>
      <xdr:row>1750</xdr:row>
      <xdr:rowOff>1666875</xdr:rowOff>
    </xdr:to>
    <xdr:pic>
      <xdr:nvPicPr>
        <xdr:cNvPr id="1750" name="Picture 1749"/>
        <xdr:cNvPicPr>
          <a:picLocks noChangeAspect="1" noChangeArrowheads="1"/>
        </xdr:cNvPicPr>
      </xdr:nvPicPr>
      <xdr:blipFill>
        <a:blip xmlns:r="http://schemas.openxmlformats.org/officeDocument/2006/relationships" r:embed="rId1749">
          <a:extLst>
            <a:ext uri="{28A0092B-C50C-407E-A947-70E740481C1C}">
              <a14:useLocalDpi xmlns:a14="http://schemas.microsoft.com/office/drawing/2010/main" val="0"/>
            </a:ext>
          </a:extLst>
        </a:blip>
        <a:srcRect/>
        <a:stretch>
          <a:fillRect/>
        </a:stretch>
      </xdr:blipFill>
      <xdr:spPr bwMode="auto">
        <a:xfrm>
          <a:off x="1228725" y="3319005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1751</xdr:row>
      <xdr:rowOff>19050</xdr:rowOff>
    </xdr:from>
    <xdr:to>
      <xdr:col>2</xdr:col>
      <xdr:colOff>1733550</xdr:colOff>
      <xdr:row>1751</xdr:row>
      <xdr:rowOff>1666875</xdr:rowOff>
    </xdr:to>
    <xdr:pic>
      <xdr:nvPicPr>
        <xdr:cNvPr id="1751" name="Picture 1750"/>
        <xdr:cNvPicPr>
          <a:picLocks noChangeAspect="1" noChangeArrowheads="1"/>
        </xdr:cNvPicPr>
      </xdr:nvPicPr>
      <xdr:blipFill>
        <a:blip xmlns:r="http://schemas.openxmlformats.org/officeDocument/2006/relationships" r:embed="rId1750">
          <a:extLst>
            <a:ext uri="{28A0092B-C50C-407E-A947-70E740481C1C}">
              <a14:useLocalDpi xmlns:a14="http://schemas.microsoft.com/office/drawing/2010/main" val="0"/>
            </a:ext>
          </a:extLst>
        </a:blip>
        <a:srcRect/>
        <a:stretch>
          <a:fillRect/>
        </a:stretch>
      </xdr:blipFill>
      <xdr:spPr bwMode="auto">
        <a:xfrm>
          <a:off x="1228725" y="3320919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1752</xdr:row>
      <xdr:rowOff>19050</xdr:rowOff>
    </xdr:from>
    <xdr:to>
      <xdr:col>2</xdr:col>
      <xdr:colOff>1733550</xdr:colOff>
      <xdr:row>1752</xdr:row>
      <xdr:rowOff>1666875</xdr:rowOff>
    </xdr:to>
    <xdr:pic>
      <xdr:nvPicPr>
        <xdr:cNvPr id="1752" name="Picture 1751"/>
        <xdr:cNvPicPr>
          <a:picLocks noChangeAspect="1" noChangeArrowheads="1"/>
        </xdr:cNvPicPr>
      </xdr:nvPicPr>
      <xdr:blipFill>
        <a:blip xmlns:r="http://schemas.openxmlformats.org/officeDocument/2006/relationships" r:embed="rId1751">
          <a:extLst>
            <a:ext uri="{28A0092B-C50C-407E-A947-70E740481C1C}">
              <a14:useLocalDpi xmlns:a14="http://schemas.microsoft.com/office/drawing/2010/main" val="0"/>
            </a:ext>
          </a:extLst>
        </a:blip>
        <a:srcRect/>
        <a:stretch>
          <a:fillRect/>
        </a:stretch>
      </xdr:blipFill>
      <xdr:spPr bwMode="auto">
        <a:xfrm>
          <a:off x="1228725" y="3322834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1753</xdr:row>
      <xdr:rowOff>19050</xdr:rowOff>
    </xdr:from>
    <xdr:to>
      <xdr:col>2</xdr:col>
      <xdr:colOff>1733550</xdr:colOff>
      <xdr:row>1753</xdr:row>
      <xdr:rowOff>1666875</xdr:rowOff>
    </xdr:to>
    <xdr:pic>
      <xdr:nvPicPr>
        <xdr:cNvPr id="1753" name="Picture 1752"/>
        <xdr:cNvPicPr>
          <a:picLocks noChangeAspect="1" noChangeArrowheads="1"/>
        </xdr:cNvPicPr>
      </xdr:nvPicPr>
      <xdr:blipFill>
        <a:blip xmlns:r="http://schemas.openxmlformats.org/officeDocument/2006/relationships" r:embed="rId1752">
          <a:extLst>
            <a:ext uri="{28A0092B-C50C-407E-A947-70E740481C1C}">
              <a14:useLocalDpi xmlns:a14="http://schemas.microsoft.com/office/drawing/2010/main" val="0"/>
            </a:ext>
          </a:extLst>
        </a:blip>
        <a:srcRect/>
        <a:stretch>
          <a:fillRect/>
        </a:stretch>
      </xdr:blipFill>
      <xdr:spPr bwMode="auto">
        <a:xfrm>
          <a:off x="1228725" y="3324748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1754</xdr:row>
      <xdr:rowOff>19050</xdr:rowOff>
    </xdr:from>
    <xdr:to>
      <xdr:col>2</xdr:col>
      <xdr:colOff>1733550</xdr:colOff>
      <xdr:row>1754</xdr:row>
      <xdr:rowOff>1666875</xdr:rowOff>
    </xdr:to>
    <xdr:pic>
      <xdr:nvPicPr>
        <xdr:cNvPr id="1754" name="Picture 1753"/>
        <xdr:cNvPicPr>
          <a:picLocks noChangeAspect="1" noChangeArrowheads="1"/>
        </xdr:cNvPicPr>
      </xdr:nvPicPr>
      <xdr:blipFill>
        <a:blip xmlns:r="http://schemas.openxmlformats.org/officeDocument/2006/relationships" r:embed="rId1753">
          <a:extLst>
            <a:ext uri="{28A0092B-C50C-407E-A947-70E740481C1C}">
              <a14:useLocalDpi xmlns:a14="http://schemas.microsoft.com/office/drawing/2010/main" val="0"/>
            </a:ext>
          </a:extLst>
        </a:blip>
        <a:srcRect/>
        <a:stretch>
          <a:fillRect/>
        </a:stretch>
      </xdr:blipFill>
      <xdr:spPr bwMode="auto">
        <a:xfrm>
          <a:off x="1228725" y="3326663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1755</xdr:row>
      <xdr:rowOff>19050</xdr:rowOff>
    </xdr:from>
    <xdr:to>
      <xdr:col>2</xdr:col>
      <xdr:colOff>1733550</xdr:colOff>
      <xdr:row>1755</xdr:row>
      <xdr:rowOff>1666875</xdr:rowOff>
    </xdr:to>
    <xdr:pic>
      <xdr:nvPicPr>
        <xdr:cNvPr id="1755" name="Picture 1754"/>
        <xdr:cNvPicPr>
          <a:picLocks noChangeAspect="1" noChangeArrowheads="1"/>
        </xdr:cNvPicPr>
      </xdr:nvPicPr>
      <xdr:blipFill>
        <a:blip xmlns:r="http://schemas.openxmlformats.org/officeDocument/2006/relationships" r:embed="rId1754">
          <a:extLst>
            <a:ext uri="{28A0092B-C50C-407E-A947-70E740481C1C}">
              <a14:useLocalDpi xmlns:a14="http://schemas.microsoft.com/office/drawing/2010/main" val="0"/>
            </a:ext>
          </a:extLst>
        </a:blip>
        <a:srcRect/>
        <a:stretch>
          <a:fillRect/>
        </a:stretch>
      </xdr:blipFill>
      <xdr:spPr bwMode="auto">
        <a:xfrm>
          <a:off x="1228725" y="3328577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1756</xdr:row>
      <xdr:rowOff>19050</xdr:rowOff>
    </xdr:from>
    <xdr:to>
      <xdr:col>2</xdr:col>
      <xdr:colOff>1733550</xdr:colOff>
      <xdr:row>1756</xdr:row>
      <xdr:rowOff>1666875</xdr:rowOff>
    </xdr:to>
    <xdr:pic>
      <xdr:nvPicPr>
        <xdr:cNvPr id="1756" name="Picture 1755"/>
        <xdr:cNvPicPr>
          <a:picLocks noChangeAspect="1" noChangeArrowheads="1"/>
        </xdr:cNvPicPr>
      </xdr:nvPicPr>
      <xdr:blipFill>
        <a:blip xmlns:r="http://schemas.openxmlformats.org/officeDocument/2006/relationships" r:embed="rId1755">
          <a:extLst>
            <a:ext uri="{28A0092B-C50C-407E-A947-70E740481C1C}">
              <a14:useLocalDpi xmlns:a14="http://schemas.microsoft.com/office/drawing/2010/main" val="0"/>
            </a:ext>
          </a:extLst>
        </a:blip>
        <a:srcRect/>
        <a:stretch>
          <a:fillRect/>
        </a:stretch>
      </xdr:blipFill>
      <xdr:spPr bwMode="auto">
        <a:xfrm>
          <a:off x="1228725" y="3330492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1757</xdr:row>
      <xdr:rowOff>19050</xdr:rowOff>
    </xdr:from>
    <xdr:to>
      <xdr:col>2</xdr:col>
      <xdr:colOff>1733550</xdr:colOff>
      <xdr:row>1757</xdr:row>
      <xdr:rowOff>1666875</xdr:rowOff>
    </xdr:to>
    <xdr:pic>
      <xdr:nvPicPr>
        <xdr:cNvPr id="1757" name="Picture 1756"/>
        <xdr:cNvPicPr>
          <a:picLocks noChangeAspect="1" noChangeArrowheads="1"/>
        </xdr:cNvPicPr>
      </xdr:nvPicPr>
      <xdr:blipFill>
        <a:blip xmlns:r="http://schemas.openxmlformats.org/officeDocument/2006/relationships" r:embed="rId1756">
          <a:extLst>
            <a:ext uri="{28A0092B-C50C-407E-A947-70E740481C1C}">
              <a14:useLocalDpi xmlns:a14="http://schemas.microsoft.com/office/drawing/2010/main" val="0"/>
            </a:ext>
          </a:extLst>
        </a:blip>
        <a:srcRect/>
        <a:stretch>
          <a:fillRect/>
        </a:stretch>
      </xdr:blipFill>
      <xdr:spPr bwMode="auto">
        <a:xfrm>
          <a:off x="1228725" y="3332406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1758</xdr:row>
      <xdr:rowOff>19050</xdr:rowOff>
    </xdr:from>
    <xdr:to>
      <xdr:col>2</xdr:col>
      <xdr:colOff>1733550</xdr:colOff>
      <xdr:row>1758</xdr:row>
      <xdr:rowOff>1666875</xdr:rowOff>
    </xdr:to>
    <xdr:pic>
      <xdr:nvPicPr>
        <xdr:cNvPr id="1758" name="Picture 1757"/>
        <xdr:cNvPicPr>
          <a:picLocks noChangeAspect="1" noChangeArrowheads="1"/>
        </xdr:cNvPicPr>
      </xdr:nvPicPr>
      <xdr:blipFill>
        <a:blip xmlns:r="http://schemas.openxmlformats.org/officeDocument/2006/relationships" r:embed="rId1757">
          <a:extLst>
            <a:ext uri="{28A0092B-C50C-407E-A947-70E740481C1C}">
              <a14:useLocalDpi xmlns:a14="http://schemas.microsoft.com/office/drawing/2010/main" val="0"/>
            </a:ext>
          </a:extLst>
        </a:blip>
        <a:srcRect/>
        <a:stretch>
          <a:fillRect/>
        </a:stretch>
      </xdr:blipFill>
      <xdr:spPr bwMode="auto">
        <a:xfrm>
          <a:off x="1228725" y="333432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1759</xdr:row>
      <xdr:rowOff>19050</xdr:rowOff>
    </xdr:from>
    <xdr:to>
      <xdr:col>2</xdr:col>
      <xdr:colOff>1733550</xdr:colOff>
      <xdr:row>1759</xdr:row>
      <xdr:rowOff>1666875</xdr:rowOff>
    </xdr:to>
    <xdr:pic>
      <xdr:nvPicPr>
        <xdr:cNvPr id="1759" name="Picture 1758"/>
        <xdr:cNvPicPr>
          <a:picLocks noChangeAspect="1" noChangeArrowheads="1"/>
        </xdr:cNvPicPr>
      </xdr:nvPicPr>
      <xdr:blipFill>
        <a:blip xmlns:r="http://schemas.openxmlformats.org/officeDocument/2006/relationships" r:embed="rId1758">
          <a:extLst>
            <a:ext uri="{28A0092B-C50C-407E-A947-70E740481C1C}">
              <a14:useLocalDpi xmlns:a14="http://schemas.microsoft.com/office/drawing/2010/main" val="0"/>
            </a:ext>
          </a:extLst>
        </a:blip>
        <a:srcRect/>
        <a:stretch>
          <a:fillRect/>
        </a:stretch>
      </xdr:blipFill>
      <xdr:spPr bwMode="auto">
        <a:xfrm>
          <a:off x="1228725" y="333623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1760</xdr:row>
      <xdr:rowOff>19050</xdr:rowOff>
    </xdr:from>
    <xdr:to>
      <xdr:col>2</xdr:col>
      <xdr:colOff>1733550</xdr:colOff>
      <xdr:row>1760</xdr:row>
      <xdr:rowOff>1666875</xdr:rowOff>
    </xdr:to>
    <xdr:pic>
      <xdr:nvPicPr>
        <xdr:cNvPr id="1760" name="Picture 1759"/>
        <xdr:cNvPicPr>
          <a:picLocks noChangeAspect="1" noChangeArrowheads="1"/>
        </xdr:cNvPicPr>
      </xdr:nvPicPr>
      <xdr:blipFill>
        <a:blip xmlns:r="http://schemas.openxmlformats.org/officeDocument/2006/relationships" r:embed="rId1759">
          <a:extLst>
            <a:ext uri="{28A0092B-C50C-407E-A947-70E740481C1C}">
              <a14:useLocalDpi xmlns:a14="http://schemas.microsoft.com/office/drawing/2010/main" val="0"/>
            </a:ext>
          </a:extLst>
        </a:blip>
        <a:srcRect/>
        <a:stretch>
          <a:fillRect/>
        </a:stretch>
      </xdr:blipFill>
      <xdr:spPr bwMode="auto">
        <a:xfrm>
          <a:off x="1228725" y="333815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1761</xdr:row>
      <xdr:rowOff>9525</xdr:rowOff>
    </xdr:from>
    <xdr:to>
      <xdr:col>2</xdr:col>
      <xdr:colOff>1733550</xdr:colOff>
      <xdr:row>1761</xdr:row>
      <xdr:rowOff>1524000</xdr:rowOff>
    </xdr:to>
    <xdr:pic>
      <xdr:nvPicPr>
        <xdr:cNvPr id="1761" name="Picture 1760"/>
        <xdr:cNvPicPr>
          <a:picLocks noChangeAspect="1" noChangeArrowheads="1"/>
        </xdr:cNvPicPr>
      </xdr:nvPicPr>
      <xdr:blipFill>
        <a:blip xmlns:r="http://schemas.openxmlformats.org/officeDocument/2006/relationships" r:embed="rId1760">
          <a:extLst>
            <a:ext uri="{28A0092B-C50C-407E-A947-70E740481C1C}">
              <a14:useLocalDpi xmlns:a14="http://schemas.microsoft.com/office/drawing/2010/main" val="0"/>
            </a:ext>
          </a:extLst>
        </a:blip>
        <a:srcRect/>
        <a:stretch>
          <a:fillRect/>
        </a:stretch>
      </xdr:blipFill>
      <xdr:spPr bwMode="auto">
        <a:xfrm>
          <a:off x="1228725" y="3340055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1762</xdr:row>
      <xdr:rowOff>19050</xdr:rowOff>
    </xdr:from>
    <xdr:to>
      <xdr:col>2</xdr:col>
      <xdr:colOff>1733550</xdr:colOff>
      <xdr:row>1762</xdr:row>
      <xdr:rowOff>1666875</xdr:rowOff>
    </xdr:to>
    <xdr:pic>
      <xdr:nvPicPr>
        <xdr:cNvPr id="1762" name="Picture 1761"/>
        <xdr:cNvPicPr>
          <a:picLocks noChangeAspect="1" noChangeArrowheads="1"/>
        </xdr:cNvPicPr>
      </xdr:nvPicPr>
      <xdr:blipFill>
        <a:blip xmlns:r="http://schemas.openxmlformats.org/officeDocument/2006/relationships" r:embed="rId1761">
          <a:extLst>
            <a:ext uri="{28A0092B-C50C-407E-A947-70E740481C1C}">
              <a14:useLocalDpi xmlns:a14="http://schemas.microsoft.com/office/drawing/2010/main" val="0"/>
            </a:ext>
          </a:extLst>
        </a:blip>
        <a:srcRect/>
        <a:stretch>
          <a:fillRect/>
        </a:stretch>
      </xdr:blipFill>
      <xdr:spPr bwMode="auto">
        <a:xfrm>
          <a:off x="1228725" y="3341817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1763</xdr:row>
      <xdr:rowOff>19050</xdr:rowOff>
    </xdr:from>
    <xdr:to>
      <xdr:col>2</xdr:col>
      <xdr:colOff>1733550</xdr:colOff>
      <xdr:row>1763</xdr:row>
      <xdr:rowOff>1666875</xdr:rowOff>
    </xdr:to>
    <xdr:pic>
      <xdr:nvPicPr>
        <xdr:cNvPr id="1763" name="Picture 1762"/>
        <xdr:cNvPicPr>
          <a:picLocks noChangeAspect="1" noChangeArrowheads="1"/>
        </xdr:cNvPicPr>
      </xdr:nvPicPr>
      <xdr:blipFill>
        <a:blip xmlns:r="http://schemas.openxmlformats.org/officeDocument/2006/relationships" r:embed="rId1762">
          <a:extLst>
            <a:ext uri="{28A0092B-C50C-407E-A947-70E740481C1C}">
              <a14:useLocalDpi xmlns:a14="http://schemas.microsoft.com/office/drawing/2010/main" val="0"/>
            </a:ext>
          </a:extLst>
        </a:blip>
        <a:srcRect/>
        <a:stretch>
          <a:fillRect/>
        </a:stretch>
      </xdr:blipFill>
      <xdr:spPr bwMode="auto">
        <a:xfrm>
          <a:off x="1228725" y="334373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1764</xdr:row>
      <xdr:rowOff>19050</xdr:rowOff>
    </xdr:from>
    <xdr:to>
      <xdr:col>2</xdr:col>
      <xdr:colOff>1733550</xdr:colOff>
      <xdr:row>1764</xdr:row>
      <xdr:rowOff>1666875</xdr:rowOff>
    </xdr:to>
    <xdr:pic>
      <xdr:nvPicPr>
        <xdr:cNvPr id="1764" name="Picture 1763"/>
        <xdr:cNvPicPr>
          <a:picLocks noChangeAspect="1" noChangeArrowheads="1"/>
        </xdr:cNvPicPr>
      </xdr:nvPicPr>
      <xdr:blipFill>
        <a:blip xmlns:r="http://schemas.openxmlformats.org/officeDocument/2006/relationships" r:embed="rId1763">
          <a:extLst>
            <a:ext uri="{28A0092B-C50C-407E-A947-70E740481C1C}">
              <a14:useLocalDpi xmlns:a14="http://schemas.microsoft.com/office/drawing/2010/main" val="0"/>
            </a:ext>
          </a:extLst>
        </a:blip>
        <a:srcRect/>
        <a:stretch>
          <a:fillRect/>
        </a:stretch>
      </xdr:blipFill>
      <xdr:spPr bwMode="auto">
        <a:xfrm>
          <a:off x="1228725" y="334564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1765</xdr:row>
      <xdr:rowOff>19050</xdr:rowOff>
    </xdr:from>
    <xdr:to>
      <xdr:col>2</xdr:col>
      <xdr:colOff>1733550</xdr:colOff>
      <xdr:row>1765</xdr:row>
      <xdr:rowOff>1666875</xdr:rowOff>
    </xdr:to>
    <xdr:pic>
      <xdr:nvPicPr>
        <xdr:cNvPr id="1765" name="Picture 1764"/>
        <xdr:cNvPicPr>
          <a:picLocks noChangeAspect="1" noChangeArrowheads="1"/>
        </xdr:cNvPicPr>
      </xdr:nvPicPr>
      <xdr:blipFill>
        <a:blip xmlns:r="http://schemas.openxmlformats.org/officeDocument/2006/relationships" r:embed="rId1764">
          <a:extLst>
            <a:ext uri="{28A0092B-C50C-407E-A947-70E740481C1C}">
              <a14:useLocalDpi xmlns:a14="http://schemas.microsoft.com/office/drawing/2010/main" val="0"/>
            </a:ext>
          </a:extLst>
        </a:blip>
        <a:srcRect/>
        <a:stretch>
          <a:fillRect/>
        </a:stretch>
      </xdr:blipFill>
      <xdr:spPr bwMode="auto">
        <a:xfrm>
          <a:off x="1228725" y="334756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1766</xdr:row>
      <xdr:rowOff>19050</xdr:rowOff>
    </xdr:from>
    <xdr:to>
      <xdr:col>2</xdr:col>
      <xdr:colOff>1733550</xdr:colOff>
      <xdr:row>1766</xdr:row>
      <xdr:rowOff>1666875</xdr:rowOff>
    </xdr:to>
    <xdr:pic>
      <xdr:nvPicPr>
        <xdr:cNvPr id="1766" name="Picture 1765"/>
        <xdr:cNvPicPr>
          <a:picLocks noChangeAspect="1" noChangeArrowheads="1"/>
        </xdr:cNvPicPr>
      </xdr:nvPicPr>
      <xdr:blipFill>
        <a:blip xmlns:r="http://schemas.openxmlformats.org/officeDocument/2006/relationships" r:embed="rId1765">
          <a:extLst>
            <a:ext uri="{28A0092B-C50C-407E-A947-70E740481C1C}">
              <a14:useLocalDpi xmlns:a14="http://schemas.microsoft.com/office/drawing/2010/main" val="0"/>
            </a:ext>
          </a:extLst>
        </a:blip>
        <a:srcRect/>
        <a:stretch>
          <a:fillRect/>
        </a:stretch>
      </xdr:blipFill>
      <xdr:spPr bwMode="auto">
        <a:xfrm>
          <a:off x="1228725" y="3349475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1767</xdr:row>
      <xdr:rowOff>19050</xdr:rowOff>
    </xdr:from>
    <xdr:to>
      <xdr:col>2</xdr:col>
      <xdr:colOff>1733550</xdr:colOff>
      <xdr:row>1767</xdr:row>
      <xdr:rowOff>1666875</xdr:rowOff>
    </xdr:to>
    <xdr:pic>
      <xdr:nvPicPr>
        <xdr:cNvPr id="1767" name="Picture 1766"/>
        <xdr:cNvPicPr>
          <a:picLocks noChangeAspect="1" noChangeArrowheads="1"/>
        </xdr:cNvPicPr>
      </xdr:nvPicPr>
      <xdr:blipFill>
        <a:blip xmlns:r="http://schemas.openxmlformats.org/officeDocument/2006/relationships" r:embed="rId1766">
          <a:extLst>
            <a:ext uri="{28A0092B-C50C-407E-A947-70E740481C1C}">
              <a14:useLocalDpi xmlns:a14="http://schemas.microsoft.com/office/drawing/2010/main" val="0"/>
            </a:ext>
          </a:extLst>
        </a:blip>
        <a:srcRect/>
        <a:stretch>
          <a:fillRect/>
        </a:stretch>
      </xdr:blipFill>
      <xdr:spPr bwMode="auto">
        <a:xfrm>
          <a:off x="1228725" y="335139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1768</xdr:row>
      <xdr:rowOff>19050</xdr:rowOff>
    </xdr:from>
    <xdr:to>
      <xdr:col>2</xdr:col>
      <xdr:colOff>1733550</xdr:colOff>
      <xdr:row>1768</xdr:row>
      <xdr:rowOff>1666875</xdr:rowOff>
    </xdr:to>
    <xdr:pic>
      <xdr:nvPicPr>
        <xdr:cNvPr id="1768" name="Picture 1767"/>
        <xdr:cNvPicPr>
          <a:picLocks noChangeAspect="1" noChangeArrowheads="1"/>
        </xdr:cNvPicPr>
      </xdr:nvPicPr>
      <xdr:blipFill>
        <a:blip xmlns:r="http://schemas.openxmlformats.org/officeDocument/2006/relationships" r:embed="rId1767">
          <a:extLst>
            <a:ext uri="{28A0092B-C50C-407E-A947-70E740481C1C}">
              <a14:useLocalDpi xmlns:a14="http://schemas.microsoft.com/office/drawing/2010/main" val="0"/>
            </a:ext>
          </a:extLst>
        </a:blip>
        <a:srcRect/>
        <a:stretch>
          <a:fillRect/>
        </a:stretch>
      </xdr:blipFill>
      <xdr:spPr bwMode="auto">
        <a:xfrm>
          <a:off x="1228725" y="335330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1769</xdr:row>
      <xdr:rowOff>19050</xdr:rowOff>
    </xdr:from>
    <xdr:to>
      <xdr:col>2</xdr:col>
      <xdr:colOff>1733550</xdr:colOff>
      <xdr:row>1769</xdr:row>
      <xdr:rowOff>1666875</xdr:rowOff>
    </xdr:to>
    <xdr:pic>
      <xdr:nvPicPr>
        <xdr:cNvPr id="1769" name="Picture 1768"/>
        <xdr:cNvPicPr>
          <a:picLocks noChangeAspect="1" noChangeArrowheads="1"/>
        </xdr:cNvPicPr>
      </xdr:nvPicPr>
      <xdr:blipFill>
        <a:blip xmlns:r="http://schemas.openxmlformats.org/officeDocument/2006/relationships" r:embed="rId1768">
          <a:extLst>
            <a:ext uri="{28A0092B-C50C-407E-A947-70E740481C1C}">
              <a14:useLocalDpi xmlns:a14="http://schemas.microsoft.com/office/drawing/2010/main" val="0"/>
            </a:ext>
          </a:extLst>
        </a:blip>
        <a:srcRect/>
        <a:stretch>
          <a:fillRect/>
        </a:stretch>
      </xdr:blipFill>
      <xdr:spPr bwMode="auto">
        <a:xfrm>
          <a:off x="1228725" y="3355219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1770</xdr:row>
      <xdr:rowOff>19050</xdr:rowOff>
    </xdr:from>
    <xdr:to>
      <xdr:col>2</xdr:col>
      <xdr:colOff>1733550</xdr:colOff>
      <xdr:row>1770</xdr:row>
      <xdr:rowOff>1666875</xdr:rowOff>
    </xdr:to>
    <xdr:pic>
      <xdr:nvPicPr>
        <xdr:cNvPr id="1770" name="Picture 1769"/>
        <xdr:cNvPicPr>
          <a:picLocks noChangeAspect="1" noChangeArrowheads="1"/>
        </xdr:cNvPicPr>
      </xdr:nvPicPr>
      <xdr:blipFill>
        <a:blip xmlns:r="http://schemas.openxmlformats.org/officeDocument/2006/relationships" r:embed="rId1769">
          <a:extLst>
            <a:ext uri="{28A0092B-C50C-407E-A947-70E740481C1C}">
              <a14:useLocalDpi xmlns:a14="http://schemas.microsoft.com/office/drawing/2010/main" val="0"/>
            </a:ext>
          </a:extLst>
        </a:blip>
        <a:srcRect/>
        <a:stretch>
          <a:fillRect/>
        </a:stretch>
      </xdr:blipFill>
      <xdr:spPr bwMode="auto">
        <a:xfrm>
          <a:off x="1228725" y="3357133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1771</xdr:row>
      <xdr:rowOff>19050</xdr:rowOff>
    </xdr:from>
    <xdr:to>
      <xdr:col>2</xdr:col>
      <xdr:colOff>1733550</xdr:colOff>
      <xdr:row>1771</xdr:row>
      <xdr:rowOff>1666875</xdr:rowOff>
    </xdr:to>
    <xdr:pic>
      <xdr:nvPicPr>
        <xdr:cNvPr id="1771" name="Picture 1770"/>
        <xdr:cNvPicPr>
          <a:picLocks noChangeAspect="1" noChangeArrowheads="1"/>
        </xdr:cNvPicPr>
      </xdr:nvPicPr>
      <xdr:blipFill>
        <a:blip xmlns:r="http://schemas.openxmlformats.org/officeDocument/2006/relationships" r:embed="rId1770">
          <a:extLst>
            <a:ext uri="{28A0092B-C50C-407E-A947-70E740481C1C}">
              <a14:useLocalDpi xmlns:a14="http://schemas.microsoft.com/office/drawing/2010/main" val="0"/>
            </a:ext>
          </a:extLst>
        </a:blip>
        <a:srcRect/>
        <a:stretch>
          <a:fillRect/>
        </a:stretch>
      </xdr:blipFill>
      <xdr:spPr bwMode="auto">
        <a:xfrm>
          <a:off x="1228725" y="3359048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1772</xdr:row>
      <xdr:rowOff>19050</xdr:rowOff>
    </xdr:from>
    <xdr:to>
      <xdr:col>2</xdr:col>
      <xdr:colOff>1733550</xdr:colOff>
      <xdr:row>1772</xdr:row>
      <xdr:rowOff>1666875</xdr:rowOff>
    </xdr:to>
    <xdr:pic>
      <xdr:nvPicPr>
        <xdr:cNvPr id="1772" name="Picture 1771"/>
        <xdr:cNvPicPr>
          <a:picLocks noChangeAspect="1" noChangeArrowheads="1"/>
        </xdr:cNvPicPr>
      </xdr:nvPicPr>
      <xdr:blipFill>
        <a:blip xmlns:r="http://schemas.openxmlformats.org/officeDocument/2006/relationships" r:embed="rId1771">
          <a:extLst>
            <a:ext uri="{28A0092B-C50C-407E-A947-70E740481C1C}">
              <a14:useLocalDpi xmlns:a14="http://schemas.microsoft.com/office/drawing/2010/main" val="0"/>
            </a:ext>
          </a:extLst>
        </a:blip>
        <a:srcRect/>
        <a:stretch>
          <a:fillRect/>
        </a:stretch>
      </xdr:blipFill>
      <xdr:spPr bwMode="auto">
        <a:xfrm>
          <a:off x="1228725" y="3360962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1773</xdr:row>
      <xdr:rowOff>19050</xdr:rowOff>
    </xdr:from>
    <xdr:to>
      <xdr:col>2</xdr:col>
      <xdr:colOff>1733550</xdr:colOff>
      <xdr:row>1773</xdr:row>
      <xdr:rowOff>1666875</xdr:rowOff>
    </xdr:to>
    <xdr:pic>
      <xdr:nvPicPr>
        <xdr:cNvPr id="1773" name="Picture 1772"/>
        <xdr:cNvPicPr>
          <a:picLocks noChangeAspect="1" noChangeArrowheads="1"/>
        </xdr:cNvPicPr>
      </xdr:nvPicPr>
      <xdr:blipFill>
        <a:blip xmlns:r="http://schemas.openxmlformats.org/officeDocument/2006/relationships" r:embed="rId1772">
          <a:extLst>
            <a:ext uri="{28A0092B-C50C-407E-A947-70E740481C1C}">
              <a14:useLocalDpi xmlns:a14="http://schemas.microsoft.com/office/drawing/2010/main" val="0"/>
            </a:ext>
          </a:extLst>
        </a:blip>
        <a:srcRect/>
        <a:stretch>
          <a:fillRect/>
        </a:stretch>
      </xdr:blipFill>
      <xdr:spPr bwMode="auto">
        <a:xfrm>
          <a:off x="1228725" y="3362877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1774</xdr:row>
      <xdr:rowOff>19050</xdr:rowOff>
    </xdr:from>
    <xdr:to>
      <xdr:col>2</xdr:col>
      <xdr:colOff>1733550</xdr:colOff>
      <xdr:row>1774</xdr:row>
      <xdr:rowOff>1666875</xdr:rowOff>
    </xdr:to>
    <xdr:pic>
      <xdr:nvPicPr>
        <xdr:cNvPr id="1774" name="Picture 1773"/>
        <xdr:cNvPicPr>
          <a:picLocks noChangeAspect="1" noChangeArrowheads="1"/>
        </xdr:cNvPicPr>
      </xdr:nvPicPr>
      <xdr:blipFill>
        <a:blip xmlns:r="http://schemas.openxmlformats.org/officeDocument/2006/relationships" r:embed="rId1773">
          <a:extLst>
            <a:ext uri="{28A0092B-C50C-407E-A947-70E740481C1C}">
              <a14:useLocalDpi xmlns:a14="http://schemas.microsoft.com/office/drawing/2010/main" val="0"/>
            </a:ext>
          </a:extLst>
        </a:blip>
        <a:srcRect/>
        <a:stretch>
          <a:fillRect/>
        </a:stretch>
      </xdr:blipFill>
      <xdr:spPr bwMode="auto">
        <a:xfrm>
          <a:off x="1228725" y="3364791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1775</xdr:row>
      <xdr:rowOff>19050</xdr:rowOff>
    </xdr:from>
    <xdr:to>
      <xdr:col>2</xdr:col>
      <xdr:colOff>1733550</xdr:colOff>
      <xdr:row>1775</xdr:row>
      <xdr:rowOff>1666875</xdr:rowOff>
    </xdr:to>
    <xdr:pic>
      <xdr:nvPicPr>
        <xdr:cNvPr id="1775" name="Picture 1774"/>
        <xdr:cNvPicPr>
          <a:picLocks noChangeAspect="1" noChangeArrowheads="1"/>
        </xdr:cNvPicPr>
      </xdr:nvPicPr>
      <xdr:blipFill>
        <a:blip xmlns:r="http://schemas.openxmlformats.org/officeDocument/2006/relationships" r:embed="rId1774">
          <a:extLst>
            <a:ext uri="{28A0092B-C50C-407E-A947-70E740481C1C}">
              <a14:useLocalDpi xmlns:a14="http://schemas.microsoft.com/office/drawing/2010/main" val="0"/>
            </a:ext>
          </a:extLst>
        </a:blip>
        <a:srcRect/>
        <a:stretch>
          <a:fillRect/>
        </a:stretch>
      </xdr:blipFill>
      <xdr:spPr bwMode="auto">
        <a:xfrm>
          <a:off x="1228725" y="3366706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1776</xdr:row>
      <xdr:rowOff>19050</xdr:rowOff>
    </xdr:from>
    <xdr:to>
      <xdr:col>2</xdr:col>
      <xdr:colOff>1733550</xdr:colOff>
      <xdr:row>1776</xdr:row>
      <xdr:rowOff>1666875</xdr:rowOff>
    </xdr:to>
    <xdr:pic>
      <xdr:nvPicPr>
        <xdr:cNvPr id="1776" name="Picture 1775"/>
        <xdr:cNvPicPr>
          <a:picLocks noChangeAspect="1" noChangeArrowheads="1"/>
        </xdr:cNvPicPr>
      </xdr:nvPicPr>
      <xdr:blipFill>
        <a:blip xmlns:r="http://schemas.openxmlformats.org/officeDocument/2006/relationships" r:embed="rId1775">
          <a:extLst>
            <a:ext uri="{28A0092B-C50C-407E-A947-70E740481C1C}">
              <a14:useLocalDpi xmlns:a14="http://schemas.microsoft.com/office/drawing/2010/main" val="0"/>
            </a:ext>
          </a:extLst>
        </a:blip>
        <a:srcRect/>
        <a:stretch>
          <a:fillRect/>
        </a:stretch>
      </xdr:blipFill>
      <xdr:spPr bwMode="auto">
        <a:xfrm>
          <a:off x="1228725" y="3368621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1777</xdr:row>
      <xdr:rowOff>19050</xdr:rowOff>
    </xdr:from>
    <xdr:to>
      <xdr:col>2</xdr:col>
      <xdr:colOff>1733550</xdr:colOff>
      <xdr:row>1777</xdr:row>
      <xdr:rowOff>1666875</xdr:rowOff>
    </xdr:to>
    <xdr:pic>
      <xdr:nvPicPr>
        <xdr:cNvPr id="1777" name="Picture 1776"/>
        <xdr:cNvPicPr>
          <a:picLocks noChangeAspect="1" noChangeArrowheads="1"/>
        </xdr:cNvPicPr>
      </xdr:nvPicPr>
      <xdr:blipFill>
        <a:blip xmlns:r="http://schemas.openxmlformats.org/officeDocument/2006/relationships" r:embed="rId1776">
          <a:extLst>
            <a:ext uri="{28A0092B-C50C-407E-A947-70E740481C1C}">
              <a14:useLocalDpi xmlns:a14="http://schemas.microsoft.com/office/drawing/2010/main" val="0"/>
            </a:ext>
          </a:extLst>
        </a:blip>
        <a:srcRect/>
        <a:stretch>
          <a:fillRect/>
        </a:stretch>
      </xdr:blipFill>
      <xdr:spPr bwMode="auto">
        <a:xfrm>
          <a:off x="1228725" y="3370535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1778</xdr:row>
      <xdr:rowOff>19050</xdr:rowOff>
    </xdr:from>
    <xdr:to>
      <xdr:col>2</xdr:col>
      <xdr:colOff>1733550</xdr:colOff>
      <xdr:row>1778</xdr:row>
      <xdr:rowOff>1666875</xdr:rowOff>
    </xdr:to>
    <xdr:pic>
      <xdr:nvPicPr>
        <xdr:cNvPr id="1778" name="Picture 1777"/>
        <xdr:cNvPicPr>
          <a:picLocks noChangeAspect="1" noChangeArrowheads="1"/>
        </xdr:cNvPicPr>
      </xdr:nvPicPr>
      <xdr:blipFill>
        <a:blip xmlns:r="http://schemas.openxmlformats.org/officeDocument/2006/relationships" r:embed="rId1777">
          <a:extLst>
            <a:ext uri="{28A0092B-C50C-407E-A947-70E740481C1C}">
              <a14:useLocalDpi xmlns:a14="http://schemas.microsoft.com/office/drawing/2010/main" val="0"/>
            </a:ext>
          </a:extLst>
        </a:blip>
        <a:srcRect/>
        <a:stretch>
          <a:fillRect/>
        </a:stretch>
      </xdr:blipFill>
      <xdr:spPr bwMode="auto">
        <a:xfrm>
          <a:off x="1228725" y="3372450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1779</xdr:row>
      <xdr:rowOff>9525</xdr:rowOff>
    </xdr:from>
    <xdr:to>
      <xdr:col>2</xdr:col>
      <xdr:colOff>1733550</xdr:colOff>
      <xdr:row>1779</xdr:row>
      <xdr:rowOff>1524000</xdr:rowOff>
    </xdr:to>
    <xdr:pic>
      <xdr:nvPicPr>
        <xdr:cNvPr id="1779" name="Picture 1778"/>
        <xdr:cNvPicPr>
          <a:picLocks noChangeAspect="1" noChangeArrowheads="1"/>
        </xdr:cNvPicPr>
      </xdr:nvPicPr>
      <xdr:blipFill>
        <a:blip xmlns:r="http://schemas.openxmlformats.org/officeDocument/2006/relationships" r:embed="rId1778">
          <a:extLst>
            <a:ext uri="{28A0092B-C50C-407E-A947-70E740481C1C}">
              <a14:useLocalDpi xmlns:a14="http://schemas.microsoft.com/office/drawing/2010/main" val="0"/>
            </a:ext>
          </a:extLst>
        </a:blip>
        <a:srcRect/>
        <a:stretch>
          <a:fillRect/>
        </a:stretch>
      </xdr:blipFill>
      <xdr:spPr bwMode="auto">
        <a:xfrm>
          <a:off x="1228725" y="3374355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1780</xdr:row>
      <xdr:rowOff>9525</xdr:rowOff>
    </xdr:from>
    <xdr:to>
      <xdr:col>2</xdr:col>
      <xdr:colOff>1733550</xdr:colOff>
      <xdr:row>1780</xdr:row>
      <xdr:rowOff>1524000</xdr:rowOff>
    </xdr:to>
    <xdr:pic>
      <xdr:nvPicPr>
        <xdr:cNvPr id="1780" name="Picture 1779"/>
        <xdr:cNvPicPr>
          <a:picLocks noChangeAspect="1" noChangeArrowheads="1"/>
        </xdr:cNvPicPr>
      </xdr:nvPicPr>
      <xdr:blipFill>
        <a:blip xmlns:r="http://schemas.openxmlformats.org/officeDocument/2006/relationships" r:embed="rId1779">
          <a:extLst>
            <a:ext uri="{28A0092B-C50C-407E-A947-70E740481C1C}">
              <a14:useLocalDpi xmlns:a14="http://schemas.microsoft.com/office/drawing/2010/main" val="0"/>
            </a:ext>
          </a:extLst>
        </a:blip>
        <a:srcRect/>
        <a:stretch>
          <a:fillRect/>
        </a:stretch>
      </xdr:blipFill>
      <xdr:spPr bwMode="auto">
        <a:xfrm>
          <a:off x="1228725" y="3376107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1781</xdr:row>
      <xdr:rowOff>9525</xdr:rowOff>
    </xdr:from>
    <xdr:to>
      <xdr:col>2</xdr:col>
      <xdr:colOff>1733550</xdr:colOff>
      <xdr:row>1781</xdr:row>
      <xdr:rowOff>1524000</xdr:rowOff>
    </xdr:to>
    <xdr:pic>
      <xdr:nvPicPr>
        <xdr:cNvPr id="1781" name="Picture 1780"/>
        <xdr:cNvPicPr>
          <a:picLocks noChangeAspect="1" noChangeArrowheads="1"/>
        </xdr:cNvPicPr>
      </xdr:nvPicPr>
      <xdr:blipFill>
        <a:blip xmlns:r="http://schemas.openxmlformats.org/officeDocument/2006/relationships" r:embed="rId1780">
          <a:extLst>
            <a:ext uri="{28A0092B-C50C-407E-A947-70E740481C1C}">
              <a14:useLocalDpi xmlns:a14="http://schemas.microsoft.com/office/drawing/2010/main" val="0"/>
            </a:ext>
          </a:extLst>
        </a:blip>
        <a:srcRect/>
        <a:stretch>
          <a:fillRect/>
        </a:stretch>
      </xdr:blipFill>
      <xdr:spPr bwMode="auto">
        <a:xfrm>
          <a:off x="1228725" y="3377860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1782</xdr:row>
      <xdr:rowOff>9525</xdr:rowOff>
    </xdr:from>
    <xdr:to>
      <xdr:col>2</xdr:col>
      <xdr:colOff>1733550</xdr:colOff>
      <xdr:row>1782</xdr:row>
      <xdr:rowOff>1524000</xdr:rowOff>
    </xdr:to>
    <xdr:pic>
      <xdr:nvPicPr>
        <xdr:cNvPr id="1782" name="Picture 1781"/>
        <xdr:cNvPicPr>
          <a:picLocks noChangeAspect="1" noChangeArrowheads="1"/>
        </xdr:cNvPicPr>
      </xdr:nvPicPr>
      <xdr:blipFill>
        <a:blip xmlns:r="http://schemas.openxmlformats.org/officeDocument/2006/relationships" r:embed="rId1781">
          <a:extLst>
            <a:ext uri="{28A0092B-C50C-407E-A947-70E740481C1C}">
              <a14:useLocalDpi xmlns:a14="http://schemas.microsoft.com/office/drawing/2010/main" val="0"/>
            </a:ext>
          </a:extLst>
        </a:blip>
        <a:srcRect/>
        <a:stretch>
          <a:fillRect/>
        </a:stretch>
      </xdr:blipFill>
      <xdr:spPr bwMode="auto">
        <a:xfrm>
          <a:off x="1228725" y="3379612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1783</xdr:row>
      <xdr:rowOff>9525</xdr:rowOff>
    </xdr:from>
    <xdr:to>
      <xdr:col>2</xdr:col>
      <xdr:colOff>1733550</xdr:colOff>
      <xdr:row>1783</xdr:row>
      <xdr:rowOff>1524000</xdr:rowOff>
    </xdr:to>
    <xdr:pic>
      <xdr:nvPicPr>
        <xdr:cNvPr id="1783" name="Picture 1782"/>
        <xdr:cNvPicPr>
          <a:picLocks noChangeAspect="1" noChangeArrowheads="1"/>
        </xdr:cNvPicPr>
      </xdr:nvPicPr>
      <xdr:blipFill>
        <a:blip xmlns:r="http://schemas.openxmlformats.org/officeDocument/2006/relationships" r:embed="rId1782">
          <a:extLst>
            <a:ext uri="{28A0092B-C50C-407E-A947-70E740481C1C}">
              <a14:useLocalDpi xmlns:a14="http://schemas.microsoft.com/office/drawing/2010/main" val="0"/>
            </a:ext>
          </a:extLst>
        </a:blip>
        <a:srcRect/>
        <a:stretch>
          <a:fillRect/>
        </a:stretch>
      </xdr:blipFill>
      <xdr:spPr bwMode="auto">
        <a:xfrm>
          <a:off x="1228725" y="3381365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1784</xdr:row>
      <xdr:rowOff>9525</xdr:rowOff>
    </xdr:from>
    <xdr:to>
      <xdr:col>2</xdr:col>
      <xdr:colOff>1733550</xdr:colOff>
      <xdr:row>1784</xdr:row>
      <xdr:rowOff>1524000</xdr:rowOff>
    </xdr:to>
    <xdr:pic>
      <xdr:nvPicPr>
        <xdr:cNvPr id="1784" name="Picture 1783"/>
        <xdr:cNvPicPr>
          <a:picLocks noChangeAspect="1" noChangeArrowheads="1"/>
        </xdr:cNvPicPr>
      </xdr:nvPicPr>
      <xdr:blipFill>
        <a:blip xmlns:r="http://schemas.openxmlformats.org/officeDocument/2006/relationships" r:embed="rId1783">
          <a:extLst>
            <a:ext uri="{28A0092B-C50C-407E-A947-70E740481C1C}">
              <a14:useLocalDpi xmlns:a14="http://schemas.microsoft.com/office/drawing/2010/main" val="0"/>
            </a:ext>
          </a:extLst>
        </a:blip>
        <a:srcRect/>
        <a:stretch>
          <a:fillRect/>
        </a:stretch>
      </xdr:blipFill>
      <xdr:spPr bwMode="auto">
        <a:xfrm>
          <a:off x="1228725" y="3383118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1785</xdr:row>
      <xdr:rowOff>9525</xdr:rowOff>
    </xdr:from>
    <xdr:to>
      <xdr:col>2</xdr:col>
      <xdr:colOff>1733550</xdr:colOff>
      <xdr:row>1785</xdr:row>
      <xdr:rowOff>1524000</xdr:rowOff>
    </xdr:to>
    <xdr:pic>
      <xdr:nvPicPr>
        <xdr:cNvPr id="1785" name="Picture 1784"/>
        <xdr:cNvPicPr>
          <a:picLocks noChangeAspect="1" noChangeArrowheads="1"/>
        </xdr:cNvPicPr>
      </xdr:nvPicPr>
      <xdr:blipFill>
        <a:blip xmlns:r="http://schemas.openxmlformats.org/officeDocument/2006/relationships" r:embed="rId1784">
          <a:extLst>
            <a:ext uri="{28A0092B-C50C-407E-A947-70E740481C1C}">
              <a14:useLocalDpi xmlns:a14="http://schemas.microsoft.com/office/drawing/2010/main" val="0"/>
            </a:ext>
          </a:extLst>
        </a:blip>
        <a:srcRect/>
        <a:stretch>
          <a:fillRect/>
        </a:stretch>
      </xdr:blipFill>
      <xdr:spPr bwMode="auto">
        <a:xfrm>
          <a:off x="1228725" y="3384870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1786</xdr:row>
      <xdr:rowOff>9525</xdr:rowOff>
    </xdr:from>
    <xdr:to>
      <xdr:col>2</xdr:col>
      <xdr:colOff>1733550</xdr:colOff>
      <xdr:row>1786</xdr:row>
      <xdr:rowOff>1524000</xdr:rowOff>
    </xdr:to>
    <xdr:pic>
      <xdr:nvPicPr>
        <xdr:cNvPr id="1786" name="Picture 1785"/>
        <xdr:cNvPicPr>
          <a:picLocks noChangeAspect="1" noChangeArrowheads="1"/>
        </xdr:cNvPicPr>
      </xdr:nvPicPr>
      <xdr:blipFill>
        <a:blip xmlns:r="http://schemas.openxmlformats.org/officeDocument/2006/relationships" r:embed="rId1785">
          <a:extLst>
            <a:ext uri="{28A0092B-C50C-407E-A947-70E740481C1C}">
              <a14:useLocalDpi xmlns:a14="http://schemas.microsoft.com/office/drawing/2010/main" val="0"/>
            </a:ext>
          </a:extLst>
        </a:blip>
        <a:srcRect/>
        <a:stretch>
          <a:fillRect/>
        </a:stretch>
      </xdr:blipFill>
      <xdr:spPr bwMode="auto">
        <a:xfrm>
          <a:off x="1228725" y="3386623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1787</xdr:row>
      <xdr:rowOff>9525</xdr:rowOff>
    </xdr:from>
    <xdr:to>
      <xdr:col>2</xdr:col>
      <xdr:colOff>1733550</xdr:colOff>
      <xdr:row>1787</xdr:row>
      <xdr:rowOff>1524000</xdr:rowOff>
    </xdr:to>
    <xdr:pic>
      <xdr:nvPicPr>
        <xdr:cNvPr id="1787" name="Picture 1786"/>
        <xdr:cNvPicPr>
          <a:picLocks noChangeAspect="1" noChangeArrowheads="1"/>
        </xdr:cNvPicPr>
      </xdr:nvPicPr>
      <xdr:blipFill>
        <a:blip xmlns:r="http://schemas.openxmlformats.org/officeDocument/2006/relationships" r:embed="rId1786">
          <a:extLst>
            <a:ext uri="{28A0092B-C50C-407E-A947-70E740481C1C}">
              <a14:useLocalDpi xmlns:a14="http://schemas.microsoft.com/office/drawing/2010/main" val="0"/>
            </a:ext>
          </a:extLst>
        </a:blip>
        <a:srcRect/>
        <a:stretch>
          <a:fillRect/>
        </a:stretch>
      </xdr:blipFill>
      <xdr:spPr bwMode="auto">
        <a:xfrm>
          <a:off x="1228725" y="3388375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1788</xdr:row>
      <xdr:rowOff>19050</xdr:rowOff>
    </xdr:from>
    <xdr:to>
      <xdr:col>2</xdr:col>
      <xdr:colOff>1733550</xdr:colOff>
      <xdr:row>1788</xdr:row>
      <xdr:rowOff>1666875</xdr:rowOff>
    </xdr:to>
    <xdr:pic>
      <xdr:nvPicPr>
        <xdr:cNvPr id="1788" name="Picture 1787"/>
        <xdr:cNvPicPr>
          <a:picLocks noChangeAspect="1" noChangeArrowheads="1"/>
        </xdr:cNvPicPr>
      </xdr:nvPicPr>
      <xdr:blipFill>
        <a:blip xmlns:r="http://schemas.openxmlformats.org/officeDocument/2006/relationships" r:embed="rId1787">
          <a:extLst>
            <a:ext uri="{28A0092B-C50C-407E-A947-70E740481C1C}">
              <a14:useLocalDpi xmlns:a14="http://schemas.microsoft.com/office/drawing/2010/main" val="0"/>
            </a:ext>
          </a:extLst>
        </a:blip>
        <a:srcRect/>
        <a:stretch>
          <a:fillRect/>
        </a:stretch>
      </xdr:blipFill>
      <xdr:spPr bwMode="auto">
        <a:xfrm>
          <a:off x="1228725" y="3390138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1789</xdr:row>
      <xdr:rowOff>19050</xdr:rowOff>
    </xdr:from>
    <xdr:to>
      <xdr:col>2</xdr:col>
      <xdr:colOff>1733550</xdr:colOff>
      <xdr:row>1789</xdr:row>
      <xdr:rowOff>1666875</xdr:rowOff>
    </xdr:to>
    <xdr:pic>
      <xdr:nvPicPr>
        <xdr:cNvPr id="1789" name="Picture 1788"/>
        <xdr:cNvPicPr>
          <a:picLocks noChangeAspect="1" noChangeArrowheads="1"/>
        </xdr:cNvPicPr>
      </xdr:nvPicPr>
      <xdr:blipFill>
        <a:blip xmlns:r="http://schemas.openxmlformats.org/officeDocument/2006/relationships" r:embed="rId1788">
          <a:extLst>
            <a:ext uri="{28A0092B-C50C-407E-A947-70E740481C1C}">
              <a14:useLocalDpi xmlns:a14="http://schemas.microsoft.com/office/drawing/2010/main" val="0"/>
            </a:ext>
          </a:extLst>
        </a:blip>
        <a:srcRect/>
        <a:stretch>
          <a:fillRect/>
        </a:stretch>
      </xdr:blipFill>
      <xdr:spPr bwMode="auto">
        <a:xfrm>
          <a:off x="1228725" y="3392052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1790</xdr:row>
      <xdr:rowOff>19050</xdr:rowOff>
    </xdr:from>
    <xdr:to>
      <xdr:col>2</xdr:col>
      <xdr:colOff>1733550</xdr:colOff>
      <xdr:row>1790</xdr:row>
      <xdr:rowOff>1666875</xdr:rowOff>
    </xdr:to>
    <xdr:pic>
      <xdr:nvPicPr>
        <xdr:cNvPr id="1790" name="Picture 1789"/>
        <xdr:cNvPicPr>
          <a:picLocks noChangeAspect="1" noChangeArrowheads="1"/>
        </xdr:cNvPicPr>
      </xdr:nvPicPr>
      <xdr:blipFill>
        <a:blip xmlns:r="http://schemas.openxmlformats.org/officeDocument/2006/relationships" r:embed="rId1789">
          <a:extLst>
            <a:ext uri="{28A0092B-C50C-407E-A947-70E740481C1C}">
              <a14:useLocalDpi xmlns:a14="http://schemas.microsoft.com/office/drawing/2010/main" val="0"/>
            </a:ext>
          </a:extLst>
        </a:blip>
        <a:srcRect/>
        <a:stretch>
          <a:fillRect/>
        </a:stretch>
      </xdr:blipFill>
      <xdr:spPr bwMode="auto">
        <a:xfrm>
          <a:off x="1228725" y="3393967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1791</xdr:row>
      <xdr:rowOff>19050</xdr:rowOff>
    </xdr:from>
    <xdr:to>
      <xdr:col>2</xdr:col>
      <xdr:colOff>1733550</xdr:colOff>
      <xdr:row>1791</xdr:row>
      <xdr:rowOff>1619250</xdr:rowOff>
    </xdr:to>
    <xdr:pic>
      <xdr:nvPicPr>
        <xdr:cNvPr id="1791" name="Picture 1790"/>
        <xdr:cNvPicPr>
          <a:picLocks noChangeAspect="1" noChangeArrowheads="1"/>
        </xdr:cNvPicPr>
      </xdr:nvPicPr>
      <xdr:blipFill>
        <a:blip xmlns:r="http://schemas.openxmlformats.org/officeDocument/2006/relationships" r:embed="rId1790">
          <a:extLst>
            <a:ext uri="{28A0092B-C50C-407E-A947-70E740481C1C}">
              <a14:useLocalDpi xmlns:a14="http://schemas.microsoft.com/office/drawing/2010/main" val="0"/>
            </a:ext>
          </a:extLst>
        </a:blip>
        <a:srcRect/>
        <a:stretch>
          <a:fillRect/>
        </a:stretch>
      </xdr:blipFill>
      <xdr:spPr bwMode="auto">
        <a:xfrm>
          <a:off x="1228725" y="33958815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1792</xdr:row>
      <xdr:rowOff>9525</xdr:rowOff>
    </xdr:from>
    <xdr:to>
      <xdr:col>2</xdr:col>
      <xdr:colOff>1733550</xdr:colOff>
      <xdr:row>1792</xdr:row>
      <xdr:rowOff>1524000</xdr:rowOff>
    </xdr:to>
    <xdr:pic>
      <xdr:nvPicPr>
        <xdr:cNvPr id="1792" name="Picture 1791"/>
        <xdr:cNvPicPr>
          <a:picLocks noChangeAspect="1" noChangeArrowheads="1"/>
        </xdr:cNvPicPr>
      </xdr:nvPicPr>
      <xdr:blipFill>
        <a:blip xmlns:r="http://schemas.openxmlformats.org/officeDocument/2006/relationships" r:embed="rId1791">
          <a:extLst>
            <a:ext uri="{28A0092B-C50C-407E-A947-70E740481C1C}">
              <a14:useLocalDpi xmlns:a14="http://schemas.microsoft.com/office/drawing/2010/main" val="0"/>
            </a:ext>
          </a:extLst>
        </a:blip>
        <a:srcRect/>
        <a:stretch>
          <a:fillRect/>
        </a:stretch>
      </xdr:blipFill>
      <xdr:spPr bwMode="auto">
        <a:xfrm>
          <a:off x="1228725" y="3397729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1793</xdr:row>
      <xdr:rowOff>19050</xdr:rowOff>
    </xdr:from>
    <xdr:to>
      <xdr:col>2</xdr:col>
      <xdr:colOff>1733550</xdr:colOff>
      <xdr:row>1793</xdr:row>
      <xdr:rowOff>1619250</xdr:rowOff>
    </xdr:to>
    <xdr:pic>
      <xdr:nvPicPr>
        <xdr:cNvPr id="1793" name="Picture 1792"/>
        <xdr:cNvPicPr>
          <a:picLocks noChangeAspect="1" noChangeArrowheads="1"/>
        </xdr:cNvPicPr>
      </xdr:nvPicPr>
      <xdr:blipFill>
        <a:blip xmlns:r="http://schemas.openxmlformats.org/officeDocument/2006/relationships" r:embed="rId1792">
          <a:extLst>
            <a:ext uri="{28A0092B-C50C-407E-A947-70E740481C1C}">
              <a14:useLocalDpi xmlns:a14="http://schemas.microsoft.com/office/drawing/2010/main" val="0"/>
            </a:ext>
          </a:extLst>
        </a:blip>
        <a:srcRect/>
        <a:stretch>
          <a:fillRect/>
        </a:stretch>
      </xdr:blipFill>
      <xdr:spPr bwMode="auto">
        <a:xfrm>
          <a:off x="1228725" y="33994915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1794</xdr:row>
      <xdr:rowOff>19050</xdr:rowOff>
    </xdr:from>
    <xdr:to>
      <xdr:col>2</xdr:col>
      <xdr:colOff>1733550</xdr:colOff>
      <xdr:row>1794</xdr:row>
      <xdr:rowOff>1619250</xdr:rowOff>
    </xdr:to>
    <xdr:pic>
      <xdr:nvPicPr>
        <xdr:cNvPr id="1794" name="Picture 1793"/>
        <xdr:cNvPicPr>
          <a:picLocks noChangeAspect="1" noChangeArrowheads="1"/>
        </xdr:cNvPicPr>
      </xdr:nvPicPr>
      <xdr:blipFill>
        <a:blip xmlns:r="http://schemas.openxmlformats.org/officeDocument/2006/relationships" r:embed="rId1792">
          <a:extLst>
            <a:ext uri="{28A0092B-C50C-407E-A947-70E740481C1C}">
              <a14:useLocalDpi xmlns:a14="http://schemas.microsoft.com/office/drawing/2010/main" val="0"/>
            </a:ext>
          </a:extLst>
        </a:blip>
        <a:srcRect/>
        <a:stretch>
          <a:fillRect/>
        </a:stretch>
      </xdr:blipFill>
      <xdr:spPr bwMode="auto">
        <a:xfrm>
          <a:off x="1228725" y="34013489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1795</xdr:row>
      <xdr:rowOff>19050</xdr:rowOff>
    </xdr:from>
    <xdr:to>
      <xdr:col>2</xdr:col>
      <xdr:colOff>1733550</xdr:colOff>
      <xdr:row>1795</xdr:row>
      <xdr:rowOff>1666875</xdr:rowOff>
    </xdr:to>
    <xdr:pic>
      <xdr:nvPicPr>
        <xdr:cNvPr id="1795" name="Picture 1794"/>
        <xdr:cNvPicPr>
          <a:picLocks noChangeAspect="1" noChangeArrowheads="1"/>
        </xdr:cNvPicPr>
      </xdr:nvPicPr>
      <xdr:blipFill>
        <a:blip xmlns:r="http://schemas.openxmlformats.org/officeDocument/2006/relationships" r:embed="rId1793">
          <a:extLst>
            <a:ext uri="{28A0092B-C50C-407E-A947-70E740481C1C}">
              <a14:useLocalDpi xmlns:a14="http://schemas.microsoft.com/office/drawing/2010/main" val="0"/>
            </a:ext>
          </a:extLst>
        </a:blip>
        <a:srcRect/>
        <a:stretch>
          <a:fillRect/>
        </a:stretch>
      </xdr:blipFill>
      <xdr:spPr bwMode="auto">
        <a:xfrm>
          <a:off x="1228725" y="3403206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1796</xdr:row>
      <xdr:rowOff>19050</xdr:rowOff>
    </xdr:from>
    <xdr:to>
      <xdr:col>2</xdr:col>
      <xdr:colOff>1733550</xdr:colOff>
      <xdr:row>1796</xdr:row>
      <xdr:rowOff>1666875</xdr:rowOff>
    </xdr:to>
    <xdr:pic>
      <xdr:nvPicPr>
        <xdr:cNvPr id="1796" name="Picture 1795"/>
        <xdr:cNvPicPr>
          <a:picLocks noChangeAspect="1" noChangeArrowheads="1"/>
        </xdr:cNvPicPr>
      </xdr:nvPicPr>
      <xdr:blipFill>
        <a:blip xmlns:r="http://schemas.openxmlformats.org/officeDocument/2006/relationships" r:embed="rId1794">
          <a:extLst>
            <a:ext uri="{28A0092B-C50C-407E-A947-70E740481C1C}">
              <a14:useLocalDpi xmlns:a14="http://schemas.microsoft.com/office/drawing/2010/main" val="0"/>
            </a:ext>
          </a:extLst>
        </a:blip>
        <a:srcRect/>
        <a:stretch>
          <a:fillRect/>
        </a:stretch>
      </xdr:blipFill>
      <xdr:spPr bwMode="auto">
        <a:xfrm>
          <a:off x="1228725" y="3405120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1797</xdr:row>
      <xdr:rowOff>19050</xdr:rowOff>
    </xdr:from>
    <xdr:to>
      <xdr:col>2</xdr:col>
      <xdr:colOff>1733550</xdr:colOff>
      <xdr:row>1797</xdr:row>
      <xdr:rowOff>1666875</xdr:rowOff>
    </xdr:to>
    <xdr:pic>
      <xdr:nvPicPr>
        <xdr:cNvPr id="1797" name="Picture 1796"/>
        <xdr:cNvPicPr>
          <a:picLocks noChangeAspect="1" noChangeArrowheads="1"/>
        </xdr:cNvPicPr>
      </xdr:nvPicPr>
      <xdr:blipFill>
        <a:blip xmlns:r="http://schemas.openxmlformats.org/officeDocument/2006/relationships" r:embed="rId1795">
          <a:extLst>
            <a:ext uri="{28A0092B-C50C-407E-A947-70E740481C1C}">
              <a14:useLocalDpi xmlns:a14="http://schemas.microsoft.com/office/drawing/2010/main" val="0"/>
            </a:ext>
          </a:extLst>
        </a:blip>
        <a:srcRect/>
        <a:stretch>
          <a:fillRect/>
        </a:stretch>
      </xdr:blipFill>
      <xdr:spPr bwMode="auto">
        <a:xfrm>
          <a:off x="1228725" y="3407035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1798</xdr:row>
      <xdr:rowOff>19050</xdr:rowOff>
    </xdr:from>
    <xdr:to>
      <xdr:col>2</xdr:col>
      <xdr:colOff>1733550</xdr:colOff>
      <xdr:row>1798</xdr:row>
      <xdr:rowOff>1666875</xdr:rowOff>
    </xdr:to>
    <xdr:pic>
      <xdr:nvPicPr>
        <xdr:cNvPr id="1798" name="Picture 1797"/>
        <xdr:cNvPicPr>
          <a:picLocks noChangeAspect="1" noChangeArrowheads="1"/>
        </xdr:cNvPicPr>
      </xdr:nvPicPr>
      <xdr:blipFill>
        <a:blip xmlns:r="http://schemas.openxmlformats.org/officeDocument/2006/relationships" r:embed="rId1796">
          <a:extLst>
            <a:ext uri="{28A0092B-C50C-407E-A947-70E740481C1C}">
              <a14:useLocalDpi xmlns:a14="http://schemas.microsoft.com/office/drawing/2010/main" val="0"/>
            </a:ext>
          </a:extLst>
        </a:blip>
        <a:srcRect/>
        <a:stretch>
          <a:fillRect/>
        </a:stretch>
      </xdr:blipFill>
      <xdr:spPr bwMode="auto">
        <a:xfrm>
          <a:off x="1228725" y="3408949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1799</xdr:row>
      <xdr:rowOff>19050</xdr:rowOff>
    </xdr:from>
    <xdr:to>
      <xdr:col>2</xdr:col>
      <xdr:colOff>1733550</xdr:colOff>
      <xdr:row>1799</xdr:row>
      <xdr:rowOff>1666875</xdr:rowOff>
    </xdr:to>
    <xdr:pic>
      <xdr:nvPicPr>
        <xdr:cNvPr id="1799" name="Picture 1798"/>
        <xdr:cNvPicPr>
          <a:picLocks noChangeAspect="1" noChangeArrowheads="1"/>
        </xdr:cNvPicPr>
      </xdr:nvPicPr>
      <xdr:blipFill>
        <a:blip xmlns:r="http://schemas.openxmlformats.org/officeDocument/2006/relationships" r:embed="rId1797">
          <a:extLst>
            <a:ext uri="{28A0092B-C50C-407E-A947-70E740481C1C}">
              <a14:useLocalDpi xmlns:a14="http://schemas.microsoft.com/office/drawing/2010/main" val="0"/>
            </a:ext>
          </a:extLst>
        </a:blip>
        <a:srcRect/>
        <a:stretch>
          <a:fillRect/>
        </a:stretch>
      </xdr:blipFill>
      <xdr:spPr bwMode="auto">
        <a:xfrm>
          <a:off x="1228725" y="3410864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1800</xdr:row>
      <xdr:rowOff>19050</xdr:rowOff>
    </xdr:from>
    <xdr:to>
      <xdr:col>2</xdr:col>
      <xdr:colOff>1733550</xdr:colOff>
      <xdr:row>1800</xdr:row>
      <xdr:rowOff>1666875</xdr:rowOff>
    </xdr:to>
    <xdr:pic>
      <xdr:nvPicPr>
        <xdr:cNvPr id="1800" name="Picture 1799"/>
        <xdr:cNvPicPr>
          <a:picLocks noChangeAspect="1" noChangeArrowheads="1"/>
        </xdr:cNvPicPr>
      </xdr:nvPicPr>
      <xdr:blipFill>
        <a:blip xmlns:r="http://schemas.openxmlformats.org/officeDocument/2006/relationships" r:embed="rId1798">
          <a:extLst>
            <a:ext uri="{28A0092B-C50C-407E-A947-70E740481C1C}">
              <a14:useLocalDpi xmlns:a14="http://schemas.microsoft.com/office/drawing/2010/main" val="0"/>
            </a:ext>
          </a:extLst>
        </a:blip>
        <a:srcRect/>
        <a:stretch>
          <a:fillRect/>
        </a:stretch>
      </xdr:blipFill>
      <xdr:spPr bwMode="auto">
        <a:xfrm>
          <a:off x="1228725" y="3412778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1801</xdr:row>
      <xdr:rowOff>9525</xdr:rowOff>
    </xdr:from>
    <xdr:to>
      <xdr:col>2</xdr:col>
      <xdr:colOff>1733550</xdr:colOff>
      <xdr:row>1801</xdr:row>
      <xdr:rowOff>1524000</xdr:rowOff>
    </xdr:to>
    <xdr:pic>
      <xdr:nvPicPr>
        <xdr:cNvPr id="1801" name="Picture 1800"/>
        <xdr:cNvPicPr>
          <a:picLocks noChangeAspect="1" noChangeArrowheads="1"/>
        </xdr:cNvPicPr>
      </xdr:nvPicPr>
      <xdr:blipFill>
        <a:blip xmlns:r="http://schemas.openxmlformats.org/officeDocument/2006/relationships" r:embed="rId1799">
          <a:extLst>
            <a:ext uri="{28A0092B-C50C-407E-A947-70E740481C1C}">
              <a14:useLocalDpi xmlns:a14="http://schemas.microsoft.com/office/drawing/2010/main" val="0"/>
            </a:ext>
          </a:extLst>
        </a:blip>
        <a:srcRect/>
        <a:stretch>
          <a:fillRect/>
        </a:stretch>
      </xdr:blipFill>
      <xdr:spPr bwMode="auto">
        <a:xfrm>
          <a:off x="1228725" y="3414683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1802</xdr:row>
      <xdr:rowOff>9525</xdr:rowOff>
    </xdr:from>
    <xdr:to>
      <xdr:col>2</xdr:col>
      <xdr:colOff>1733550</xdr:colOff>
      <xdr:row>1802</xdr:row>
      <xdr:rowOff>1524000</xdr:rowOff>
    </xdr:to>
    <xdr:pic>
      <xdr:nvPicPr>
        <xdr:cNvPr id="1802" name="Picture 1801"/>
        <xdr:cNvPicPr>
          <a:picLocks noChangeAspect="1" noChangeArrowheads="1"/>
        </xdr:cNvPicPr>
      </xdr:nvPicPr>
      <xdr:blipFill>
        <a:blip xmlns:r="http://schemas.openxmlformats.org/officeDocument/2006/relationships" r:embed="rId1800">
          <a:extLst>
            <a:ext uri="{28A0092B-C50C-407E-A947-70E740481C1C}">
              <a14:useLocalDpi xmlns:a14="http://schemas.microsoft.com/office/drawing/2010/main" val="0"/>
            </a:ext>
          </a:extLst>
        </a:blip>
        <a:srcRect/>
        <a:stretch>
          <a:fillRect/>
        </a:stretch>
      </xdr:blipFill>
      <xdr:spPr bwMode="auto">
        <a:xfrm>
          <a:off x="1228725" y="3416436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1803</xdr:row>
      <xdr:rowOff>9525</xdr:rowOff>
    </xdr:from>
    <xdr:to>
      <xdr:col>2</xdr:col>
      <xdr:colOff>1733550</xdr:colOff>
      <xdr:row>1803</xdr:row>
      <xdr:rowOff>1524000</xdr:rowOff>
    </xdr:to>
    <xdr:pic>
      <xdr:nvPicPr>
        <xdr:cNvPr id="1803" name="Picture 1802"/>
        <xdr:cNvPicPr>
          <a:picLocks noChangeAspect="1" noChangeArrowheads="1"/>
        </xdr:cNvPicPr>
      </xdr:nvPicPr>
      <xdr:blipFill>
        <a:blip xmlns:r="http://schemas.openxmlformats.org/officeDocument/2006/relationships" r:embed="rId1801">
          <a:extLst>
            <a:ext uri="{28A0092B-C50C-407E-A947-70E740481C1C}">
              <a14:useLocalDpi xmlns:a14="http://schemas.microsoft.com/office/drawing/2010/main" val="0"/>
            </a:ext>
          </a:extLst>
        </a:blip>
        <a:srcRect/>
        <a:stretch>
          <a:fillRect/>
        </a:stretch>
      </xdr:blipFill>
      <xdr:spPr bwMode="auto">
        <a:xfrm>
          <a:off x="1228725" y="3418189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1804</xdr:row>
      <xdr:rowOff>19050</xdr:rowOff>
    </xdr:from>
    <xdr:to>
      <xdr:col>2</xdr:col>
      <xdr:colOff>1733550</xdr:colOff>
      <xdr:row>1804</xdr:row>
      <xdr:rowOff>1666875</xdr:rowOff>
    </xdr:to>
    <xdr:pic>
      <xdr:nvPicPr>
        <xdr:cNvPr id="1804" name="Picture 1803"/>
        <xdr:cNvPicPr>
          <a:picLocks noChangeAspect="1" noChangeArrowheads="1"/>
        </xdr:cNvPicPr>
      </xdr:nvPicPr>
      <xdr:blipFill>
        <a:blip xmlns:r="http://schemas.openxmlformats.org/officeDocument/2006/relationships" r:embed="rId1802">
          <a:extLst>
            <a:ext uri="{28A0092B-C50C-407E-A947-70E740481C1C}">
              <a14:useLocalDpi xmlns:a14="http://schemas.microsoft.com/office/drawing/2010/main" val="0"/>
            </a:ext>
          </a:extLst>
        </a:blip>
        <a:srcRect/>
        <a:stretch>
          <a:fillRect/>
        </a:stretch>
      </xdr:blipFill>
      <xdr:spPr bwMode="auto">
        <a:xfrm>
          <a:off x="1228725" y="341995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1805</xdr:row>
      <xdr:rowOff>9525</xdr:rowOff>
    </xdr:from>
    <xdr:to>
      <xdr:col>2</xdr:col>
      <xdr:colOff>1733550</xdr:colOff>
      <xdr:row>1805</xdr:row>
      <xdr:rowOff>1524000</xdr:rowOff>
    </xdr:to>
    <xdr:pic>
      <xdr:nvPicPr>
        <xdr:cNvPr id="1805" name="Picture 1804"/>
        <xdr:cNvPicPr>
          <a:picLocks noChangeAspect="1" noChangeArrowheads="1"/>
        </xdr:cNvPicPr>
      </xdr:nvPicPr>
      <xdr:blipFill>
        <a:blip xmlns:r="http://schemas.openxmlformats.org/officeDocument/2006/relationships" r:embed="rId1803">
          <a:extLst>
            <a:ext uri="{28A0092B-C50C-407E-A947-70E740481C1C}">
              <a14:useLocalDpi xmlns:a14="http://schemas.microsoft.com/office/drawing/2010/main" val="0"/>
            </a:ext>
          </a:extLst>
        </a:blip>
        <a:srcRect/>
        <a:stretch>
          <a:fillRect/>
        </a:stretch>
      </xdr:blipFill>
      <xdr:spPr bwMode="auto">
        <a:xfrm>
          <a:off x="1228725" y="3421856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1806</xdr:row>
      <xdr:rowOff>9525</xdr:rowOff>
    </xdr:from>
    <xdr:to>
      <xdr:col>2</xdr:col>
      <xdr:colOff>1733550</xdr:colOff>
      <xdr:row>1806</xdr:row>
      <xdr:rowOff>1524000</xdr:rowOff>
    </xdr:to>
    <xdr:pic>
      <xdr:nvPicPr>
        <xdr:cNvPr id="1806" name="Picture 1805"/>
        <xdr:cNvPicPr>
          <a:picLocks noChangeAspect="1" noChangeArrowheads="1"/>
        </xdr:cNvPicPr>
      </xdr:nvPicPr>
      <xdr:blipFill>
        <a:blip xmlns:r="http://schemas.openxmlformats.org/officeDocument/2006/relationships" r:embed="rId1804">
          <a:extLst>
            <a:ext uri="{28A0092B-C50C-407E-A947-70E740481C1C}">
              <a14:useLocalDpi xmlns:a14="http://schemas.microsoft.com/office/drawing/2010/main" val="0"/>
            </a:ext>
          </a:extLst>
        </a:blip>
        <a:srcRect/>
        <a:stretch>
          <a:fillRect/>
        </a:stretch>
      </xdr:blipFill>
      <xdr:spPr bwMode="auto">
        <a:xfrm>
          <a:off x="1228725" y="34236088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1807</xdr:row>
      <xdr:rowOff>9525</xdr:rowOff>
    </xdr:from>
    <xdr:to>
      <xdr:col>2</xdr:col>
      <xdr:colOff>1733550</xdr:colOff>
      <xdr:row>1807</xdr:row>
      <xdr:rowOff>1524000</xdr:rowOff>
    </xdr:to>
    <xdr:pic>
      <xdr:nvPicPr>
        <xdr:cNvPr id="1807" name="Picture 1806"/>
        <xdr:cNvPicPr>
          <a:picLocks noChangeAspect="1" noChangeArrowheads="1"/>
        </xdr:cNvPicPr>
      </xdr:nvPicPr>
      <xdr:blipFill>
        <a:blip xmlns:r="http://schemas.openxmlformats.org/officeDocument/2006/relationships" r:embed="rId1805">
          <a:extLst>
            <a:ext uri="{28A0092B-C50C-407E-A947-70E740481C1C}">
              <a14:useLocalDpi xmlns:a14="http://schemas.microsoft.com/office/drawing/2010/main" val="0"/>
            </a:ext>
          </a:extLst>
        </a:blip>
        <a:srcRect/>
        <a:stretch>
          <a:fillRect/>
        </a:stretch>
      </xdr:blipFill>
      <xdr:spPr bwMode="auto">
        <a:xfrm>
          <a:off x="1228725" y="3425361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1808</xdr:row>
      <xdr:rowOff>9525</xdr:rowOff>
    </xdr:from>
    <xdr:to>
      <xdr:col>2</xdr:col>
      <xdr:colOff>1733550</xdr:colOff>
      <xdr:row>1808</xdr:row>
      <xdr:rowOff>1524000</xdr:rowOff>
    </xdr:to>
    <xdr:pic>
      <xdr:nvPicPr>
        <xdr:cNvPr id="1808" name="Picture 1807"/>
        <xdr:cNvPicPr>
          <a:picLocks noChangeAspect="1" noChangeArrowheads="1"/>
        </xdr:cNvPicPr>
      </xdr:nvPicPr>
      <xdr:blipFill>
        <a:blip xmlns:r="http://schemas.openxmlformats.org/officeDocument/2006/relationships" r:embed="rId1806">
          <a:extLst>
            <a:ext uri="{28A0092B-C50C-407E-A947-70E740481C1C}">
              <a14:useLocalDpi xmlns:a14="http://schemas.microsoft.com/office/drawing/2010/main" val="0"/>
            </a:ext>
          </a:extLst>
        </a:blip>
        <a:srcRect/>
        <a:stretch>
          <a:fillRect/>
        </a:stretch>
      </xdr:blipFill>
      <xdr:spPr bwMode="auto">
        <a:xfrm>
          <a:off x="1228725" y="3427114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1809</xdr:row>
      <xdr:rowOff>9525</xdr:rowOff>
    </xdr:from>
    <xdr:to>
      <xdr:col>2</xdr:col>
      <xdr:colOff>1733550</xdr:colOff>
      <xdr:row>1809</xdr:row>
      <xdr:rowOff>1524000</xdr:rowOff>
    </xdr:to>
    <xdr:pic>
      <xdr:nvPicPr>
        <xdr:cNvPr id="1809" name="Picture 1808"/>
        <xdr:cNvPicPr>
          <a:picLocks noChangeAspect="1" noChangeArrowheads="1"/>
        </xdr:cNvPicPr>
      </xdr:nvPicPr>
      <xdr:blipFill>
        <a:blip xmlns:r="http://schemas.openxmlformats.org/officeDocument/2006/relationships" r:embed="rId1807">
          <a:extLst>
            <a:ext uri="{28A0092B-C50C-407E-A947-70E740481C1C}">
              <a14:useLocalDpi xmlns:a14="http://schemas.microsoft.com/office/drawing/2010/main" val="0"/>
            </a:ext>
          </a:extLst>
        </a:blip>
        <a:srcRect/>
        <a:stretch>
          <a:fillRect/>
        </a:stretch>
      </xdr:blipFill>
      <xdr:spPr bwMode="auto">
        <a:xfrm>
          <a:off x="1228725" y="34288666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1810</xdr:row>
      <xdr:rowOff>19050</xdr:rowOff>
    </xdr:from>
    <xdr:to>
      <xdr:col>2</xdr:col>
      <xdr:colOff>1733550</xdr:colOff>
      <xdr:row>1810</xdr:row>
      <xdr:rowOff>1666875</xdr:rowOff>
    </xdr:to>
    <xdr:pic>
      <xdr:nvPicPr>
        <xdr:cNvPr id="1810" name="Picture 1809"/>
        <xdr:cNvPicPr>
          <a:picLocks noChangeAspect="1" noChangeArrowheads="1"/>
        </xdr:cNvPicPr>
      </xdr:nvPicPr>
      <xdr:blipFill>
        <a:blip xmlns:r="http://schemas.openxmlformats.org/officeDocument/2006/relationships" r:embed="rId1808">
          <a:extLst>
            <a:ext uri="{28A0092B-C50C-407E-A947-70E740481C1C}">
              <a14:useLocalDpi xmlns:a14="http://schemas.microsoft.com/office/drawing/2010/main" val="0"/>
            </a:ext>
          </a:extLst>
        </a:blip>
        <a:srcRect/>
        <a:stretch>
          <a:fillRect/>
        </a:stretch>
      </xdr:blipFill>
      <xdr:spPr bwMode="auto">
        <a:xfrm>
          <a:off x="1228725" y="3430628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1811</xdr:row>
      <xdr:rowOff>19050</xdr:rowOff>
    </xdr:from>
    <xdr:to>
      <xdr:col>2</xdr:col>
      <xdr:colOff>1733550</xdr:colOff>
      <xdr:row>1811</xdr:row>
      <xdr:rowOff>1666875</xdr:rowOff>
    </xdr:to>
    <xdr:pic>
      <xdr:nvPicPr>
        <xdr:cNvPr id="1811" name="Picture 1810"/>
        <xdr:cNvPicPr>
          <a:picLocks noChangeAspect="1" noChangeArrowheads="1"/>
        </xdr:cNvPicPr>
      </xdr:nvPicPr>
      <xdr:blipFill>
        <a:blip xmlns:r="http://schemas.openxmlformats.org/officeDocument/2006/relationships" r:embed="rId1809">
          <a:extLst>
            <a:ext uri="{28A0092B-C50C-407E-A947-70E740481C1C}">
              <a14:useLocalDpi xmlns:a14="http://schemas.microsoft.com/office/drawing/2010/main" val="0"/>
            </a:ext>
          </a:extLst>
        </a:blip>
        <a:srcRect/>
        <a:stretch>
          <a:fillRect/>
        </a:stretch>
      </xdr:blipFill>
      <xdr:spPr bwMode="auto">
        <a:xfrm>
          <a:off x="1228725" y="3432543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1812</xdr:row>
      <xdr:rowOff>19050</xdr:rowOff>
    </xdr:from>
    <xdr:to>
      <xdr:col>2</xdr:col>
      <xdr:colOff>1733550</xdr:colOff>
      <xdr:row>1812</xdr:row>
      <xdr:rowOff>1666875</xdr:rowOff>
    </xdr:to>
    <xdr:pic>
      <xdr:nvPicPr>
        <xdr:cNvPr id="1812" name="Picture 1811"/>
        <xdr:cNvPicPr>
          <a:picLocks noChangeAspect="1" noChangeArrowheads="1"/>
        </xdr:cNvPicPr>
      </xdr:nvPicPr>
      <xdr:blipFill>
        <a:blip xmlns:r="http://schemas.openxmlformats.org/officeDocument/2006/relationships" r:embed="rId1810">
          <a:extLst>
            <a:ext uri="{28A0092B-C50C-407E-A947-70E740481C1C}">
              <a14:useLocalDpi xmlns:a14="http://schemas.microsoft.com/office/drawing/2010/main" val="0"/>
            </a:ext>
          </a:extLst>
        </a:blip>
        <a:srcRect/>
        <a:stretch>
          <a:fillRect/>
        </a:stretch>
      </xdr:blipFill>
      <xdr:spPr bwMode="auto">
        <a:xfrm>
          <a:off x="1228725" y="3434457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1813</xdr:row>
      <xdr:rowOff>19050</xdr:rowOff>
    </xdr:from>
    <xdr:to>
      <xdr:col>2</xdr:col>
      <xdr:colOff>1733550</xdr:colOff>
      <xdr:row>1813</xdr:row>
      <xdr:rowOff>1647825</xdr:rowOff>
    </xdr:to>
    <xdr:pic>
      <xdr:nvPicPr>
        <xdr:cNvPr id="1813" name="Picture 1812"/>
        <xdr:cNvPicPr>
          <a:picLocks noChangeAspect="1" noChangeArrowheads="1"/>
        </xdr:cNvPicPr>
      </xdr:nvPicPr>
      <xdr:blipFill>
        <a:blip xmlns:r="http://schemas.openxmlformats.org/officeDocument/2006/relationships" r:embed="rId1811">
          <a:extLst>
            <a:ext uri="{28A0092B-C50C-407E-A947-70E740481C1C}">
              <a14:useLocalDpi xmlns:a14="http://schemas.microsoft.com/office/drawing/2010/main" val="0"/>
            </a:ext>
          </a:extLst>
        </a:blip>
        <a:srcRect/>
        <a:stretch>
          <a:fillRect/>
        </a:stretch>
      </xdr:blipFill>
      <xdr:spPr bwMode="auto">
        <a:xfrm>
          <a:off x="1228725" y="3436372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1814</xdr:row>
      <xdr:rowOff>9525</xdr:rowOff>
    </xdr:from>
    <xdr:to>
      <xdr:col>2</xdr:col>
      <xdr:colOff>1733550</xdr:colOff>
      <xdr:row>1814</xdr:row>
      <xdr:rowOff>1524000</xdr:rowOff>
    </xdr:to>
    <xdr:pic>
      <xdr:nvPicPr>
        <xdr:cNvPr id="1814" name="Picture 1813"/>
        <xdr:cNvPicPr>
          <a:picLocks noChangeAspect="1" noChangeArrowheads="1"/>
        </xdr:cNvPicPr>
      </xdr:nvPicPr>
      <xdr:blipFill>
        <a:blip xmlns:r="http://schemas.openxmlformats.org/officeDocument/2006/relationships" r:embed="rId1812">
          <a:extLst>
            <a:ext uri="{28A0092B-C50C-407E-A947-70E740481C1C}">
              <a14:useLocalDpi xmlns:a14="http://schemas.microsoft.com/office/drawing/2010/main" val="0"/>
            </a:ext>
          </a:extLst>
        </a:blip>
        <a:srcRect/>
        <a:stretch>
          <a:fillRect/>
        </a:stretch>
      </xdr:blipFill>
      <xdr:spPr bwMode="auto">
        <a:xfrm>
          <a:off x="1228725" y="3438258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1815</xdr:row>
      <xdr:rowOff>9525</xdr:rowOff>
    </xdr:from>
    <xdr:to>
      <xdr:col>2</xdr:col>
      <xdr:colOff>1733550</xdr:colOff>
      <xdr:row>1815</xdr:row>
      <xdr:rowOff>1524000</xdr:rowOff>
    </xdr:to>
    <xdr:pic>
      <xdr:nvPicPr>
        <xdr:cNvPr id="1815" name="Picture 1814"/>
        <xdr:cNvPicPr>
          <a:picLocks noChangeAspect="1" noChangeArrowheads="1"/>
        </xdr:cNvPicPr>
      </xdr:nvPicPr>
      <xdr:blipFill>
        <a:blip xmlns:r="http://schemas.openxmlformats.org/officeDocument/2006/relationships" r:embed="rId1813">
          <a:extLst>
            <a:ext uri="{28A0092B-C50C-407E-A947-70E740481C1C}">
              <a14:useLocalDpi xmlns:a14="http://schemas.microsoft.com/office/drawing/2010/main" val="0"/>
            </a:ext>
          </a:extLst>
        </a:blip>
        <a:srcRect/>
        <a:stretch>
          <a:fillRect/>
        </a:stretch>
      </xdr:blipFill>
      <xdr:spPr bwMode="auto">
        <a:xfrm>
          <a:off x="1228725" y="3440010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1816</xdr:row>
      <xdr:rowOff>19050</xdr:rowOff>
    </xdr:from>
    <xdr:to>
      <xdr:col>2</xdr:col>
      <xdr:colOff>1733550</xdr:colOff>
      <xdr:row>1816</xdr:row>
      <xdr:rowOff>1666875</xdr:rowOff>
    </xdr:to>
    <xdr:pic>
      <xdr:nvPicPr>
        <xdr:cNvPr id="1816" name="Picture 1815"/>
        <xdr:cNvPicPr>
          <a:picLocks noChangeAspect="1" noChangeArrowheads="1"/>
        </xdr:cNvPicPr>
      </xdr:nvPicPr>
      <xdr:blipFill>
        <a:blip xmlns:r="http://schemas.openxmlformats.org/officeDocument/2006/relationships" r:embed="rId1814">
          <a:extLst>
            <a:ext uri="{28A0092B-C50C-407E-A947-70E740481C1C}">
              <a14:useLocalDpi xmlns:a14="http://schemas.microsoft.com/office/drawing/2010/main" val="0"/>
            </a:ext>
          </a:extLst>
        </a:blip>
        <a:srcRect/>
        <a:stretch>
          <a:fillRect/>
        </a:stretch>
      </xdr:blipFill>
      <xdr:spPr bwMode="auto">
        <a:xfrm>
          <a:off x="1228725" y="3441773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1817</xdr:row>
      <xdr:rowOff>19050</xdr:rowOff>
    </xdr:from>
    <xdr:to>
      <xdr:col>2</xdr:col>
      <xdr:colOff>1733550</xdr:colOff>
      <xdr:row>1817</xdr:row>
      <xdr:rowOff>1666875</xdr:rowOff>
    </xdr:to>
    <xdr:pic>
      <xdr:nvPicPr>
        <xdr:cNvPr id="1817" name="Picture 1816"/>
        <xdr:cNvPicPr>
          <a:picLocks noChangeAspect="1" noChangeArrowheads="1"/>
        </xdr:cNvPicPr>
      </xdr:nvPicPr>
      <xdr:blipFill>
        <a:blip xmlns:r="http://schemas.openxmlformats.org/officeDocument/2006/relationships" r:embed="rId1815">
          <a:extLst>
            <a:ext uri="{28A0092B-C50C-407E-A947-70E740481C1C}">
              <a14:useLocalDpi xmlns:a14="http://schemas.microsoft.com/office/drawing/2010/main" val="0"/>
            </a:ext>
          </a:extLst>
        </a:blip>
        <a:srcRect/>
        <a:stretch>
          <a:fillRect/>
        </a:stretch>
      </xdr:blipFill>
      <xdr:spPr bwMode="auto">
        <a:xfrm>
          <a:off x="1228725" y="3443687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1818</xdr:row>
      <xdr:rowOff>19050</xdr:rowOff>
    </xdr:from>
    <xdr:to>
      <xdr:col>2</xdr:col>
      <xdr:colOff>1733550</xdr:colOff>
      <xdr:row>1818</xdr:row>
      <xdr:rowOff>1666875</xdr:rowOff>
    </xdr:to>
    <xdr:pic>
      <xdr:nvPicPr>
        <xdr:cNvPr id="1818" name="Picture 1817"/>
        <xdr:cNvPicPr>
          <a:picLocks noChangeAspect="1" noChangeArrowheads="1"/>
        </xdr:cNvPicPr>
      </xdr:nvPicPr>
      <xdr:blipFill>
        <a:blip xmlns:r="http://schemas.openxmlformats.org/officeDocument/2006/relationships" r:embed="rId1816">
          <a:extLst>
            <a:ext uri="{28A0092B-C50C-407E-A947-70E740481C1C}">
              <a14:useLocalDpi xmlns:a14="http://schemas.microsoft.com/office/drawing/2010/main" val="0"/>
            </a:ext>
          </a:extLst>
        </a:blip>
        <a:srcRect/>
        <a:stretch>
          <a:fillRect/>
        </a:stretch>
      </xdr:blipFill>
      <xdr:spPr bwMode="auto">
        <a:xfrm>
          <a:off x="1228725" y="344560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1819</xdr:row>
      <xdr:rowOff>19050</xdr:rowOff>
    </xdr:from>
    <xdr:to>
      <xdr:col>2</xdr:col>
      <xdr:colOff>1733550</xdr:colOff>
      <xdr:row>1819</xdr:row>
      <xdr:rowOff>1666875</xdr:rowOff>
    </xdr:to>
    <xdr:pic>
      <xdr:nvPicPr>
        <xdr:cNvPr id="1819" name="Picture 1818"/>
        <xdr:cNvPicPr>
          <a:picLocks noChangeAspect="1" noChangeArrowheads="1"/>
        </xdr:cNvPicPr>
      </xdr:nvPicPr>
      <xdr:blipFill>
        <a:blip xmlns:r="http://schemas.openxmlformats.org/officeDocument/2006/relationships" r:embed="rId1817">
          <a:extLst>
            <a:ext uri="{28A0092B-C50C-407E-A947-70E740481C1C}">
              <a14:useLocalDpi xmlns:a14="http://schemas.microsoft.com/office/drawing/2010/main" val="0"/>
            </a:ext>
          </a:extLst>
        </a:blip>
        <a:srcRect/>
        <a:stretch>
          <a:fillRect/>
        </a:stretch>
      </xdr:blipFill>
      <xdr:spPr bwMode="auto">
        <a:xfrm>
          <a:off x="1228725" y="344751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1820</xdr:row>
      <xdr:rowOff>19050</xdr:rowOff>
    </xdr:from>
    <xdr:to>
      <xdr:col>2</xdr:col>
      <xdr:colOff>1733550</xdr:colOff>
      <xdr:row>1820</xdr:row>
      <xdr:rowOff>1666875</xdr:rowOff>
    </xdr:to>
    <xdr:pic>
      <xdr:nvPicPr>
        <xdr:cNvPr id="1820" name="Picture 1819"/>
        <xdr:cNvPicPr>
          <a:picLocks noChangeAspect="1" noChangeArrowheads="1"/>
        </xdr:cNvPicPr>
      </xdr:nvPicPr>
      <xdr:blipFill>
        <a:blip xmlns:r="http://schemas.openxmlformats.org/officeDocument/2006/relationships" r:embed="rId1818">
          <a:extLst>
            <a:ext uri="{28A0092B-C50C-407E-A947-70E740481C1C}">
              <a14:useLocalDpi xmlns:a14="http://schemas.microsoft.com/office/drawing/2010/main" val="0"/>
            </a:ext>
          </a:extLst>
        </a:blip>
        <a:srcRect/>
        <a:stretch>
          <a:fillRect/>
        </a:stretch>
      </xdr:blipFill>
      <xdr:spPr bwMode="auto">
        <a:xfrm>
          <a:off x="1228725" y="3449431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1821</xdr:row>
      <xdr:rowOff>19050</xdr:rowOff>
    </xdr:from>
    <xdr:to>
      <xdr:col>2</xdr:col>
      <xdr:colOff>1733550</xdr:colOff>
      <xdr:row>1821</xdr:row>
      <xdr:rowOff>1666875</xdr:rowOff>
    </xdr:to>
    <xdr:pic>
      <xdr:nvPicPr>
        <xdr:cNvPr id="1821" name="Picture 1820"/>
        <xdr:cNvPicPr>
          <a:picLocks noChangeAspect="1" noChangeArrowheads="1"/>
        </xdr:cNvPicPr>
      </xdr:nvPicPr>
      <xdr:blipFill>
        <a:blip xmlns:r="http://schemas.openxmlformats.org/officeDocument/2006/relationships" r:embed="rId1819">
          <a:extLst>
            <a:ext uri="{28A0092B-C50C-407E-A947-70E740481C1C}">
              <a14:useLocalDpi xmlns:a14="http://schemas.microsoft.com/office/drawing/2010/main" val="0"/>
            </a:ext>
          </a:extLst>
        </a:blip>
        <a:srcRect/>
        <a:stretch>
          <a:fillRect/>
        </a:stretch>
      </xdr:blipFill>
      <xdr:spPr bwMode="auto">
        <a:xfrm>
          <a:off x="1228725" y="3451345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1822</xdr:row>
      <xdr:rowOff>19050</xdr:rowOff>
    </xdr:from>
    <xdr:to>
      <xdr:col>2</xdr:col>
      <xdr:colOff>1733550</xdr:colOff>
      <xdr:row>1822</xdr:row>
      <xdr:rowOff>1666875</xdr:rowOff>
    </xdr:to>
    <xdr:pic>
      <xdr:nvPicPr>
        <xdr:cNvPr id="1822" name="Picture 1821"/>
        <xdr:cNvPicPr>
          <a:picLocks noChangeAspect="1" noChangeArrowheads="1"/>
        </xdr:cNvPicPr>
      </xdr:nvPicPr>
      <xdr:blipFill>
        <a:blip xmlns:r="http://schemas.openxmlformats.org/officeDocument/2006/relationships" r:embed="rId1820">
          <a:extLst>
            <a:ext uri="{28A0092B-C50C-407E-A947-70E740481C1C}">
              <a14:useLocalDpi xmlns:a14="http://schemas.microsoft.com/office/drawing/2010/main" val="0"/>
            </a:ext>
          </a:extLst>
        </a:blip>
        <a:srcRect/>
        <a:stretch>
          <a:fillRect/>
        </a:stretch>
      </xdr:blipFill>
      <xdr:spPr bwMode="auto">
        <a:xfrm>
          <a:off x="1228725" y="3453260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1823</xdr:row>
      <xdr:rowOff>19050</xdr:rowOff>
    </xdr:from>
    <xdr:to>
      <xdr:col>2</xdr:col>
      <xdr:colOff>1733550</xdr:colOff>
      <xdr:row>1823</xdr:row>
      <xdr:rowOff>1666875</xdr:rowOff>
    </xdr:to>
    <xdr:pic>
      <xdr:nvPicPr>
        <xdr:cNvPr id="1823" name="Picture 1822"/>
        <xdr:cNvPicPr>
          <a:picLocks noChangeAspect="1" noChangeArrowheads="1"/>
        </xdr:cNvPicPr>
      </xdr:nvPicPr>
      <xdr:blipFill>
        <a:blip xmlns:r="http://schemas.openxmlformats.org/officeDocument/2006/relationships" r:embed="rId1821">
          <a:extLst>
            <a:ext uri="{28A0092B-C50C-407E-A947-70E740481C1C}">
              <a14:useLocalDpi xmlns:a14="http://schemas.microsoft.com/office/drawing/2010/main" val="0"/>
            </a:ext>
          </a:extLst>
        </a:blip>
        <a:srcRect/>
        <a:stretch>
          <a:fillRect/>
        </a:stretch>
      </xdr:blipFill>
      <xdr:spPr bwMode="auto">
        <a:xfrm>
          <a:off x="1228725" y="345517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1824</xdr:row>
      <xdr:rowOff>19050</xdr:rowOff>
    </xdr:from>
    <xdr:to>
      <xdr:col>2</xdr:col>
      <xdr:colOff>1733550</xdr:colOff>
      <xdr:row>1824</xdr:row>
      <xdr:rowOff>1666875</xdr:rowOff>
    </xdr:to>
    <xdr:pic>
      <xdr:nvPicPr>
        <xdr:cNvPr id="1824" name="Picture 1823"/>
        <xdr:cNvPicPr>
          <a:picLocks noChangeAspect="1" noChangeArrowheads="1"/>
        </xdr:cNvPicPr>
      </xdr:nvPicPr>
      <xdr:blipFill>
        <a:blip xmlns:r="http://schemas.openxmlformats.org/officeDocument/2006/relationships" r:embed="rId1822">
          <a:extLst>
            <a:ext uri="{28A0092B-C50C-407E-A947-70E740481C1C}">
              <a14:useLocalDpi xmlns:a14="http://schemas.microsoft.com/office/drawing/2010/main" val="0"/>
            </a:ext>
          </a:extLst>
        </a:blip>
        <a:srcRect/>
        <a:stretch>
          <a:fillRect/>
        </a:stretch>
      </xdr:blipFill>
      <xdr:spPr bwMode="auto">
        <a:xfrm>
          <a:off x="1228725" y="345708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1825</xdr:row>
      <xdr:rowOff>19050</xdr:rowOff>
    </xdr:from>
    <xdr:to>
      <xdr:col>2</xdr:col>
      <xdr:colOff>1733550</xdr:colOff>
      <xdr:row>1825</xdr:row>
      <xdr:rowOff>1647825</xdr:rowOff>
    </xdr:to>
    <xdr:pic>
      <xdr:nvPicPr>
        <xdr:cNvPr id="1825" name="Picture 1824"/>
        <xdr:cNvPicPr>
          <a:picLocks noChangeAspect="1" noChangeArrowheads="1"/>
        </xdr:cNvPicPr>
      </xdr:nvPicPr>
      <xdr:blipFill>
        <a:blip xmlns:r="http://schemas.openxmlformats.org/officeDocument/2006/relationships" r:embed="rId1823">
          <a:extLst>
            <a:ext uri="{28A0092B-C50C-407E-A947-70E740481C1C}">
              <a14:useLocalDpi xmlns:a14="http://schemas.microsoft.com/office/drawing/2010/main" val="0"/>
            </a:ext>
          </a:extLst>
        </a:blip>
        <a:srcRect/>
        <a:stretch>
          <a:fillRect/>
        </a:stretch>
      </xdr:blipFill>
      <xdr:spPr bwMode="auto">
        <a:xfrm>
          <a:off x="1228725" y="34590037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1826</xdr:row>
      <xdr:rowOff>19050</xdr:rowOff>
    </xdr:from>
    <xdr:to>
      <xdr:col>2</xdr:col>
      <xdr:colOff>1733550</xdr:colOff>
      <xdr:row>1826</xdr:row>
      <xdr:rowOff>1647825</xdr:rowOff>
    </xdr:to>
    <xdr:pic>
      <xdr:nvPicPr>
        <xdr:cNvPr id="1826" name="Picture 1825"/>
        <xdr:cNvPicPr>
          <a:picLocks noChangeAspect="1" noChangeArrowheads="1"/>
        </xdr:cNvPicPr>
      </xdr:nvPicPr>
      <xdr:blipFill>
        <a:blip xmlns:r="http://schemas.openxmlformats.org/officeDocument/2006/relationships" r:embed="rId1824">
          <a:extLst>
            <a:ext uri="{28A0092B-C50C-407E-A947-70E740481C1C}">
              <a14:useLocalDpi xmlns:a14="http://schemas.microsoft.com/office/drawing/2010/main" val="0"/>
            </a:ext>
          </a:extLst>
        </a:blip>
        <a:srcRect/>
        <a:stretch>
          <a:fillRect/>
        </a:stretch>
      </xdr:blipFill>
      <xdr:spPr bwMode="auto">
        <a:xfrm>
          <a:off x="1228725" y="34608992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1827</xdr:row>
      <xdr:rowOff>19050</xdr:rowOff>
    </xdr:from>
    <xdr:to>
      <xdr:col>2</xdr:col>
      <xdr:colOff>1733550</xdr:colOff>
      <xdr:row>1827</xdr:row>
      <xdr:rowOff>1647825</xdr:rowOff>
    </xdr:to>
    <xdr:pic>
      <xdr:nvPicPr>
        <xdr:cNvPr id="1827" name="Picture 1826"/>
        <xdr:cNvPicPr>
          <a:picLocks noChangeAspect="1" noChangeArrowheads="1"/>
        </xdr:cNvPicPr>
      </xdr:nvPicPr>
      <xdr:blipFill>
        <a:blip xmlns:r="http://schemas.openxmlformats.org/officeDocument/2006/relationships" r:embed="rId1825">
          <a:extLst>
            <a:ext uri="{28A0092B-C50C-407E-A947-70E740481C1C}">
              <a14:useLocalDpi xmlns:a14="http://schemas.microsoft.com/office/drawing/2010/main" val="0"/>
            </a:ext>
          </a:extLst>
        </a:blip>
        <a:srcRect/>
        <a:stretch>
          <a:fillRect/>
        </a:stretch>
      </xdr:blipFill>
      <xdr:spPr bwMode="auto">
        <a:xfrm>
          <a:off x="1228725" y="34627947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1828</xdr:row>
      <xdr:rowOff>19050</xdr:rowOff>
    </xdr:from>
    <xdr:to>
      <xdr:col>2</xdr:col>
      <xdr:colOff>1733550</xdr:colOff>
      <xdr:row>1828</xdr:row>
      <xdr:rowOff>1647825</xdr:rowOff>
    </xdr:to>
    <xdr:pic>
      <xdr:nvPicPr>
        <xdr:cNvPr id="1828" name="Picture 1827"/>
        <xdr:cNvPicPr>
          <a:picLocks noChangeAspect="1" noChangeArrowheads="1"/>
        </xdr:cNvPicPr>
      </xdr:nvPicPr>
      <xdr:blipFill>
        <a:blip xmlns:r="http://schemas.openxmlformats.org/officeDocument/2006/relationships" r:embed="rId1826">
          <a:extLst>
            <a:ext uri="{28A0092B-C50C-407E-A947-70E740481C1C}">
              <a14:useLocalDpi xmlns:a14="http://schemas.microsoft.com/office/drawing/2010/main" val="0"/>
            </a:ext>
          </a:extLst>
        </a:blip>
        <a:srcRect/>
        <a:stretch>
          <a:fillRect/>
        </a:stretch>
      </xdr:blipFill>
      <xdr:spPr bwMode="auto">
        <a:xfrm>
          <a:off x="1228725" y="34646901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1829</xdr:row>
      <xdr:rowOff>19050</xdr:rowOff>
    </xdr:from>
    <xdr:to>
      <xdr:col>2</xdr:col>
      <xdr:colOff>1733550</xdr:colOff>
      <xdr:row>1829</xdr:row>
      <xdr:rowOff>1647825</xdr:rowOff>
    </xdr:to>
    <xdr:pic>
      <xdr:nvPicPr>
        <xdr:cNvPr id="1829" name="Picture 1828"/>
        <xdr:cNvPicPr>
          <a:picLocks noChangeAspect="1" noChangeArrowheads="1"/>
        </xdr:cNvPicPr>
      </xdr:nvPicPr>
      <xdr:blipFill>
        <a:blip xmlns:r="http://schemas.openxmlformats.org/officeDocument/2006/relationships" r:embed="rId1827">
          <a:extLst>
            <a:ext uri="{28A0092B-C50C-407E-A947-70E740481C1C}">
              <a14:useLocalDpi xmlns:a14="http://schemas.microsoft.com/office/drawing/2010/main" val="0"/>
            </a:ext>
          </a:extLst>
        </a:blip>
        <a:srcRect/>
        <a:stretch>
          <a:fillRect/>
        </a:stretch>
      </xdr:blipFill>
      <xdr:spPr bwMode="auto">
        <a:xfrm>
          <a:off x="1228725" y="3466585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1830</xdr:row>
      <xdr:rowOff>19050</xdr:rowOff>
    </xdr:from>
    <xdr:to>
      <xdr:col>2</xdr:col>
      <xdr:colOff>1733550</xdr:colOff>
      <xdr:row>1830</xdr:row>
      <xdr:rowOff>1647825</xdr:rowOff>
    </xdr:to>
    <xdr:pic>
      <xdr:nvPicPr>
        <xdr:cNvPr id="1830" name="Picture 1829"/>
        <xdr:cNvPicPr>
          <a:picLocks noChangeAspect="1" noChangeArrowheads="1"/>
        </xdr:cNvPicPr>
      </xdr:nvPicPr>
      <xdr:blipFill>
        <a:blip xmlns:r="http://schemas.openxmlformats.org/officeDocument/2006/relationships" r:embed="rId1828">
          <a:extLst>
            <a:ext uri="{28A0092B-C50C-407E-A947-70E740481C1C}">
              <a14:useLocalDpi xmlns:a14="http://schemas.microsoft.com/office/drawing/2010/main" val="0"/>
            </a:ext>
          </a:extLst>
        </a:blip>
        <a:srcRect/>
        <a:stretch>
          <a:fillRect/>
        </a:stretch>
      </xdr:blipFill>
      <xdr:spPr bwMode="auto">
        <a:xfrm>
          <a:off x="1228725" y="3468481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1831</xdr:row>
      <xdr:rowOff>19050</xdr:rowOff>
    </xdr:from>
    <xdr:to>
      <xdr:col>2</xdr:col>
      <xdr:colOff>1733550</xdr:colOff>
      <xdr:row>1831</xdr:row>
      <xdr:rowOff>1647825</xdr:rowOff>
    </xdr:to>
    <xdr:pic>
      <xdr:nvPicPr>
        <xdr:cNvPr id="1831" name="Picture 1830"/>
        <xdr:cNvPicPr>
          <a:picLocks noChangeAspect="1" noChangeArrowheads="1"/>
        </xdr:cNvPicPr>
      </xdr:nvPicPr>
      <xdr:blipFill>
        <a:blip xmlns:r="http://schemas.openxmlformats.org/officeDocument/2006/relationships" r:embed="rId1829">
          <a:extLst>
            <a:ext uri="{28A0092B-C50C-407E-A947-70E740481C1C}">
              <a14:useLocalDpi xmlns:a14="http://schemas.microsoft.com/office/drawing/2010/main" val="0"/>
            </a:ext>
          </a:extLst>
        </a:blip>
        <a:srcRect/>
        <a:stretch>
          <a:fillRect/>
        </a:stretch>
      </xdr:blipFill>
      <xdr:spPr bwMode="auto">
        <a:xfrm>
          <a:off x="1228725" y="3470376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1832</xdr:row>
      <xdr:rowOff>19050</xdr:rowOff>
    </xdr:from>
    <xdr:to>
      <xdr:col>2</xdr:col>
      <xdr:colOff>1733550</xdr:colOff>
      <xdr:row>1832</xdr:row>
      <xdr:rowOff>1647825</xdr:rowOff>
    </xdr:to>
    <xdr:pic>
      <xdr:nvPicPr>
        <xdr:cNvPr id="1832" name="Picture 1831"/>
        <xdr:cNvPicPr>
          <a:picLocks noChangeAspect="1" noChangeArrowheads="1"/>
        </xdr:cNvPicPr>
      </xdr:nvPicPr>
      <xdr:blipFill>
        <a:blip xmlns:r="http://schemas.openxmlformats.org/officeDocument/2006/relationships" r:embed="rId1830">
          <a:extLst>
            <a:ext uri="{28A0092B-C50C-407E-A947-70E740481C1C}">
              <a14:useLocalDpi xmlns:a14="http://schemas.microsoft.com/office/drawing/2010/main" val="0"/>
            </a:ext>
          </a:extLst>
        </a:blip>
        <a:srcRect/>
        <a:stretch>
          <a:fillRect/>
        </a:stretch>
      </xdr:blipFill>
      <xdr:spPr bwMode="auto">
        <a:xfrm>
          <a:off x="1228725" y="34722720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1833</xdr:row>
      <xdr:rowOff>19050</xdr:rowOff>
    </xdr:from>
    <xdr:to>
      <xdr:col>2</xdr:col>
      <xdr:colOff>1733550</xdr:colOff>
      <xdr:row>1833</xdr:row>
      <xdr:rowOff>1666875</xdr:rowOff>
    </xdr:to>
    <xdr:pic>
      <xdr:nvPicPr>
        <xdr:cNvPr id="1833" name="Picture 1832"/>
        <xdr:cNvPicPr>
          <a:picLocks noChangeAspect="1" noChangeArrowheads="1"/>
        </xdr:cNvPicPr>
      </xdr:nvPicPr>
      <xdr:blipFill>
        <a:blip xmlns:r="http://schemas.openxmlformats.org/officeDocument/2006/relationships" r:embed="rId1831">
          <a:extLst>
            <a:ext uri="{28A0092B-C50C-407E-A947-70E740481C1C}">
              <a14:useLocalDpi xmlns:a14="http://schemas.microsoft.com/office/drawing/2010/main" val="0"/>
            </a:ext>
          </a:extLst>
        </a:blip>
        <a:srcRect/>
        <a:stretch>
          <a:fillRect/>
        </a:stretch>
      </xdr:blipFill>
      <xdr:spPr bwMode="auto">
        <a:xfrm>
          <a:off x="1228725" y="3474167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1834</xdr:row>
      <xdr:rowOff>19050</xdr:rowOff>
    </xdr:from>
    <xdr:to>
      <xdr:col>2</xdr:col>
      <xdr:colOff>1733550</xdr:colOff>
      <xdr:row>1834</xdr:row>
      <xdr:rowOff>1666875</xdr:rowOff>
    </xdr:to>
    <xdr:pic>
      <xdr:nvPicPr>
        <xdr:cNvPr id="1834" name="Picture 1833"/>
        <xdr:cNvPicPr>
          <a:picLocks noChangeAspect="1" noChangeArrowheads="1"/>
        </xdr:cNvPicPr>
      </xdr:nvPicPr>
      <xdr:blipFill>
        <a:blip xmlns:r="http://schemas.openxmlformats.org/officeDocument/2006/relationships" r:embed="rId1832">
          <a:extLst>
            <a:ext uri="{28A0092B-C50C-407E-A947-70E740481C1C}">
              <a14:useLocalDpi xmlns:a14="http://schemas.microsoft.com/office/drawing/2010/main" val="0"/>
            </a:ext>
          </a:extLst>
        </a:blip>
        <a:srcRect/>
        <a:stretch>
          <a:fillRect/>
        </a:stretch>
      </xdr:blipFill>
      <xdr:spPr bwMode="auto">
        <a:xfrm>
          <a:off x="1228725" y="347608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1835</xdr:row>
      <xdr:rowOff>19050</xdr:rowOff>
    </xdr:from>
    <xdr:to>
      <xdr:col>2</xdr:col>
      <xdr:colOff>1733550</xdr:colOff>
      <xdr:row>1835</xdr:row>
      <xdr:rowOff>1666875</xdr:rowOff>
    </xdr:to>
    <xdr:pic>
      <xdr:nvPicPr>
        <xdr:cNvPr id="1835" name="Picture 1834"/>
        <xdr:cNvPicPr>
          <a:picLocks noChangeAspect="1" noChangeArrowheads="1"/>
        </xdr:cNvPicPr>
      </xdr:nvPicPr>
      <xdr:blipFill>
        <a:blip xmlns:r="http://schemas.openxmlformats.org/officeDocument/2006/relationships" r:embed="rId1833">
          <a:extLst>
            <a:ext uri="{28A0092B-C50C-407E-A947-70E740481C1C}">
              <a14:useLocalDpi xmlns:a14="http://schemas.microsoft.com/office/drawing/2010/main" val="0"/>
            </a:ext>
          </a:extLst>
        </a:blip>
        <a:srcRect/>
        <a:stretch>
          <a:fillRect/>
        </a:stretch>
      </xdr:blipFill>
      <xdr:spPr bwMode="auto">
        <a:xfrm>
          <a:off x="1228725" y="347799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1836</xdr:row>
      <xdr:rowOff>9525</xdr:rowOff>
    </xdr:from>
    <xdr:to>
      <xdr:col>2</xdr:col>
      <xdr:colOff>1733550</xdr:colOff>
      <xdr:row>1836</xdr:row>
      <xdr:rowOff>1524000</xdr:rowOff>
    </xdr:to>
    <xdr:pic>
      <xdr:nvPicPr>
        <xdr:cNvPr id="1836" name="Picture 1835"/>
        <xdr:cNvPicPr>
          <a:picLocks noChangeAspect="1" noChangeArrowheads="1"/>
        </xdr:cNvPicPr>
      </xdr:nvPicPr>
      <xdr:blipFill>
        <a:blip xmlns:r="http://schemas.openxmlformats.org/officeDocument/2006/relationships" r:embed="rId1834">
          <a:extLst>
            <a:ext uri="{28A0092B-C50C-407E-A947-70E740481C1C}">
              <a14:useLocalDpi xmlns:a14="http://schemas.microsoft.com/office/drawing/2010/main" val="0"/>
            </a:ext>
          </a:extLst>
        </a:blip>
        <a:srcRect/>
        <a:stretch>
          <a:fillRect/>
        </a:stretch>
      </xdr:blipFill>
      <xdr:spPr bwMode="auto">
        <a:xfrm>
          <a:off x="1228725" y="3479901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1837</xdr:row>
      <xdr:rowOff>19050</xdr:rowOff>
    </xdr:from>
    <xdr:to>
      <xdr:col>2</xdr:col>
      <xdr:colOff>1733550</xdr:colOff>
      <xdr:row>1837</xdr:row>
      <xdr:rowOff>1685925</xdr:rowOff>
    </xdr:to>
    <xdr:pic>
      <xdr:nvPicPr>
        <xdr:cNvPr id="1837" name="Picture 1836"/>
        <xdr:cNvPicPr>
          <a:picLocks noChangeAspect="1" noChangeArrowheads="1"/>
        </xdr:cNvPicPr>
      </xdr:nvPicPr>
      <xdr:blipFill>
        <a:blip xmlns:r="http://schemas.openxmlformats.org/officeDocument/2006/relationships" r:embed="rId1835">
          <a:extLst>
            <a:ext uri="{28A0092B-C50C-407E-A947-70E740481C1C}">
              <a14:useLocalDpi xmlns:a14="http://schemas.microsoft.com/office/drawing/2010/main" val="0"/>
            </a:ext>
          </a:extLst>
        </a:blip>
        <a:srcRect/>
        <a:stretch>
          <a:fillRect/>
        </a:stretch>
      </xdr:blipFill>
      <xdr:spPr bwMode="auto">
        <a:xfrm>
          <a:off x="1228725" y="34816637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1838</xdr:row>
      <xdr:rowOff>19050</xdr:rowOff>
    </xdr:from>
    <xdr:to>
      <xdr:col>2</xdr:col>
      <xdr:colOff>1733550</xdr:colOff>
      <xdr:row>1838</xdr:row>
      <xdr:rowOff>1685925</xdr:rowOff>
    </xdr:to>
    <xdr:pic>
      <xdr:nvPicPr>
        <xdr:cNvPr id="1838" name="Picture 1837"/>
        <xdr:cNvPicPr>
          <a:picLocks noChangeAspect="1" noChangeArrowheads="1"/>
        </xdr:cNvPicPr>
      </xdr:nvPicPr>
      <xdr:blipFill>
        <a:blip xmlns:r="http://schemas.openxmlformats.org/officeDocument/2006/relationships" r:embed="rId1836">
          <a:extLst>
            <a:ext uri="{28A0092B-C50C-407E-A947-70E740481C1C}">
              <a14:useLocalDpi xmlns:a14="http://schemas.microsoft.com/office/drawing/2010/main" val="0"/>
            </a:ext>
          </a:extLst>
        </a:blip>
        <a:srcRect/>
        <a:stretch>
          <a:fillRect/>
        </a:stretch>
      </xdr:blipFill>
      <xdr:spPr bwMode="auto">
        <a:xfrm>
          <a:off x="1228725" y="34836068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1839</xdr:row>
      <xdr:rowOff>19050</xdr:rowOff>
    </xdr:from>
    <xdr:to>
      <xdr:col>2</xdr:col>
      <xdr:colOff>1733550</xdr:colOff>
      <xdr:row>1839</xdr:row>
      <xdr:rowOff>1666875</xdr:rowOff>
    </xdr:to>
    <xdr:pic>
      <xdr:nvPicPr>
        <xdr:cNvPr id="1839" name="Picture 1838"/>
        <xdr:cNvPicPr>
          <a:picLocks noChangeAspect="1" noChangeArrowheads="1"/>
        </xdr:cNvPicPr>
      </xdr:nvPicPr>
      <xdr:blipFill>
        <a:blip xmlns:r="http://schemas.openxmlformats.org/officeDocument/2006/relationships" r:embed="rId1837">
          <a:extLst>
            <a:ext uri="{28A0092B-C50C-407E-A947-70E740481C1C}">
              <a14:useLocalDpi xmlns:a14="http://schemas.microsoft.com/office/drawing/2010/main" val="0"/>
            </a:ext>
          </a:extLst>
        </a:blip>
        <a:srcRect/>
        <a:stretch>
          <a:fillRect/>
        </a:stretch>
      </xdr:blipFill>
      <xdr:spPr bwMode="auto">
        <a:xfrm>
          <a:off x="1228725" y="3485549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1840</xdr:row>
      <xdr:rowOff>9525</xdr:rowOff>
    </xdr:from>
    <xdr:to>
      <xdr:col>2</xdr:col>
      <xdr:colOff>1733550</xdr:colOff>
      <xdr:row>1840</xdr:row>
      <xdr:rowOff>1524000</xdr:rowOff>
    </xdr:to>
    <xdr:pic>
      <xdr:nvPicPr>
        <xdr:cNvPr id="1840" name="Picture 1839"/>
        <xdr:cNvPicPr>
          <a:picLocks noChangeAspect="1" noChangeArrowheads="1"/>
        </xdr:cNvPicPr>
      </xdr:nvPicPr>
      <xdr:blipFill>
        <a:blip xmlns:r="http://schemas.openxmlformats.org/officeDocument/2006/relationships" r:embed="rId1838">
          <a:extLst>
            <a:ext uri="{28A0092B-C50C-407E-A947-70E740481C1C}">
              <a14:useLocalDpi xmlns:a14="http://schemas.microsoft.com/office/drawing/2010/main" val="0"/>
            </a:ext>
          </a:extLst>
        </a:blip>
        <a:srcRect/>
        <a:stretch>
          <a:fillRect/>
        </a:stretch>
      </xdr:blipFill>
      <xdr:spPr bwMode="auto">
        <a:xfrm>
          <a:off x="1228725" y="3487454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1841</xdr:row>
      <xdr:rowOff>9525</xdr:rowOff>
    </xdr:from>
    <xdr:to>
      <xdr:col>2</xdr:col>
      <xdr:colOff>1733550</xdr:colOff>
      <xdr:row>1841</xdr:row>
      <xdr:rowOff>1524000</xdr:rowOff>
    </xdr:to>
    <xdr:pic>
      <xdr:nvPicPr>
        <xdr:cNvPr id="1841" name="Picture 1840"/>
        <xdr:cNvPicPr>
          <a:picLocks noChangeAspect="1" noChangeArrowheads="1"/>
        </xdr:cNvPicPr>
      </xdr:nvPicPr>
      <xdr:blipFill>
        <a:blip xmlns:r="http://schemas.openxmlformats.org/officeDocument/2006/relationships" r:embed="rId1839">
          <a:extLst>
            <a:ext uri="{28A0092B-C50C-407E-A947-70E740481C1C}">
              <a14:useLocalDpi xmlns:a14="http://schemas.microsoft.com/office/drawing/2010/main" val="0"/>
            </a:ext>
          </a:extLst>
        </a:blip>
        <a:srcRect/>
        <a:stretch>
          <a:fillRect/>
        </a:stretch>
      </xdr:blipFill>
      <xdr:spPr bwMode="auto">
        <a:xfrm>
          <a:off x="1228725" y="3489207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1842</xdr:row>
      <xdr:rowOff>19050</xdr:rowOff>
    </xdr:from>
    <xdr:to>
      <xdr:col>2</xdr:col>
      <xdr:colOff>1733550</xdr:colOff>
      <xdr:row>1842</xdr:row>
      <xdr:rowOff>1619250</xdr:rowOff>
    </xdr:to>
    <xdr:pic>
      <xdr:nvPicPr>
        <xdr:cNvPr id="1842" name="Picture 1841"/>
        <xdr:cNvPicPr>
          <a:picLocks noChangeAspect="1" noChangeArrowheads="1"/>
        </xdr:cNvPicPr>
      </xdr:nvPicPr>
      <xdr:blipFill>
        <a:blip xmlns:r="http://schemas.openxmlformats.org/officeDocument/2006/relationships" r:embed="rId1840">
          <a:extLst>
            <a:ext uri="{28A0092B-C50C-407E-A947-70E740481C1C}">
              <a14:useLocalDpi xmlns:a14="http://schemas.microsoft.com/office/drawing/2010/main" val="0"/>
            </a:ext>
          </a:extLst>
        </a:blip>
        <a:srcRect/>
        <a:stretch>
          <a:fillRect/>
        </a:stretch>
      </xdr:blipFill>
      <xdr:spPr bwMode="auto">
        <a:xfrm>
          <a:off x="1228725" y="34909696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1843</xdr:row>
      <xdr:rowOff>19050</xdr:rowOff>
    </xdr:from>
    <xdr:to>
      <xdr:col>2</xdr:col>
      <xdr:colOff>1733550</xdr:colOff>
      <xdr:row>1843</xdr:row>
      <xdr:rowOff>1619250</xdr:rowOff>
    </xdr:to>
    <xdr:pic>
      <xdr:nvPicPr>
        <xdr:cNvPr id="1843" name="Picture 1842"/>
        <xdr:cNvPicPr>
          <a:picLocks noChangeAspect="1" noChangeArrowheads="1"/>
        </xdr:cNvPicPr>
      </xdr:nvPicPr>
      <xdr:blipFill>
        <a:blip xmlns:r="http://schemas.openxmlformats.org/officeDocument/2006/relationships" r:embed="rId1841">
          <a:extLst>
            <a:ext uri="{28A0092B-C50C-407E-A947-70E740481C1C}">
              <a14:useLocalDpi xmlns:a14="http://schemas.microsoft.com/office/drawing/2010/main" val="0"/>
            </a:ext>
          </a:extLst>
        </a:blip>
        <a:srcRect/>
        <a:stretch>
          <a:fillRect/>
        </a:stretch>
      </xdr:blipFill>
      <xdr:spPr bwMode="auto">
        <a:xfrm>
          <a:off x="1228725" y="34928270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1844</xdr:row>
      <xdr:rowOff>19050</xdr:rowOff>
    </xdr:from>
    <xdr:to>
      <xdr:col>2</xdr:col>
      <xdr:colOff>1733550</xdr:colOff>
      <xdr:row>1844</xdr:row>
      <xdr:rowOff>1619250</xdr:rowOff>
    </xdr:to>
    <xdr:pic>
      <xdr:nvPicPr>
        <xdr:cNvPr id="1844" name="Picture 1843"/>
        <xdr:cNvPicPr>
          <a:picLocks noChangeAspect="1" noChangeArrowheads="1"/>
        </xdr:cNvPicPr>
      </xdr:nvPicPr>
      <xdr:blipFill>
        <a:blip xmlns:r="http://schemas.openxmlformats.org/officeDocument/2006/relationships" r:embed="rId1842">
          <a:extLst>
            <a:ext uri="{28A0092B-C50C-407E-A947-70E740481C1C}">
              <a14:useLocalDpi xmlns:a14="http://schemas.microsoft.com/office/drawing/2010/main" val="0"/>
            </a:ext>
          </a:extLst>
        </a:blip>
        <a:srcRect/>
        <a:stretch>
          <a:fillRect/>
        </a:stretch>
      </xdr:blipFill>
      <xdr:spPr bwMode="auto">
        <a:xfrm>
          <a:off x="1228725" y="34946844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1845</xdr:row>
      <xdr:rowOff>19050</xdr:rowOff>
    </xdr:from>
    <xdr:to>
      <xdr:col>2</xdr:col>
      <xdr:colOff>1733550</xdr:colOff>
      <xdr:row>1845</xdr:row>
      <xdr:rowOff>1619250</xdr:rowOff>
    </xdr:to>
    <xdr:pic>
      <xdr:nvPicPr>
        <xdr:cNvPr id="1845" name="Picture 1844"/>
        <xdr:cNvPicPr>
          <a:picLocks noChangeAspect="1" noChangeArrowheads="1"/>
        </xdr:cNvPicPr>
      </xdr:nvPicPr>
      <xdr:blipFill>
        <a:blip xmlns:r="http://schemas.openxmlformats.org/officeDocument/2006/relationships" r:embed="rId1843">
          <a:extLst>
            <a:ext uri="{28A0092B-C50C-407E-A947-70E740481C1C}">
              <a14:useLocalDpi xmlns:a14="http://schemas.microsoft.com/office/drawing/2010/main" val="0"/>
            </a:ext>
          </a:extLst>
        </a:blip>
        <a:srcRect/>
        <a:stretch>
          <a:fillRect/>
        </a:stretch>
      </xdr:blipFill>
      <xdr:spPr bwMode="auto">
        <a:xfrm>
          <a:off x="1228725" y="34965417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1846</xdr:row>
      <xdr:rowOff>19050</xdr:rowOff>
    </xdr:from>
    <xdr:to>
      <xdr:col>2</xdr:col>
      <xdr:colOff>1733550</xdr:colOff>
      <xdr:row>1846</xdr:row>
      <xdr:rowOff>1619250</xdr:rowOff>
    </xdr:to>
    <xdr:pic>
      <xdr:nvPicPr>
        <xdr:cNvPr id="1846" name="Picture 1845"/>
        <xdr:cNvPicPr>
          <a:picLocks noChangeAspect="1" noChangeArrowheads="1"/>
        </xdr:cNvPicPr>
      </xdr:nvPicPr>
      <xdr:blipFill>
        <a:blip xmlns:r="http://schemas.openxmlformats.org/officeDocument/2006/relationships" r:embed="rId1844">
          <a:extLst>
            <a:ext uri="{28A0092B-C50C-407E-A947-70E740481C1C}">
              <a14:useLocalDpi xmlns:a14="http://schemas.microsoft.com/office/drawing/2010/main" val="0"/>
            </a:ext>
          </a:extLst>
        </a:blip>
        <a:srcRect/>
        <a:stretch>
          <a:fillRect/>
        </a:stretch>
      </xdr:blipFill>
      <xdr:spPr bwMode="auto">
        <a:xfrm>
          <a:off x="1228725" y="34983991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1847</xdr:row>
      <xdr:rowOff>19050</xdr:rowOff>
    </xdr:from>
    <xdr:to>
      <xdr:col>2</xdr:col>
      <xdr:colOff>1733550</xdr:colOff>
      <xdr:row>1847</xdr:row>
      <xdr:rowOff>1619250</xdr:rowOff>
    </xdr:to>
    <xdr:pic>
      <xdr:nvPicPr>
        <xdr:cNvPr id="1847" name="Picture 1846"/>
        <xdr:cNvPicPr>
          <a:picLocks noChangeAspect="1" noChangeArrowheads="1"/>
        </xdr:cNvPicPr>
      </xdr:nvPicPr>
      <xdr:blipFill>
        <a:blip xmlns:r="http://schemas.openxmlformats.org/officeDocument/2006/relationships" r:embed="rId1845">
          <a:extLst>
            <a:ext uri="{28A0092B-C50C-407E-A947-70E740481C1C}">
              <a14:useLocalDpi xmlns:a14="http://schemas.microsoft.com/office/drawing/2010/main" val="0"/>
            </a:ext>
          </a:extLst>
        </a:blip>
        <a:srcRect/>
        <a:stretch>
          <a:fillRect/>
        </a:stretch>
      </xdr:blipFill>
      <xdr:spPr bwMode="auto">
        <a:xfrm>
          <a:off x="1228725" y="35002565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1848</xdr:row>
      <xdr:rowOff>19050</xdr:rowOff>
    </xdr:from>
    <xdr:to>
      <xdr:col>2</xdr:col>
      <xdr:colOff>1733550</xdr:colOff>
      <xdr:row>1848</xdr:row>
      <xdr:rowOff>1619250</xdr:rowOff>
    </xdr:to>
    <xdr:pic>
      <xdr:nvPicPr>
        <xdr:cNvPr id="1848" name="Picture 1847"/>
        <xdr:cNvPicPr>
          <a:picLocks noChangeAspect="1" noChangeArrowheads="1"/>
        </xdr:cNvPicPr>
      </xdr:nvPicPr>
      <xdr:blipFill>
        <a:blip xmlns:r="http://schemas.openxmlformats.org/officeDocument/2006/relationships" r:embed="rId1846">
          <a:extLst>
            <a:ext uri="{28A0092B-C50C-407E-A947-70E740481C1C}">
              <a14:useLocalDpi xmlns:a14="http://schemas.microsoft.com/office/drawing/2010/main" val="0"/>
            </a:ext>
          </a:extLst>
        </a:blip>
        <a:srcRect/>
        <a:stretch>
          <a:fillRect/>
        </a:stretch>
      </xdr:blipFill>
      <xdr:spPr bwMode="auto">
        <a:xfrm>
          <a:off x="1228725" y="35021139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1849</xdr:row>
      <xdr:rowOff>19050</xdr:rowOff>
    </xdr:from>
    <xdr:to>
      <xdr:col>2</xdr:col>
      <xdr:colOff>1733550</xdr:colOff>
      <xdr:row>1849</xdr:row>
      <xdr:rowOff>1619250</xdr:rowOff>
    </xdr:to>
    <xdr:pic>
      <xdr:nvPicPr>
        <xdr:cNvPr id="1849" name="Picture 1848"/>
        <xdr:cNvPicPr>
          <a:picLocks noChangeAspect="1" noChangeArrowheads="1"/>
        </xdr:cNvPicPr>
      </xdr:nvPicPr>
      <xdr:blipFill>
        <a:blip xmlns:r="http://schemas.openxmlformats.org/officeDocument/2006/relationships" r:embed="rId1847">
          <a:extLst>
            <a:ext uri="{28A0092B-C50C-407E-A947-70E740481C1C}">
              <a14:useLocalDpi xmlns:a14="http://schemas.microsoft.com/office/drawing/2010/main" val="0"/>
            </a:ext>
          </a:extLst>
        </a:blip>
        <a:srcRect/>
        <a:stretch>
          <a:fillRect/>
        </a:stretch>
      </xdr:blipFill>
      <xdr:spPr bwMode="auto">
        <a:xfrm>
          <a:off x="1228725" y="35039712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1850</xdr:row>
      <xdr:rowOff>19050</xdr:rowOff>
    </xdr:from>
    <xdr:to>
      <xdr:col>2</xdr:col>
      <xdr:colOff>1733550</xdr:colOff>
      <xdr:row>1850</xdr:row>
      <xdr:rowOff>1647825</xdr:rowOff>
    </xdr:to>
    <xdr:pic>
      <xdr:nvPicPr>
        <xdr:cNvPr id="1850" name="Picture 1849"/>
        <xdr:cNvPicPr>
          <a:picLocks noChangeAspect="1" noChangeArrowheads="1"/>
        </xdr:cNvPicPr>
      </xdr:nvPicPr>
      <xdr:blipFill>
        <a:blip xmlns:r="http://schemas.openxmlformats.org/officeDocument/2006/relationships" r:embed="rId1848">
          <a:extLst>
            <a:ext uri="{28A0092B-C50C-407E-A947-70E740481C1C}">
              <a14:useLocalDpi xmlns:a14="http://schemas.microsoft.com/office/drawing/2010/main" val="0"/>
            </a:ext>
          </a:extLst>
        </a:blip>
        <a:srcRect/>
        <a:stretch>
          <a:fillRect/>
        </a:stretch>
      </xdr:blipFill>
      <xdr:spPr bwMode="auto">
        <a:xfrm>
          <a:off x="1228725" y="3505828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1851</xdr:row>
      <xdr:rowOff>19050</xdr:rowOff>
    </xdr:from>
    <xdr:to>
      <xdr:col>2</xdr:col>
      <xdr:colOff>1733550</xdr:colOff>
      <xdr:row>1851</xdr:row>
      <xdr:rowOff>1666875</xdr:rowOff>
    </xdr:to>
    <xdr:pic>
      <xdr:nvPicPr>
        <xdr:cNvPr id="1851" name="Picture 1850"/>
        <xdr:cNvPicPr>
          <a:picLocks noChangeAspect="1" noChangeArrowheads="1"/>
        </xdr:cNvPicPr>
      </xdr:nvPicPr>
      <xdr:blipFill>
        <a:blip xmlns:r="http://schemas.openxmlformats.org/officeDocument/2006/relationships" r:embed="rId1849">
          <a:extLst>
            <a:ext uri="{28A0092B-C50C-407E-A947-70E740481C1C}">
              <a14:useLocalDpi xmlns:a14="http://schemas.microsoft.com/office/drawing/2010/main" val="0"/>
            </a:ext>
          </a:extLst>
        </a:blip>
        <a:srcRect/>
        <a:stretch>
          <a:fillRect/>
        </a:stretch>
      </xdr:blipFill>
      <xdr:spPr bwMode="auto">
        <a:xfrm>
          <a:off x="1228725" y="350772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1852</xdr:row>
      <xdr:rowOff>19050</xdr:rowOff>
    </xdr:from>
    <xdr:to>
      <xdr:col>2</xdr:col>
      <xdr:colOff>1733550</xdr:colOff>
      <xdr:row>1852</xdr:row>
      <xdr:rowOff>1666875</xdr:rowOff>
    </xdr:to>
    <xdr:pic>
      <xdr:nvPicPr>
        <xdr:cNvPr id="1852" name="Picture 1851"/>
        <xdr:cNvPicPr>
          <a:picLocks noChangeAspect="1" noChangeArrowheads="1"/>
        </xdr:cNvPicPr>
      </xdr:nvPicPr>
      <xdr:blipFill>
        <a:blip xmlns:r="http://schemas.openxmlformats.org/officeDocument/2006/relationships" r:embed="rId1850">
          <a:extLst>
            <a:ext uri="{28A0092B-C50C-407E-A947-70E740481C1C}">
              <a14:useLocalDpi xmlns:a14="http://schemas.microsoft.com/office/drawing/2010/main" val="0"/>
            </a:ext>
          </a:extLst>
        </a:blip>
        <a:srcRect/>
        <a:stretch>
          <a:fillRect/>
        </a:stretch>
      </xdr:blipFill>
      <xdr:spPr bwMode="auto">
        <a:xfrm>
          <a:off x="1228725" y="350963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1853</xdr:row>
      <xdr:rowOff>19050</xdr:rowOff>
    </xdr:from>
    <xdr:to>
      <xdr:col>2</xdr:col>
      <xdr:colOff>1733550</xdr:colOff>
      <xdr:row>1853</xdr:row>
      <xdr:rowOff>1666875</xdr:rowOff>
    </xdr:to>
    <xdr:pic>
      <xdr:nvPicPr>
        <xdr:cNvPr id="1853" name="Picture 1852"/>
        <xdr:cNvPicPr>
          <a:picLocks noChangeAspect="1" noChangeArrowheads="1"/>
        </xdr:cNvPicPr>
      </xdr:nvPicPr>
      <xdr:blipFill>
        <a:blip xmlns:r="http://schemas.openxmlformats.org/officeDocument/2006/relationships" r:embed="rId1851">
          <a:extLst>
            <a:ext uri="{28A0092B-C50C-407E-A947-70E740481C1C}">
              <a14:useLocalDpi xmlns:a14="http://schemas.microsoft.com/office/drawing/2010/main" val="0"/>
            </a:ext>
          </a:extLst>
        </a:blip>
        <a:srcRect/>
        <a:stretch>
          <a:fillRect/>
        </a:stretch>
      </xdr:blipFill>
      <xdr:spPr bwMode="auto">
        <a:xfrm>
          <a:off x="1228725" y="351155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1854</xdr:row>
      <xdr:rowOff>19050</xdr:rowOff>
    </xdr:from>
    <xdr:to>
      <xdr:col>2</xdr:col>
      <xdr:colOff>1733550</xdr:colOff>
      <xdr:row>1854</xdr:row>
      <xdr:rowOff>1666875</xdr:rowOff>
    </xdr:to>
    <xdr:pic>
      <xdr:nvPicPr>
        <xdr:cNvPr id="1854" name="Picture 1853"/>
        <xdr:cNvPicPr>
          <a:picLocks noChangeAspect="1" noChangeArrowheads="1"/>
        </xdr:cNvPicPr>
      </xdr:nvPicPr>
      <xdr:blipFill>
        <a:blip xmlns:r="http://schemas.openxmlformats.org/officeDocument/2006/relationships" r:embed="rId1852">
          <a:extLst>
            <a:ext uri="{28A0092B-C50C-407E-A947-70E740481C1C}">
              <a14:useLocalDpi xmlns:a14="http://schemas.microsoft.com/office/drawing/2010/main" val="0"/>
            </a:ext>
          </a:extLst>
        </a:blip>
        <a:srcRect/>
        <a:stretch>
          <a:fillRect/>
        </a:stretch>
      </xdr:blipFill>
      <xdr:spPr bwMode="auto">
        <a:xfrm>
          <a:off x="1228725" y="351346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1855</xdr:row>
      <xdr:rowOff>19050</xdr:rowOff>
    </xdr:from>
    <xdr:to>
      <xdr:col>2</xdr:col>
      <xdr:colOff>1733550</xdr:colOff>
      <xdr:row>1855</xdr:row>
      <xdr:rowOff>1666875</xdr:rowOff>
    </xdr:to>
    <xdr:pic>
      <xdr:nvPicPr>
        <xdr:cNvPr id="1855" name="Picture 1854"/>
        <xdr:cNvPicPr>
          <a:picLocks noChangeAspect="1" noChangeArrowheads="1"/>
        </xdr:cNvPicPr>
      </xdr:nvPicPr>
      <xdr:blipFill>
        <a:blip xmlns:r="http://schemas.openxmlformats.org/officeDocument/2006/relationships" r:embed="rId1853">
          <a:extLst>
            <a:ext uri="{28A0092B-C50C-407E-A947-70E740481C1C}">
              <a14:useLocalDpi xmlns:a14="http://schemas.microsoft.com/office/drawing/2010/main" val="0"/>
            </a:ext>
          </a:extLst>
        </a:blip>
        <a:srcRect/>
        <a:stretch>
          <a:fillRect/>
        </a:stretch>
      </xdr:blipFill>
      <xdr:spPr bwMode="auto">
        <a:xfrm>
          <a:off x="1228725" y="3515382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1856</xdr:row>
      <xdr:rowOff>19050</xdr:rowOff>
    </xdr:from>
    <xdr:to>
      <xdr:col>2</xdr:col>
      <xdr:colOff>1733550</xdr:colOff>
      <xdr:row>1856</xdr:row>
      <xdr:rowOff>1666875</xdr:rowOff>
    </xdr:to>
    <xdr:pic>
      <xdr:nvPicPr>
        <xdr:cNvPr id="1856" name="Picture 1855"/>
        <xdr:cNvPicPr>
          <a:picLocks noChangeAspect="1" noChangeArrowheads="1"/>
        </xdr:cNvPicPr>
      </xdr:nvPicPr>
      <xdr:blipFill>
        <a:blip xmlns:r="http://schemas.openxmlformats.org/officeDocument/2006/relationships" r:embed="rId1854">
          <a:extLst>
            <a:ext uri="{28A0092B-C50C-407E-A947-70E740481C1C}">
              <a14:useLocalDpi xmlns:a14="http://schemas.microsoft.com/office/drawing/2010/main" val="0"/>
            </a:ext>
          </a:extLst>
        </a:blip>
        <a:srcRect/>
        <a:stretch>
          <a:fillRect/>
        </a:stretch>
      </xdr:blipFill>
      <xdr:spPr bwMode="auto">
        <a:xfrm>
          <a:off x="1228725" y="351729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1857</xdr:row>
      <xdr:rowOff>19050</xdr:rowOff>
    </xdr:from>
    <xdr:to>
      <xdr:col>2</xdr:col>
      <xdr:colOff>1733550</xdr:colOff>
      <xdr:row>1857</xdr:row>
      <xdr:rowOff>1666875</xdr:rowOff>
    </xdr:to>
    <xdr:pic>
      <xdr:nvPicPr>
        <xdr:cNvPr id="1857" name="Picture 1856"/>
        <xdr:cNvPicPr>
          <a:picLocks noChangeAspect="1" noChangeArrowheads="1"/>
        </xdr:cNvPicPr>
      </xdr:nvPicPr>
      <xdr:blipFill>
        <a:blip xmlns:r="http://schemas.openxmlformats.org/officeDocument/2006/relationships" r:embed="rId1855">
          <a:extLst>
            <a:ext uri="{28A0092B-C50C-407E-A947-70E740481C1C}">
              <a14:useLocalDpi xmlns:a14="http://schemas.microsoft.com/office/drawing/2010/main" val="0"/>
            </a:ext>
          </a:extLst>
        </a:blip>
        <a:srcRect/>
        <a:stretch>
          <a:fillRect/>
        </a:stretch>
      </xdr:blipFill>
      <xdr:spPr bwMode="auto">
        <a:xfrm>
          <a:off x="1228725" y="351921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1858</xdr:row>
      <xdr:rowOff>19050</xdr:rowOff>
    </xdr:from>
    <xdr:to>
      <xdr:col>2</xdr:col>
      <xdr:colOff>1733550</xdr:colOff>
      <xdr:row>1858</xdr:row>
      <xdr:rowOff>1666875</xdr:rowOff>
    </xdr:to>
    <xdr:pic>
      <xdr:nvPicPr>
        <xdr:cNvPr id="1858" name="Picture 1857"/>
        <xdr:cNvPicPr>
          <a:picLocks noChangeAspect="1" noChangeArrowheads="1"/>
        </xdr:cNvPicPr>
      </xdr:nvPicPr>
      <xdr:blipFill>
        <a:blip xmlns:r="http://schemas.openxmlformats.org/officeDocument/2006/relationships" r:embed="rId1856">
          <a:extLst>
            <a:ext uri="{28A0092B-C50C-407E-A947-70E740481C1C}">
              <a14:useLocalDpi xmlns:a14="http://schemas.microsoft.com/office/drawing/2010/main" val="0"/>
            </a:ext>
          </a:extLst>
        </a:blip>
        <a:srcRect/>
        <a:stretch>
          <a:fillRect/>
        </a:stretch>
      </xdr:blipFill>
      <xdr:spPr bwMode="auto">
        <a:xfrm>
          <a:off x="1228725" y="3521125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1859</xdr:row>
      <xdr:rowOff>19050</xdr:rowOff>
    </xdr:from>
    <xdr:to>
      <xdr:col>2</xdr:col>
      <xdr:colOff>1733550</xdr:colOff>
      <xdr:row>1859</xdr:row>
      <xdr:rowOff>1666875</xdr:rowOff>
    </xdr:to>
    <xdr:pic>
      <xdr:nvPicPr>
        <xdr:cNvPr id="1859" name="Picture 1858"/>
        <xdr:cNvPicPr>
          <a:picLocks noChangeAspect="1" noChangeArrowheads="1"/>
        </xdr:cNvPicPr>
      </xdr:nvPicPr>
      <xdr:blipFill>
        <a:blip xmlns:r="http://schemas.openxmlformats.org/officeDocument/2006/relationships" r:embed="rId1857">
          <a:extLst>
            <a:ext uri="{28A0092B-C50C-407E-A947-70E740481C1C}">
              <a14:useLocalDpi xmlns:a14="http://schemas.microsoft.com/office/drawing/2010/main" val="0"/>
            </a:ext>
          </a:extLst>
        </a:blip>
        <a:srcRect/>
        <a:stretch>
          <a:fillRect/>
        </a:stretch>
      </xdr:blipFill>
      <xdr:spPr bwMode="auto">
        <a:xfrm>
          <a:off x="1228725" y="3523040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1860</xdr:row>
      <xdr:rowOff>19050</xdr:rowOff>
    </xdr:from>
    <xdr:to>
      <xdr:col>2</xdr:col>
      <xdr:colOff>1733550</xdr:colOff>
      <xdr:row>1860</xdr:row>
      <xdr:rowOff>1666875</xdr:rowOff>
    </xdr:to>
    <xdr:pic>
      <xdr:nvPicPr>
        <xdr:cNvPr id="1860" name="Picture 1859"/>
        <xdr:cNvPicPr>
          <a:picLocks noChangeAspect="1" noChangeArrowheads="1"/>
        </xdr:cNvPicPr>
      </xdr:nvPicPr>
      <xdr:blipFill>
        <a:blip xmlns:r="http://schemas.openxmlformats.org/officeDocument/2006/relationships" r:embed="rId1858">
          <a:extLst>
            <a:ext uri="{28A0092B-C50C-407E-A947-70E740481C1C}">
              <a14:useLocalDpi xmlns:a14="http://schemas.microsoft.com/office/drawing/2010/main" val="0"/>
            </a:ext>
          </a:extLst>
        </a:blip>
        <a:srcRect/>
        <a:stretch>
          <a:fillRect/>
        </a:stretch>
      </xdr:blipFill>
      <xdr:spPr bwMode="auto">
        <a:xfrm>
          <a:off x="1228725" y="3524954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1861</xdr:row>
      <xdr:rowOff>19050</xdr:rowOff>
    </xdr:from>
    <xdr:to>
      <xdr:col>2</xdr:col>
      <xdr:colOff>1733550</xdr:colOff>
      <xdr:row>1861</xdr:row>
      <xdr:rowOff>1666875</xdr:rowOff>
    </xdr:to>
    <xdr:pic>
      <xdr:nvPicPr>
        <xdr:cNvPr id="1861" name="Picture 1860"/>
        <xdr:cNvPicPr>
          <a:picLocks noChangeAspect="1" noChangeArrowheads="1"/>
        </xdr:cNvPicPr>
      </xdr:nvPicPr>
      <xdr:blipFill>
        <a:blip xmlns:r="http://schemas.openxmlformats.org/officeDocument/2006/relationships" r:embed="rId1859">
          <a:extLst>
            <a:ext uri="{28A0092B-C50C-407E-A947-70E740481C1C}">
              <a14:useLocalDpi xmlns:a14="http://schemas.microsoft.com/office/drawing/2010/main" val="0"/>
            </a:ext>
          </a:extLst>
        </a:blip>
        <a:srcRect/>
        <a:stretch>
          <a:fillRect/>
        </a:stretch>
      </xdr:blipFill>
      <xdr:spPr bwMode="auto">
        <a:xfrm>
          <a:off x="1228725" y="3526869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1862</xdr:row>
      <xdr:rowOff>19050</xdr:rowOff>
    </xdr:from>
    <xdr:to>
      <xdr:col>2</xdr:col>
      <xdr:colOff>1733550</xdr:colOff>
      <xdr:row>1862</xdr:row>
      <xdr:rowOff>1666875</xdr:rowOff>
    </xdr:to>
    <xdr:pic>
      <xdr:nvPicPr>
        <xdr:cNvPr id="1862" name="Picture 1861"/>
        <xdr:cNvPicPr>
          <a:picLocks noChangeAspect="1" noChangeArrowheads="1"/>
        </xdr:cNvPicPr>
      </xdr:nvPicPr>
      <xdr:blipFill>
        <a:blip xmlns:r="http://schemas.openxmlformats.org/officeDocument/2006/relationships" r:embed="rId1860">
          <a:extLst>
            <a:ext uri="{28A0092B-C50C-407E-A947-70E740481C1C}">
              <a14:useLocalDpi xmlns:a14="http://schemas.microsoft.com/office/drawing/2010/main" val="0"/>
            </a:ext>
          </a:extLst>
        </a:blip>
        <a:srcRect/>
        <a:stretch>
          <a:fillRect/>
        </a:stretch>
      </xdr:blipFill>
      <xdr:spPr bwMode="auto">
        <a:xfrm>
          <a:off x="1228725" y="3528783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1863</xdr:row>
      <xdr:rowOff>9525</xdr:rowOff>
    </xdr:from>
    <xdr:to>
      <xdr:col>2</xdr:col>
      <xdr:colOff>1733550</xdr:colOff>
      <xdr:row>1863</xdr:row>
      <xdr:rowOff>1524000</xdr:rowOff>
    </xdr:to>
    <xdr:pic>
      <xdr:nvPicPr>
        <xdr:cNvPr id="1863" name="Picture 1862"/>
        <xdr:cNvPicPr>
          <a:picLocks noChangeAspect="1" noChangeArrowheads="1"/>
        </xdr:cNvPicPr>
      </xdr:nvPicPr>
      <xdr:blipFill>
        <a:blip xmlns:r="http://schemas.openxmlformats.org/officeDocument/2006/relationships" r:embed="rId1861">
          <a:extLst>
            <a:ext uri="{28A0092B-C50C-407E-A947-70E740481C1C}">
              <a14:useLocalDpi xmlns:a14="http://schemas.microsoft.com/office/drawing/2010/main" val="0"/>
            </a:ext>
          </a:extLst>
        </a:blip>
        <a:srcRect/>
        <a:stretch>
          <a:fillRect/>
        </a:stretch>
      </xdr:blipFill>
      <xdr:spPr bwMode="auto">
        <a:xfrm>
          <a:off x="1228725" y="3530688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1864</xdr:row>
      <xdr:rowOff>9525</xdr:rowOff>
    </xdr:from>
    <xdr:to>
      <xdr:col>2</xdr:col>
      <xdr:colOff>1733550</xdr:colOff>
      <xdr:row>1864</xdr:row>
      <xdr:rowOff>1524000</xdr:rowOff>
    </xdr:to>
    <xdr:pic>
      <xdr:nvPicPr>
        <xdr:cNvPr id="1864" name="Picture 1863"/>
        <xdr:cNvPicPr>
          <a:picLocks noChangeAspect="1" noChangeArrowheads="1"/>
        </xdr:cNvPicPr>
      </xdr:nvPicPr>
      <xdr:blipFill>
        <a:blip xmlns:r="http://schemas.openxmlformats.org/officeDocument/2006/relationships" r:embed="rId1862">
          <a:extLst>
            <a:ext uri="{28A0092B-C50C-407E-A947-70E740481C1C}">
              <a14:useLocalDpi xmlns:a14="http://schemas.microsoft.com/office/drawing/2010/main" val="0"/>
            </a:ext>
          </a:extLst>
        </a:blip>
        <a:srcRect/>
        <a:stretch>
          <a:fillRect/>
        </a:stretch>
      </xdr:blipFill>
      <xdr:spPr bwMode="auto">
        <a:xfrm>
          <a:off x="1228725" y="3532441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1865</xdr:row>
      <xdr:rowOff>9525</xdr:rowOff>
    </xdr:from>
    <xdr:to>
      <xdr:col>2</xdr:col>
      <xdr:colOff>1733550</xdr:colOff>
      <xdr:row>1865</xdr:row>
      <xdr:rowOff>1524000</xdr:rowOff>
    </xdr:to>
    <xdr:pic>
      <xdr:nvPicPr>
        <xdr:cNvPr id="1865" name="Picture 1864"/>
        <xdr:cNvPicPr>
          <a:picLocks noChangeAspect="1" noChangeArrowheads="1"/>
        </xdr:cNvPicPr>
      </xdr:nvPicPr>
      <xdr:blipFill>
        <a:blip xmlns:r="http://schemas.openxmlformats.org/officeDocument/2006/relationships" r:embed="rId1863">
          <a:extLst>
            <a:ext uri="{28A0092B-C50C-407E-A947-70E740481C1C}">
              <a14:useLocalDpi xmlns:a14="http://schemas.microsoft.com/office/drawing/2010/main" val="0"/>
            </a:ext>
          </a:extLst>
        </a:blip>
        <a:srcRect/>
        <a:stretch>
          <a:fillRect/>
        </a:stretch>
      </xdr:blipFill>
      <xdr:spPr bwMode="auto">
        <a:xfrm>
          <a:off x="1228725" y="3534194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1866</xdr:row>
      <xdr:rowOff>9525</xdr:rowOff>
    </xdr:from>
    <xdr:to>
      <xdr:col>2</xdr:col>
      <xdr:colOff>1733550</xdr:colOff>
      <xdr:row>1866</xdr:row>
      <xdr:rowOff>1524000</xdr:rowOff>
    </xdr:to>
    <xdr:pic>
      <xdr:nvPicPr>
        <xdr:cNvPr id="1866" name="Picture 1865"/>
        <xdr:cNvPicPr>
          <a:picLocks noChangeAspect="1" noChangeArrowheads="1"/>
        </xdr:cNvPicPr>
      </xdr:nvPicPr>
      <xdr:blipFill>
        <a:blip xmlns:r="http://schemas.openxmlformats.org/officeDocument/2006/relationships" r:embed="rId1864">
          <a:extLst>
            <a:ext uri="{28A0092B-C50C-407E-A947-70E740481C1C}">
              <a14:useLocalDpi xmlns:a14="http://schemas.microsoft.com/office/drawing/2010/main" val="0"/>
            </a:ext>
          </a:extLst>
        </a:blip>
        <a:srcRect/>
        <a:stretch>
          <a:fillRect/>
        </a:stretch>
      </xdr:blipFill>
      <xdr:spPr bwMode="auto">
        <a:xfrm>
          <a:off x="1228725" y="3535946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1867</xdr:row>
      <xdr:rowOff>9525</xdr:rowOff>
    </xdr:from>
    <xdr:to>
      <xdr:col>2</xdr:col>
      <xdr:colOff>1733550</xdr:colOff>
      <xdr:row>1867</xdr:row>
      <xdr:rowOff>1524000</xdr:rowOff>
    </xdr:to>
    <xdr:pic>
      <xdr:nvPicPr>
        <xdr:cNvPr id="1867" name="Picture 1866"/>
        <xdr:cNvPicPr>
          <a:picLocks noChangeAspect="1" noChangeArrowheads="1"/>
        </xdr:cNvPicPr>
      </xdr:nvPicPr>
      <xdr:blipFill>
        <a:blip xmlns:r="http://schemas.openxmlformats.org/officeDocument/2006/relationships" r:embed="rId1865">
          <a:extLst>
            <a:ext uri="{28A0092B-C50C-407E-A947-70E740481C1C}">
              <a14:useLocalDpi xmlns:a14="http://schemas.microsoft.com/office/drawing/2010/main" val="0"/>
            </a:ext>
          </a:extLst>
        </a:blip>
        <a:srcRect/>
        <a:stretch>
          <a:fillRect/>
        </a:stretch>
      </xdr:blipFill>
      <xdr:spPr bwMode="auto">
        <a:xfrm>
          <a:off x="1228725" y="3537699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1868</xdr:row>
      <xdr:rowOff>19050</xdr:rowOff>
    </xdr:from>
    <xdr:to>
      <xdr:col>2</xdr:col>
      <xdr:colOff>1733550</xdr:colOff>
      <xdr:row>1868</xdr:row>
      <xdr:rowOff>1666875</xdr:rowOff>
    </xdr:to>
    <xdr:pic>
      <xdr:nvPicPr>
        <xdr:cNvPr id="1868" name="Picture 1867"/>
        <xdr:cNvPicPr>
          <a:picLocks noChangeAspect="1" noChangeArrowheads="1"/>
        </xdr:cNvPicPr>
      </xdr:nvPicPr>
      <xdr:blipFill>
        <a:blip xmlns:r="http://schemas.openxmlformats.org/officeDocument/2006/relationships" r:embed="rId1866">
          <a:extLst>
            <a:ext uri="{28A0092B-C50C-407E-A947-70E740481C1C}">
              <a14:useLocalDpi xmlns:a14="http://schemas.microsoft.com/office/drawing/2010/main" val="0"/>
            </a:ext>
          </a:extLst>
        </a:blip>
        <a:srcRect/>
        <a:stretch>
          <a:fillRect/>
        </a:stretch>
      </xdr:blipFill>
      <xdr:spPr bwMode="auto">
        <a:xfrm>
          <a:off x="1228725" y="3539461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1869</xdr:row>
      <xdr:rowOff>19050</xdr:rowOff>
    </xdr:from>
    <xdr:to>
      <xdr:col>2</xdr:col>
      <xdr:colOff>1733550</xdr:colOff>
      <xdr:row>1869</xdr:row>
      <xdr:rowOff>1666875</xdr:rowOff>
    </xdr:to>
    <xdr:pic>
      <xdr:nvPicPr>
        <xdr:cNvPr id="1869" name="Picture 1868"/>
        <xdr:cNvPicPr>
          <a:picLocks noChangeAspect="1" noChangeArrowheads="1"/>
        </xdr:cNvPicPr>
      </xdr:nvPicPr>
      <xdr:blipFill>
        <a:blip xmlns:r="http://schemas.openxmlformats.org/officeDocument/2006/relationships" r:embed="rId1867">
          <a:extLst>
            <a:ext uri="{28A0092B-C50C-407E-A947-70E740481C1C}">
              <a14:useLocalDpi xmlns:a14="http://schemas.microsoft.com/office/drawing/2010/main" val="0"/>
            </a:ext>
          </a:extLst>
        </a:blip>
        <a:srcRect/>
        <a:stretch>
          <a:fillRect/>
        </a:stretch>
      </xdr:blipFill>
      <xdr:spPr bwMode="auto">
        <a:xfrm>
          <a:off x="1228725" y="3541375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1870</xdr:row>
      <xdr:rowOff>19050</xdr:rowOff>
    </xdr:from>
    <xdr:to>
      <xdr:col>2</xdr:col>
      <xdr:colOff>1733550</xdr:colOff>
      <xdr:row>1870</xdr:row>
      <xdr:rowOff>1733550</xdr:rowOff>
    </xdr:to>
    <xdr:pic>
      <xdr:nvPicPr>
        <xdr:cNvPr id="1870" name="Picture 1869"/>
        <xdr:cNvPicPr>
          <a:picLocks noChangeAspect="1" noChangeArrowheads="1"/>
        </xdr:cNvPicPr>
      </xdr:nvPicPr>
      <xdr:blipFill>
        <a:blip xmlns:r="http://schemas.openxmlformats.org/officeDocument/2006/relationships" r:embed="rId1868">
          <a:extLst>
            <a:ext uri="{28A0092B-C50C-407E-A947-70E740481C1C}">
              <a14:useLocalDpi xmlns:a14="http://schemas.microsoft.com/office/drawing/2010/main" val="0"/>
            </a:ext>
          </a:extLst>
        </a:blip>
        <a:srcRect/>
        <a:stretch>
          <a:fillRect/>
        </a:stretch>
      </xdr:blipFill>
      <xdr:spPr bwMode="auto">
        <a:xfrm>
          <a:off x="1228725" y="35432904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1871</xdr:row>
      <xdr:rowOff>19050</xdr:rowOff>
    </xdr:from>
    <xdr:to>
      <xdr:col>2</xdr:col>
      <xdr:colOff>1733550</xdr:colOff>
      <xdr:row>1871</xdr:row>
      <xdr:rowOff>1733550</xdr:rowOff>
    </xdr:to>
    <xdr:pic>
      <xdr:nvPicPr>
        <xdr:cNvPr id="1871" name="Picture 1870"/>
        <xdr:cNvPicPr>
          <a:picLocks noChangeAspect="1" noChangeArrowheads="1"/>
        </xdr:cNvPicPr>
      </xdr:nvPicPr>
      <xdr:blipFill>
        <a:blip xmlns:r="http://schemas.openxmlformats.org/officeDocument/2006/relationships" r:embed="rId1869">
          <a:extLst>
            <a:ext uri="{28A0092B-C50C-407E-A947-70E740481C1C}">
              <a14:useLocalDpi xmlns:a14="http://schemas.microsoft.com/office/drawing/2010/main" val="0"/>
            </a:ext>
          </a:extLst>
        </a:blip>
        <a:srcRect/>
        <a:stretch>
          <a:fillRect/>
        </a:stretch>
      </xdr:blipFill>
      <xdr:spPr bwMode="auto">
        <a:xfrm>
          <a:off x="1228725" y="35452907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1872</xdr:row>
      <xdr:rowOff>19050</xdr:rowOff>
    </xdr:from>
    <xdr:to>
      <xdr:col>2</xdr:col>
      <xdr:colOff>1733550</xdr:colOff>
      <xdr:row>1872</xdr:row>
      <xdr:rowOff>1733550</xdr:rowOff>
    </xdr:to>
    <xdr:pic>
      <xdr:nvPicPr>
        <xdr:cNvPr id="1872" name="Picture 1871"/>
        <xdr:cNvPicPr>
          <a:picLocks noChangeAspect="1" noChangeArrowheads="1"/>
        </xdr:cNvPicPr>
      </xdr:nvPicPr>
      <xdr:blipFill>
        <a:blip xmlns:r="http://schemas.openxmlformats.org/officeDocument/2006/relationships" r:embed="rId1870">
          <a:extLst>
            <a:ext uri="{28A0092B-C50C-407E-A947-70E740481C1C}">
              <a14:useLocalDpi xmlns:a14="http://schemas.microsoft.com/office/drawing/2010/main" val="0"/>
            </a:ext>
          </a:extLst>
        </a:blip>
        <a:srcRect/>
        <a:stretch>
          <a:fillRect/>
        </a:stretch>
      </xdr:blipFill>
      <xdr:spPr bwMode="auto">
        <a:xfrm>
          <a:off x="1228725" y="35472909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1873</xdr:row>
      <xdr:rowOff>19050</xdr:rowOff>
    </xdr:from>
    <xdr:to>
      <xdr:col>2</xdr:col>
      <xdr:colOff>1733550</xdr:colOff>
      <xdr:row>1873</xdr:row>
      <xdr:rowOff>1733550</xdr:rowOff>
    </xdr:to>
    <xdr:pic>
      <xdr:nvPicPr>
        <xdr:cNvPr id="1873" name="Picture 1872"/>
        <xdr:cNvPicPr>
          <a:picLocks noChangeAspect="1" noChangeArrowheads="1"/>
        </xdr:cNvPicPr>
      </xdr:nvPicPr>
      <xdr:blipFill>
        <a:blip xmlns:r="http://schemas.openxmlformats.org/officeDocument/2006/relationships" r:embed="rId1871">
          <a:extLst>
            <a:ext uri="{28A0092B-C50C-407E-A947-70E740481C1C}">
              <a14:useLocalDpi xmlns:a14="http://schemas.microsoft.com/office/drawing/2010/main" val="0"/>
            </a:ext>
          </a:extLst>
        </a:blip>
        <a:srcRect/>
        <a:stretch>
          <a:fillRect/>
        </a:stretch>
      </xdr:blipFill>
      <xdr:spPr bwMode="auto">
        <a:xfrm>
          <a:off x="1228725" y="35492912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1874</xdr:row>
      <xdr:rowOff>19050</xdr:rowOff>
    </xdr:from>
    <xdr:to>
      <xdr:col>2</xdr:col>
      <xdr:colOff>1733550</xdr:colOff>
      <xdr:row>1874</xdr:row>
      <xdr:rowOff>1733550</xdr:rowOff>
    </xdr:to>
    <xdr:pic>
      <xdr:nvPicPr>
        <xdr:cNvPr id="1874" name="Picture 1873"/>
        <xdr:cNvPicPr>
          <a:picLocks noChangeAspect="1" noChangeArrowheads="1"/>
        </xdr:cNvPicPr>
      </xdr:nvPicPr>
      <xdr:blipFill>
        <a:blip xmlns:r="http://schemas.openxmlformats.org/officeDocument/2006/relationships" r:embed="rId1872">
          <a:extLst>
            <a:ext uri="{28A0092B-C50C-407E-A947-70E740481C1C}">
              <a14:useLocalDpi xmlns:a14="http://schemas.microsoft.com/office/drawing/2010/main" val="0"/>
            </a:ext>
          </a:extLst>
        </a:blip>
        <a:srcRect/>
        <a:stretch>
          <a:fillRect/>
        </a:stretch>
      </xdr:blipFill>
      <xdr:spPr bwMode="auto">
        <a:xfrm>
          <a:off x="1228725" y="35512914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1875</xdr:row>
      <xdr:rowOff>19050</xdr:rowOff>
    </xdr:from>
    <xdr:to>
      <xdr:col>2</xdr:col>
      <xdr:colOff>1733550</xdr:colOff>
      <xdr:row>1875</xdr:row>
      <xdr:rowOff>1733550</xdr:rowOff>
    </xdr:to>
    <xdr:pic>
      <xdr:nvPicPr>
        <xdr:cNvPr id="1875" name="Picture 1874"/>
        <xdr:cNvPicPr>
          <a:picLocks noChangeAspect="1" noChangeArrowheads="1"/>
        </xdr:cNvPicPr>
      </xdr:nvPicPr>
      <xdr:blipFill>
        <a:blip xmlns:r="http://schemas.openxmlformats.org/officeDocument/2006/relationships" r:embed="rId1873">
          <a:extLst>
            <a:ext uri="{28A0092B-C50C-407E-A947-70E740481C1C}">
              <a14:useLocalDpi xmlns:a14="http://schemas.microsoft.com/office/drawing/2010/main" val="0"/>
            </a:ext>
          </a:extLst>
        </a:blip>
        <a:srcRect/>
        <a:stretch>
          <a:fillRect/>
        </a:stretch>
      </xdr:blipFill>
      <xdr:spPr bwMode="auto">
        <a:xfrm>
          <a:off x="1228725" y="35532917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1876</xdr:row>
      <xdr:rowOff>19050</xdr:rowOff>
    </xdr:from>
    <xdr:to>
      <xdr:col>2</xdr:col>
      <xdr:colOff>1733550</xdr:colOff>
      <xdr:row>1876</xdr:row>
      <xdr:rowOff>1733550</xdr:rowOff>
    </xdr:to>
    <xdr:pic>
      <xdr:nvPicPr>
        <xdr:cNvPr id="1876" name="Picture 1875"/>
        <xdr:cNvPicPr>
          <a:picLocks noChangeAspect="1" noChangeArrowheads="1"/>
        </xdr:cNvPicPr>
      </xdr:nvPicPr>
      <xdr:blipFill>
        <a:blip xmlns:r="http://schemas.openxmlformats.org/officeDocument/2006/relationships" r:embed="rId1874">
          <a:extLst>
            <a:ext uri="{28A0092B-C50C-407E-A947-70E740481C1C}">
              <a14:useLocalDpi xmlns:a14="http://schemas.microsoft.com/office/drawing/2010/main" val="0"/>
            </a:ext>
          </a:extLst>
        </a:blip>
        <a:srcRect/>
        <a:stretch>
          <a:fillRect/>
        </a:stretch>
      </xdr:blipFill>
      <xdr:spPr bwMode="auto">
        <a:xfrm>
          <a:off x="1228725" y="35552919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1877</xdr:row>
      <xdr:rowOff>19050</xdr:rowOff>
    </xdr:from>
    <xdr:to>
      <xdr:col>2</xdr:col>
      <xdr:colOff>1733550</xdr:colOff>
      <xdr:row>1877</xdr:row>
      <xdr:rowOff>1733550</xdr:rowOff>
    </xdr:to>
    <xdr:pic>
      <xdr:nvPicPr>
        <xdr:cNvPr id="1877" name="Picture 1876"/>
        <xdr:cNvPicPr>
          <a:picLocks noChangeAspect="1" noChangeArrowheads="1"/>
        </xdr:cNvPicPr>
      </xdr:nvPicPr>
      <xdr:blipFill>
        <a:blip xmlns:r="http://schemas.openxmlformats.org/officeDocument/2006/relationships" r:embed="rId1875">
          <a:extLst>
            <a:ext uri="{28A0092B-C50C-407E-A947-70E740481C1C}">
              <a14:useLocalDpi xmlns:a14="http://schemas.microsoft.com/office/drawing/2010/main" val="0"/>
            </a:ext>
          </a:extLst>
        </a:blip>
        <a:srcRect/>
        <a:stretch>
          <a:fillRect/>
        </a:stretch>
      </xdr:blipFill>
      <xdr:spPr bwMode="auto">
        <a:xfrm>
          <a:off x="1228725" y="35572922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1878</xdr:row>
      <xdr:rowOff>19050</xdr:rowOff>
    </xdr:from>
    <xdr:to>
      <xdr:col>2</xdr:col>
      <xdr:colOff>1733550</xdr:colOff>
      <xdr:row>1878</xdr:row>
      <xdr:rowOff>1733550</xdr:rowOff>
    </xdr:to>
    <xdr:pic>
      <xdr:nvPicPr>
        <xdr:cNvPr id="1878" name="Picture 1877"/>
        <xdr:cNvPicPr>
          <a:picLocks noChangeAspect="1" noChangeArrowheads="1"/>
        </xdr:cNvPicPr>
      </xdr:nvPicPr>
      <xdr:blipFill>
        <a:blip xmlns:r="http://schemas.openxmlformats.org/officeDocument/2006/relationships" r:embed="rId1876">
          <a:extLst>
            <a:ext uri="{28A0092B-C50C-407E-A947-70E740481C1C}">
              <a14:useLocalDpi xmlns:a14="http://schemas.microsoft.com/office/drawing/2010/main" val="0"/>
            </a:ext>
          </a:extLst>
        </a:blip>
        <a:srcRect/>
        <a:stretch>
          <a:fillRect/>
        </a:stretch>
      </xdr:blipFill>
      <xdr:spPr bwMode="auto">
        <a:xfrm>
          <a:off x="1228725" y="35592924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1879</xdr:row>
      <xdr:rowOff>19050</xdr:rowOff>
    </xdr:from>
    <xdr:to>
      <xdr:col>2</xdr:col>
      <xdr:colOff>1733550</xdr:colOff>
      <xdr:row>1879</xdr:row>
      <xdr:rowOff>1666875</xdr:rowOff>
    </xdr:to>
    <xdr:pic>
      <xdr:nvPicPr>
        <xdr:cNvPr id="1879" name="Picture 1878"/>
        <xdr:cNvPicPr>
          <a:picLocks noChangeAspect="1" noChangeArrowheads="1"/>
        </xdr:cNvPicPr>
      </xdr:nvPicPr>
      <xdr:blipFill>
        <a:blip xmlns:r="http://schemas.openxmlformats.org/officeDocument/2006/relationships" r:embed="rId1877">
          <a:extLst>
            <a:ext uri="{28A0092B-C50C-407E-A947-70E740481C1C}">
              <a14:useLocalDpi xmlns:a14="http://schemas.microsoft.com/office/drawing/2010/main" val="0"/>
            </a:ext>
          </a:extLst>
        </a:blip>
        <a:srcRect/>
        <a:stretch>
          <a:fillRect/>
        </a:stretch>
      </xdr:blipFill>
      <xdr:spPr bwMode="auto">
        <a:xfrm>
          <a:off x="1228725" y="3561292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1880</xdr:row>
      <xdr:rowOff>19050</xdr:rowOff>
    </xdr:from>
    <xdr:to>
      <xdr:col>2</xdr:col>
      <xdr:colOff>1733550</xdr:colOff>
      <xdr:row>1880</xdr:row>
      <xdr:rowOff>1619250</xdr:rowOff>
    </xdr:to>
    <xdr:pic>
      <xdr:nvPicPr>
        <xdr:cNvPr id="1880" name="Picture 1879"/>
        <xdr:cNvPicPr>
          <a:picLocks noChangeAspect="1" noChangeArrowheads="1"/>
        </xdr:cNvPicPr>
      </xdr:nvPicPr>
      <xdr:blipFill>
        <a:blip xmlns:r="http://schemas.openxmlformats.org/officeDocument/2006/relationships" r:embed="rId1878">
          <a:extLst>
            <a:ext uri="{28A0092B-C50C-407E-A947-70E740481C1C}">
              <a14:useLocalDpi xmlns:a14="http://schemas.microsoft.com/office/drawing/2010/main" val="0"/>
            </a:ext>
          </a:extLst>
        </a:blip>
        <a:srcRect/>
        <a:stretch>
          <a:fillRect/>
        </a:stretch>
      </xdr:blipFill>
      <xdr:spPr bwMode="auto">
        <a:xfrm>
          <a:off x="1228725" y="35632072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1881</xdr:row>
      <xdr:rowOff>19050</xdr:rowOff>
    </xdr:from>
    <xdr:to>
      <xdr:col>2</xdr:col>
      <xdr:colOff>1733550</xdr:colOff>
      <xdr:row>1881</xdr:row>
      <xdr:rowOff>1619250</xdr:rowOff>
    </xdr:to>
    <xdr:pic>
      <xdr:nvPicPr>
        <xdr:cNvPr id="1881" name="Picture 1880"/>
        <xdr:cNvPicPr>
          <a:picLocks noChangeAspect="1" noChangeArrowheads="1"/>
        </xdr:cNvPicPr>
      </xdr:nvPicPr>
      <xdr:blipFill>
        <a:blip xmlns:r="http://schemas.openxmlformats.org/officeDocument/2006/relationships" r:embed="rId1879">
          <a:extLst>
            <a:ext uri="{28A0092B-C50C-407E-A947-70E740481C1C}">
              <a14:useLocalDpi xmlns:a14="http://schemas.microsoft.com/office/drawing/2010/main" val="0"/>
            </a:ext>
          </a:extLst>
        </a:blip>
        <a:srcRect/>
        <a:stretch>
          <a:fillRect/>
        </a:stretch>
      </xdr:blipFill>
      <xdr:spPr bwMode="auto">
        <a:xfrm>
          <a:off x="1228725" y="35650646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1882</xdr:row>
      <xdr:rowOff>19050</xdr:rowOff>
    </xdr:from>
    <xdr:to>
      <xdr:col>2</xdr:col>
      <xdr:colOff>1733550</xdr:colOff>
      <xdr:row>1882</xdr:row>
      <xdr:rowOff>1619250</xdr:rowOff>
    </xdr:to>
    <xdr:pic>
      <xdr:nvPicPr>
        <xdr:cNvPr id="1882" name="Picture 1881"/>
        <xdr:cNvPicPr>
          <a:picLocks noChangeAspect="1" noChangeArrowheads="1"/>
        </xdr:cNvPicPr>
      </xdr:nvPicPr>
      <xdr:blipFill>
        <a:blip xmlns:r="http://schemas.openxmlformats.org/officeDocument/2006/relationships" r:embed="rId1880">
          <a:extLst>
            <a:ext uri="{28A0092B-C50C-407E-A947-70E740481C1C}">
              <a14:useLocalDpi xmlns:a14="http://schemas.microsoft.com/office/drawing/2010/main" val="0"/>
            </a:ext>
          </a:extLst>
        </a:blip>
        <a:srcRect/>
        <a:stretch>
          <a:fillRect/>
        </a:stretch>
      </xdr:blipFill>
      <xdr:spPr bwMode="auto">
        <a:xfrm>
          <a:off x="1228725" y="35669220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1883</xdr:row>
      <xdr:rowOff>19050</xdr:rowOff>
    </xdr:from>
    <xdr:to>
      <xdr:col>2</xdr:col>
      <xdr:colOff>1733550</xdr:colOff>
      <xdr:row>1883</xdr:row>
      <xdr:rowOff>1619250</xdr:rowOff>
    </xdr:to>
    <xdr:pic>
      <xdr:nvPicPr>
        <xdr:cNvPr id="1883" name="Picture 1882"/>
        <xdr:cNvPicPr>
          <a:picLocks noChangeAspect="1" noChangeArrowheads="1"/>
        </xdr:cNvPicPr>
      </xdr:nvPicPr>
      <xdr:blipFill>
        <a:blip xmlns:r="http://schemas.openxmlformats.org/officeDocument/2006/relationships" r:embed="rId1881">
          <a:extLst>
            <a:ext uri="{28A0092B-C50C-407E-A947-70E740481C1C}">
              <a14:useLocalDpi xmlns:a14="http://schemas.microsoft.com/office/drawing/2010/main" val="0"/>
            </a:ext>
          </a:extLst>
        </a:blip>
        <a:srcRect/>
        <a:stretch>
          <a:fillRect/>
        </a:stretch>
      </xdr:blipFill>
      <xdr:spPr bwMode="auto">
        <a:xfrm>
          <a:off x="1228725" y="35687793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1884</xdr:row>
      <xdr:rowOff>9525</xdr:rowOff>
    </xdr:from>
    <xdr:to>
      <xdr:col>2</xdr:col>
      <xdr:colOff>1733550</xdr:colOff>
      <xdr:row>1884</xdr:row>
      <xdr:rowOff>1524000</xdr:rowOff>
    </xdr:to>
    <xdr:pic>
      <xdr:nvPicPr>
        <xdr:cNvPr id="1884" name="Picture 1883"/>
        <xdr:cNvPicPr>
          <a:picLocks noChangeAspect="1" noChangeArrowheads="1"/>
        </xdr:cNvPicPr>
      </xdr:nvPicPr>
      <xdr:blipFill>
        <a:blip xmlns:r="http://schemas.openxmlformats.org/officeDocument/2006/relationships" r:embed="rId1882">
          <a:extLst>
            <a:ext uri="{28A0092B-C50C-407E-A947-70E740481C1C}">
              <a14:useLocalDpi xmlns:a14="http://schemas.microsoft.com/office/drawing/2010/main" val="0"/>
            </a:ext>
          </a:extLst>
        </a:blip>
        <a:srcRect/>
        <a:stretch>
          <a:fillRect/>
        </a:stretch>
      </xdr:blipFill>
      <xdr:spPr bwMode="auto">
        <a:xfrm>
          <a:off x="1228725" y="3570627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1885</xdr:row>
      <xdr:rowOff>9525</xdr:rowOff>
    </xdr:from>
    <xdr:to>
      <xdr:col>2</xdr:col>
      <xdr:colOff>1733550</xdr:colOff>
      <xdr:row>1885</xdr:row>
      <xdr:rowOff>1524000</xdr:rowOff>
    </xdr:to>
    <xdr:pic>
      <xdr:nvPicPr>
        <xdr:cNvPr id="1885" name="Picture 1884"/>
        <xdr:cNvPicPr>
          <a:picLocks noChangeAspect="1" noChangeArrowheads="1"/>
        </xdr:cNvPicPr>
      </xdr:nvPicPr>
      <xdr:blipFill>
        <a:blip xmlns:r="http://schemas.openxmlformats.org/officeDocument/2006/relationships" r:embed="rId1883">
          <a:extLst>
            <a:ext uri="{28A0092B-C50C-407E-A947-70E740481C1C}">
              <a14:useLocalDpi xmlns:a14="http://schemas.microsoft.com/office/drawing/2010/main" val="0"/>
            </a:ext>
          </a:extLst>
        </a:blip>
        <a:srcRect/>
        <a:stretch>
          <a:fillRect/>
        </a:stretch>
      </xdr:blipFill>
      <xdr:spPr bwMode="auto">
        <a:xfrm>
          <a:off x="1228725" y="3572379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1886</xdr:row>
      <xdr:rowOff>9525</xdr:rowOff>
    </xdr:from>
    <xdr:to>
      <xdr:col>2</xdr:col>
      <xdr:colOff>1733550</xdr:colOff>
      <xdr:row>1886</xdr:row>
      <xdr:rowOff>1524000</xdr:rowOff>
    </xdr:to>
    <xdr:pic>
      <xdr:nvPicPr>
        <xdr:cNvPr id="1886" name="Picture 1885"/>
        <xdr:cNvPicPr>
          <a:picLocks noChangeAspect="1" noChangeArrowheads="1"/>
        </xdr:cNvPicPr>
      </xdr:nvPicPr>
      <xdr:blipFill>
        <a:blip xmlns:r="http://schemas.openxmlformats.org/officeDocument/2006/relationships" r:embed="rId1884">
          <a:extLst>
            <a:ext uri="{28A0092B-C50C-407E-A947-70E740481C1C}">
              <a14:useLocalDpi xmlns:a14="http://schemas.microsoft.com/office/drawing/2010/main" val="0"/>
            </a:ext>
          </a:extLst>
        </a:blip>
        <a:srcRect/>
        <a:stretch>
          <a:fillRect/>
        </a:stretch>
      </xdr:blipFill>
      <xdr:spPr bwMode="auto">
        <a:xfrm>
          <a:off x="1228725" y="3574132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1887</xdr:row>
      <xdr:rowOff>9525</xdr:rowOff>
    </xdr:from>
    <xdr:to>
      <xdr:col>2</xdr:col>
      <xdr:colOff>1733550</xdr:colOff>
      <xdr:row>1887</xdr:row>
      <xdr:rowOff>1524000</xdr:rowOff>
    </xdr:to>
    <xdr:pic>
      <xdr:nvPicPr>
        <xdr:cNvPr id="1887" name="Picture 1886"/>
        <xdr:cNvPicPr>
          <a:picLocks noChangeAspect="1" noChangeArrowheads="1"/>
        </xdr:cNvPicPr>
      </xdr:nvPicPr>
      <xdr:blipFill>
        <a:blip xmlns:r="http://schemas.openxmlformats.org/officeDocument/2006/relationships" r:embed="rId1885">
          <a:extLst>
            <a:ext uri="{28A0092B-C50C-407E-A947-70E740481C1C}">
              <a14:useLocalDpi xmlns:a14="http://schemas.microsoft.com/office/drawing/2010/main" val="0"/>
            </a:ext>
          </a:extLst>
        </a:blip>
        <a:srcRect/>
        <a:stretch>
          <a:fillRect/>
        </a:stretch>
      </xdr:blipFill>
      <xdr:spPr bwMode="auto">
        <a:xfrm>
          <a:off x="1228725" y="3575885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1888</xdr:row>
      <xdr:rowOff>9525</xdr:rowOff>
    </xdr:from>
    <xdr:to>
      <xdr:col>2</xdr:col>
      <xdr:colOff>1733550</xdr:colOff>
      <xdr:row>1888</xdr:row>
      <xdr:rowOff>1524000</xdr:rowOff>
    </xdr:to>
    <xdr:pic>
      <xdr:nvPicPr>
        <xdr:cNvPr id="1888" name="Picture 1887"/>
        <xdr:cNvPicPr>
          <a:picLocks noChangeAspect="1" noChangeArrowheads="1"/>
        </xdr:cNvPicPr>
      </xdr:nvPicPr>
      <xdr:blipFill>
        <a:blip xmlns:r="http://schemas.openxmlformats.org/officeDocument/2006/relationships" r:embed="rId1886">
          <a:extLst>
            <a:ext uri="{28A0092B-C50C-407E-A947-70E740481C1C}">
              <a14:useLocalDpi xmlns:a14="http://schemas.microsoft.com/office/drawing/2010/main" val="0"/>
            </a:ext>
          </a:extLst>
        </a:blip>
        <a:srcRect/>
        <a:stretch>
          <a:fillRect/>
        </a:stretch>
      </xdr:blipFill>
      <xdr:spPr bwMode="auto">
        <a:xfrm>
          <a:off x="1228725" y="3577637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1889</xdr:row>
      <xdr:rowOff>9525</xdr:rowOff>
    </xdr:from>
    <xdr:to>
      <xdr:col>2</xdr:col>
      <xdr:colOff>1733550</xdr:colOff>
      <xdr:row>1889</xdr:row>
      <xdr:rowOff>1524000</xdr:rowOff>
    </xdr:to>
    <xdr:pic>
      <xdr:nvPicPr>
        <xdr:cNvPr id="1889" name="Picture 1888"/>
        <xdr:cNvPicPr>
          <a:picLocks noChangeAspect="1" noChangeArrowheads="1"/>
        </xdr:cNvPicPr>
      </xdr:nvPicPr>
      <xdr:blipFill>
        <a:blip xmlns:r="http://schemas.openxmlformats.org/officeDocument/2006/relationships" r:embed="rId1887">
          <a:extLst>
            <a:ext uri="{28A0092B-C50C-407E-A947-70E740481C1C}">
              <a14:useLocalDpi xmlns:a14="http://schemas.microsoft.com/office/drawing/2010/main" val="0"/>
            </a:ext>
          </a:extLst>
        </a:blip>
        <a:srcRect/>
        <a:stretch>
          <a:fillRect/>
        </a:stretch>
      </xdr:blipFill>
      <xdr:spPr bwMode="auto">
        <a:xfrm>
          <a:off x="1228725" y="3579390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1890</xdr:row>
      <xdr:rowOff>9525</xdr:rowOff>
    </xdr:from>
    <xdr:to>
      <xdr:col>2</xdr:col>
      <xdr:colOff>1733550</xdr:colOff>
      <xdr:row>1890</xdr:row>
      <xdr:rowOff>1524000</xdr:rowOff>
    </xdr:to>
    <xdr:pic>
      <xdr:nvPicPr>
        <xdr:cNvPr id="1890" name="Picture 1889"/>
        <xdr:cNvPicPr>
          <a:picLocks noChangeAspect="1" noChangeArrowheads="1"/>
        </xdr:cNvPicPr>
      </xdr:nvPicPr>
      <xdr:blipFill>
        <a:blip xmlns:r="http://schemas.openxmlformats.org/officeDocument/2006/relationships" r:embed="rId1888">
          <a:extLst>
            <a:ext uri="{28A0092B-C50C-407E-A947-70E740481C1C}">
              <a14:useLocalDpi xmlns:a14="http://schemas.microsoft.com/office/drawing/2010/main" val="0"/>
            </a:ext>
          </a:extLst>
        </a:blip>
        <a:srcRect/>
        <a:stretch>
          <a:fillRect/>
        </a:stretch>
      </xdr:blipFill>
      <xdr:spPr bwMode="auto">
        <a:xfrm>
          <a:off x="1228725" y="3581142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1891</xdr:row>
      <xdr:rowOff>19050</xdr:rowOff>
    </xdr:from>
    <xdr:to>
      <xdr:col>2</xdr:col>
      <xdr:colOff>1733550</xdr:colOff>
      <xdr:row>1891</xdr:row>
      <xdr:rowOff>1666875</xdr:rowOff>
    </xdr:to>
    <xdr:pic>
      <xdr:nvPicPr>
        <xdr:cNvPr id="1891" name="Picture 1890"/>
        <xdr:cNvPicPr>
          <a:picLocks noChangeAspect="1" noChangeArrowheads="1"/>
        </xdr:cNvPicPr>
      </xdr:nvPicPr>
      <xdr:blipFill>
        <a:blip xmlns:r="http://schemas.openxmlformats.org/officeDocument/2006/relationships" r:embed="rId1889">
          <a:extLst>
            <a:ext uri="{28A0092B-C50C-407E-A947-70E740481C1C}">
              <a14:useLocalDpi xmlns:a14="http://schemas.microsoft.com/office/drawing/2010/main" val="0"/>
            </a:ext>
          </a:extLst>
        </a:blip>
        <a:srcRect/>
        <a:stretch>
          <a:fillRect/>
        </a:stretch>
      </xdr:blipFill>
      <xdr:spPr bwMode="auto">
        <a:xfrm>
          <a:off x="1228725" y="3582904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1892</xdr:row>
      <xdr:rowOff>19050</xdr:rowOff>
    </xdr:from>
    <xdr:to>
      <xdr:col>2</xdr:col>
      <xdr:colOff>1733550</xdr:colOff>
      <xdr:row>1892</xdr:row>
      <xdr:rowOff>1666875</xdr:rowOff>
    </xdr:to>
    <xdr:pic>
      <xdr:nvPicPr>
        <xdr:cNvPr id="1892" name="Picture 1891"/>
        <xdr:cNvPicPr>
          <a:picLocks noChangeAspect="1" noChangeArrowheads="1"/>
        </xdr:cNvPicPr>
      </xdr:nvPicPr>
      <xdr:blipFill>
        <a:blip xmlns:r="http://schemas.openxmlformats.org/officeDocument/2006/relationships" r:embed="rId1890">
          <a:extLst>
            <a:ext uri="{28A0092B-C50C-407E-A947-70E740481C1C}">
              <a14:useLocalDpi xmlns:a14="http://schemas.microsoft.com/office/drawing/2010/main" val="0"/>
            </a:ext>
          </a:extLst>
        </a:blip>
        <a:srcRect/>
        <a:stretch>
          <a:fillRect/>
        </a:stretch>
      </xdr:blipFill>
      <xdr:spPr bwMode="auto">
        <a:xfrm>
          <a:off x="1228725" y="358481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1893</xdr:row>
      <xdr:rowOff>19050</xdr:rowOff>
    </xdr:from>
    <xdr:to>
      <xdr:col>2</xdr:col>
      <xdr:colOff>1733550</xdr:colOff>
      <xdr:row>1893</xdr:row>
      <xdr:rowOff>1666875</xdr:rowOff>
    </xdr:to>
    <xdr:pic>
      <xdr:nvPicPr>
        <xdr:cNvPr id="1893" name="Picture 1892"/>
        <xdr:cNvPicPr>
          <a:picLocks noChangeAspect="1" noChangeArrowheads="1"/>
        </xdr:cNvPicPr>
      </xdr:nvPicPr>
      <xdr:blipFill>
        <a:blip xmlns:r="http://schemas.openxmlformats.org/officeDocument/2006/relationships" r:embed="rId1891">
          <a:extLst>
            <a:ext uri="{28A0092B-C50C-407E-A947-70E740481C1C}">
              <a14:useLocalDpi xmlns:a14="http://schemas.microsoft.com/office/drawing/2010/main" val="0"/>
            </a:ext>
          </a:extLst>
        </a:blip>
        <a:srcRect/>
        <a:stretch>
          <a:fillRect/>
        </a:stretch>
      </xdr:blipFill>
      <xdr:spPr bwMode="auto">
        <a:xfrm>
          <a:off x="1228725" y="3586734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1894</xdr:row>
      <xdr:rowOff>19050</xdr:rowOff>
    </xdr:from>
    <xdr:to>
      <xdr:col>2</xdr:col>
      <xdr:colOff>1733550</xdr:colOff>
      <xdr:row>1894</xdr:row>
      <xdr:rowOff>1666875</xdr:rowOff>
    </xdr:to>
    <xdr:pic>
      <xdr:nvPicPr>
        <xdr:cNvPr id="1894" name="Picture 1893"/>
        <xdr:cNvPicPr>
          <a:picLocks noChangeAspect="1" noChangeArrowheads="1"/>
        </xdr:cNvPicPr>
      </xdr:nvPicPr>
      <xdr:blipFill>
        <a:blip xmlns:r="http://schemas.openxmlformats.org/officeDocument/2006/relationships" r:embed="rId1892">
          <a:extLst>
            <a:ext uri="{28A0092B-C50C-407E-A947-70E740481C1C}">
              <a14:useLocalDpi xmlns:a14="http://schemas.microsoft.com/office/drawing/2010/main" val="0"/>
            </a:ext>
          </a:extLst>
        </a:blip>
        <a:srcRect/>
        <a:stretch>
          <a:fillRect/>
        </a:stretch>
      </xdr:blipFill>
      <xdr:spPr bwMode="auto">
        <a:xfrm>
          <a:off x="1228725" y="3588648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1895</xdr:row>
      <xdr:rowOff>19050</xdr:rowOff>
    </xdr:from>
    <xdr:to>
      <xdr:col>2</xdr:col>
      <xdr:colOff>1733550</xdr:colOff>
      <xdr:row>1895</xdr:row>
      <xdr:rowOff>1666875</xdr:rowOff>
    </xdr:to>
    <xdr:pic>
      <xdr:nvPicPr>
        <xdr:cNvPr id="1895" name="Picture 1894"/>
        <xdr:cNvPicPr>
          <a:picLocks noChangeAspect="1" noChangeArrowheads="1"/>
        </xdr:cNvPicPr>
      </xdr:nvPicPr>
      <xdr:blipFill>
        <a:blip xmlns:r="http://schemas.openxmlformats.org/officeDocument/2006/relationships" r:embed="rId1893">
          <a:extLst>
            <a:ext uri="{28A0092B-C50C-407E-A947-70E740481C1C}">
              <a14:useLocalDpi xmlns:a14="http://schemas.microsoft.com/office/drawing/2010/main" val="0"/>
            </a:ext>
          </a:extLst>
        </a:blip>
        <a:srcRect/>
        <a:stretch>
          <a:fillRect/>
        </a:stretch>
      </xdr:blipFill>
      <xdr:spPr bwMode="auto">
        <a:xfrm>
          <a:off x="1228725" y="3590563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1896</xdr:row>
      <xdr:rowOff>19050</xdr:rowOff>
    </xdr:from>
    <xdr:to>
      <xdr:col>2</xdr:col>
      <xdr:colOff>1733550</xdr:colOff>
      <xdr:row>1896</xdr:row>
      <xdr:rowOff>1666875</xdr:rowOff>
    </xdr:to>
    <xdr:pic>
      <xdr:nvPicPr>
        <xdr:cNvPr id="1896" name="Picture 1895"/>
        <xdr:cNvPicPr>
          <a:picLocks noChangeAspect="1" noChangeArrowheads="1"/>
        </xdr:cNvPicPr>
      </xdr:nvPicPr>
      <xdr:blipFill>
        <a:blip xmlns:r="http://schemas.openxmlformats.org/officeDocument/2006/relationships" r:embed="rId1894">
          <a:extLst>
            <a:ext uri="{28A0092B-C50C-407E-A947-70E740481C1C}">
              <a14:useLocalDpi xmlns:a14="http://schemas.microsoft.com/office/drawing/2010/main" val="0"/>
            </a:ext>
          </a:extLst>
        </a:blip>
        <a:srcRect/>
        <a:stretch>
          <a:fillRect/>
        </a:stretch>
      </xdr:blipFill>
      <xdr:spPr bwMode="auto">
        <a:xfrm>
          <a:off x="1228725" y="3592477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1897</xdr:row>
      <xdr:rowOff>19050</xdr:rowOff>
    </xdr:from>
    <xdr:to>
      <xdr:col>2</xdr:col>
      <xdr:colOff>1733550</xdr:colOff>
      <xdr:row>1897</xdr:row>
      <xdr:rowOff>1666875</xdr:rowOff>
    </xdr:to>
    <xdr:pic>
      <xdr:nvPicPr>
        <xdr:cNvPr id="1897" name="Picture 1896"/>
        <xdr:cNvPicPr>
          <a:picLocks noChangeAspect="1" noChangeArrowheads="1"/>
        </xdr:cNvPicPr>
      </xdr:nvPicPr>
      <xdr:blipFill>
        <a:blip xmlns:r="http://schemas.openxmlformats.org/officeDocument/2006/relationships" r:embed="rId1895">
          <a:extLst>
            <a:ext uri="{28A0092B-C50C-407E-A947-70E740481C1C}">
              <a14:useLocalDpi xmlns:a14="http://schemas.microsoft.com/office/drawing/2010/main" val="0"/>
            </a:ext>
          </a:extLst>
        </a:blip>
        <a:srcRect/>
        <a:stretch>
          <a:fillRect/>
        </a:stretch>
      </xdr:blipFill>
      <xdr:spPr bwMode="auto">
        <a:xfrm>
          <a:off x="1228725" y="3594392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1898</xdr:row>
      <xdr:rowOff>19050</xdr:rowOff>
    </xdr:from>
    <xdr:to>
      <xdr:col>2</xdr:col>
      <xdr:colOff>1733550</xdr:colOff>
      <xdr:row>1898</xdr:row>
      <xdr:rowOff>1666875</xdr:rowOff>
    </xdr:to>
    <xdr:pic>
      <xdr:nvPicPr>
        <xdr:cNvPr id="1898" name="Picture 1897"/>
        <xdr:cNvPicPr>
          <a:picLocks noChangeAspect="1" noChangeArrowheads="1"/>
        </xdr:cNvPicPr>
      </xdr:nvPicPr>
      <xdr:blipFill>
        <a:blip xmlns:r="http://schemas.openxmlformats.org/officeDocument/2006/relationships" r:embed="rId1896">
          <a:extLst>
            <a:ext uri="{28A0092B-C50C-407E-A947-70E740481C1C}">
              <a14:useLocalDpi xmlns:a14="http://schemas.microsoft.com/office/drawing/2010/main" val="0"/>
            </a:ext>
          </a:extLst>
        </a:blip>
        <a:srcRect/>
        <a:stretch>
          <a:fillRect/>
        </a:stretch>
      </xdr:blipFill>
      <xdr:spPr bwMode="auto">
        <a:xfrm>
          <a:off x="1228725" y="3596306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1899</xdr:row>
      <xdr:rowOff>19050</xdr:rowOff>
    </xdr:from>
    <xdr:to>
      <xdr:col>2</xdr:col>
      <xdr:colOff>1733550</xdr:colOff>
      <xdr:row>1899</xdr:row>
      <xdr:rowOff>1666875</xdr:rowOff>
    </xdr:to>
    <xdr:pic>
      <xdr:nvPicPr>
        <xdr:cNvPr id="1899" name="Picture 1898"/>
        <xdr:cNvPicPr>
          <a:picLocks noChangeAspect="1" noChangeArrowheads="1"/>
        </xdr:cNvPicPr>
      </xdr:nvPicPr>
      <xdr:blipFill>
        <a:blip xmlns:r="http://schemas.openxmlformats.org/officeDocument/2006/relationships" r:embed="rId1897">
          <a:extLst>
            <a:ext uri="{28A0092B-C50C-407E-A947-70E740481C1C}">
              <a14:useLocalDpi xmlns:a14="http://schemas.microsoft.com/office/drawing/2010/main" val="0"/>
            </a:ext>
          </a:extLst>
        </a:blip>
        <a:srcRect/>
        <a:stretch>
          <a:fillRect/>
        </a:stretch>
      </xdr:blipFill>
      <xdr:spPr bwMode="auto">
        <a:xfrm>
          <a:off x="1228725" y="3598221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1900</xdr:row>
      <xdr:rowOff>19050</xdr:rowOff>
    </xdr:from>
    <xdr:to>
      <xdr:col>2</xdr:col>
      <xdr:colOff>1733550</xdr:colOff>
      <xdr:row>1900</xdr:row>
      <xdr:rowOff>1666875</xdr:rowOff>
    </xdr:to>
    <xdr:pic>
      <xdr:nvPicPr>
        <xdr:cNvPr id="1900" name="Picture 1899"/>
        <xdr:cNvPicPr>
          <a:picLocks noChangeAspect="1" noChangeArrowheads="1"/>
        </xdr:cNvPicPr>
      </xdr:nvPicPr>
      <xdr:blipFill>
        <a:blip xmlns:r="http://schemas.openxmlformats.org/officeDocument/2006/relationships" r:embed="rId1898">
          <a:extLst>
            <a:ext uri="{28A0092B-C50C-407E-A947-70E740481C1C}">
              <a14:useLocalDpi xmlns:a14="http://schemas.microsoft.com/office/drawing/2010/main" val="0"/>
            </a:ext>
          </a:extLst>
        </a:blip>
        <a:srcRect/>
        <a:stretch>
          <a:fillRect/>
        </a:stretch>
      </xdr:blipFill>
      <xdr:spPr bwMode="auto">
        <a:xfrm>
          <a:off x="1228725" y="3600135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1901</xdr:row>
      <xdr:rowOff>19050</xdr:rowOff>
    </xdr:from>
    <xdr:to>
      <xdr:col>2</xdr:col>
      <xdr:colOff>1733550</xdr:colOff>
      <xdr:row>1901</xdr:row>
      <xdr:rowOff>1666875</xdr:rowOff>
    </xdr:to>
    <xdr:pic>
      <xdr:nvPicPr>
        <xdr:cNvPr id="1901" name="Picture 1900"/>
        <xdr:cNvPicPr>
          <a:picLocks noChangeAspect="1" noChangeArrowheads="1"/>
        </xdr:cNvPicPr>
      </xdr:nvPicPr>
      <xdr:blipFill>
        <a:blip xmlns:r="http://schemas.openxmlformats.org/officeDocument/2006/relationships" r:embed="rId1899">
          <a:extLst>
            <a:ext uri="{28A0092B-C50C-407E-A947-70E740481C1C}">
              <a14:useLocalDpi xmlns:a14="http://schemas.microsoft.com/office/drawing/2010/main" val="0"/>
            </a:ext>
          </a:extLst>
        </a:blip>
        <a:srcRect/>
        <a:stretch>
          <a:fillRect/>
        </a:stretch>
      </xdr:blipFill>
      <xdr:spPr bwMode="auto">
        <a:xfrm>
          <a:off x="1228725" y="3602050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1902</xdr:row>
      <xdr:rowOff>9525</xdr:rowOff>
    </xdr:from>
    <xdr:to>
      <xdr:col>2</xdr:col>
      <xdr:colOff>1733550</xdr:colOff>
      <xdr:row>1902</xdr:row>
      <xdr:rowOff>1524000</xdr:rowOff>
    </xdr:to>
    <xdr:pic>
      <xdr:nvPicPr>
        <xdr:cNvPr id="1902" name="Picture 1901"/>
        <xdr:cNvPicPr>
          <a:picLocks noChangeAspect="1" noChangeArrowheads="1"/>
        </xdr:cNvPicPr>
      </xdr:nvPicPr>
      <xdr:blipFill>
        <a:blip xmlns:r="http://schemas.openxmlformats.org/officeDocument/2006/relationships" r:embed="rId1900">
          <a:extLst>
            <a:ext uri="{28A0092B-C50C-407E-A947-70E740481C1C}">
              <a14:useLocalDpi xmlns:a14="http://schemas.microsoft.com/office/drawing/2010/main" val="0"/>
            </a:ext>
          </a:extLst>
        </a:blip>
        <a:srcRect/>
        <a:stretch>
          <a:fillRect/>
        </a:stretch>
      </xdr:blipFill>
      <xdr:spPr bwMode="auto">
        <a:xfrm>
          <a:off x="1228725" y="3603955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1903</xdr:row>
      <xdr:rowOff>9525</xdr:rowOff>
    </xdr:from>
    <xdr:to>
      <xdr:col>2</xdr:col>
      <xdr:colOff>1733550</xdr:colOff>
      <xdr:row>1903</xdr:row>
      <xdr:rowOff>1524000</xdr:rowOff>
    </xdr:to>
    <xdr:pic>
      <xdr:nvPicPr>
        <xdr:cNvPr id="1903" name="Picture 1902"/>
        <xdr:cNvPicPr>
          <a:picLocks noChangeAspect="1" noChangeArrowheads="1"/>
        </xdr:cNvPicPr>
      </xdr:nvPicPr>
      <xdr:blipFill>
        <a:blip xmlns:r="http://schemas.openxmlformats.org/officeDocument/2006/relationships" r:embed="rId1901">
          <a:extLst>
            <a:ext uri="{28A0092B-C50C-407E-A947-70E740481C1C}">
              <a14:useLocalDpi xmlns:a14="http://schemas.microsoft.com/office/drawing/2010/main" val="0"/>
            </a:ext>
          </a:extLst>
        </a:blip>
        <a:srcRect/>
        <a:stretch>
          <a:fillRect/>
        </a:stretch>
      </xdr:blipFill>
      <xdr:spPr bwMode="auto">
        <a:xfrm>
          <a:off x="1228725" y="3605707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1904</xdr:row>
      <xdr:rowOff>9525</xdr:rowOff>
    </xdr:from>
    <xdr:to>
      <xdr:col>2</xdr:col>
      <xdr:colOff>1733550</xdr:colOff>
      <xdr:row>1904</xdr:row>
      <xdr:rowOff>1524000</xdr:rowOff>
    </xdr:to>
    <xdr:pic>
      <xdr:nvPicPr>
        <xdr:cNvPr id="1904" name="Picture 1903"/>
        <xdr:cNvPicPr>
          <a:picLocks noChangeAspect="1" noChangeArrowheads="1"/>
        </xdr:cNvPicPr>
      </xdr:nvPicPr>
      <xdr:blipFill>
        <a:blip xmlns:r="http://schemas.openxmlformats.org/officeDocument/2006/relationships" r:embed="rId1902">
          <a:extLst>
            <a:ext uri="{28A0092B-C50C-407E-A947-70E740481C1C}">
              <a14:useLocalDpi xmlns:a14="http://schemas.microsoft.com/office/drawing/2010/main" val="0"/>
            </a:ext>
          </a:extLst>
        </a:blip>
        <a:srcRect/>
        <a:stretch>
          <a:fillRect/>
        </a:stretch>
      </xdr:blipFill>
      <xdr:spPr bwMode="auto">
        <a:xfrm>
          <a:off x="1228725" y="3607460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1905</xdr:row>
      <xdr:rowOff>9525</xdr:rowOff>
    </xdr:from>
    <xdr:to>
      <xdr:col>2</xdr:col>
      <xdr:colOff>1733550</xdr:colOff>
      <xdr:row>1905</xdr:row>
      <xdr:rowOff>1524000</xdr:rowOff>
    </xdr:to>
    <xdr:pic>
      <xdr:nvPicPr>
        <xdr:cNvPr id="1905" name="Picture 1904"/>
        <xdr:cNvPicPr>
          <a:picLocks noChangeAspect="1" noChangeArrowheads="1"/>
        </xdr:cNvPicPr>
      </xdr:nvPicPr>
      <xdr:blipFill>
        <a:blip xmlns:r="http://schemas.openxmlformats.org/officeDocument/2006/relationships" r:embed="rId1903">
          <a:extLst>
            <a:ext uri="{28A0092B-C50C-407E-A947-70E740481C1C}">
              <a14:useLocalDpi xmlns:a14="http://schemas.microsoft.com/office/drawing/2010/main" val="0"/>
            </a:ext>
          </a:extLst>
        </a:blip>
        <a:srcRect/>
        <a:stretch>
          <a:fillRect/>
        </a:stretch>
      </xdr:blipFill>
      <xdr:spPr bwMode="auto">
        <a:xfrm>
          <a:off x="1228725" y="3609213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1906</xdr:row>
      <xdr:rowOff>19050</xdr:rowOff>
    </xdr:from>
    <xdr:to>
      <xdr:col>2</xdr:col>
      <xdr:colOff>1733550</xdr:colOff>
      <xdr:row>1906</xdr:row>
      <xdr:rowOff>1666875</xdr:rowOff>
    </xdr:to>
    <xdr:pic>
      <xdr:nvPicPr>
        <xdr:cNvPr id="1906" name="Picture 1905"/>
        <xdr:cNvPicPr>
          <a:picLocks noChangeAspect="1" noChangeArrowheads="1"/>
        </xdr:cNvPicPr>
      </xdr:nvPicPr>
      <xdr:blipFill>
        <a:blip xmlns:r="http://schemas.openxmlformats.org/officeDocument/2006/relationships" r:embed="rId1904">
          <a:extLst>
            <a:ext uri="{28A0092B-C50C-407E-A947-70E740481C1C}">
              <a14:useLocalDpi xmlns:a14="http://schemas.microsoft.com/office/drawing/2010/main" val="0"/>
            </a:ext>
          </a:extLst>
        </a:blip>
        <a:srcRect/>
        <a:stretch>
          <a:fillRect/>
        </a:stretch>
      </xdr:blipFill>
      <xdr:spPr bwMode="auto">
        <a:xfrm>
          <a:off x="1228725" y="3610975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1907</xdr:row>
      <xdr:rowOff>19050</xdr:rowOff>
    </xdr:from>
    <xdr:to>
      <xdr:col>2</xdr:col>
      <xdr:colOff>1733550</xdr:colOff>
      <xdr:row>1907</xdr:row>
      <xdr:rowOff>1666875</xdr:rowOff>
    </xdr:to>
    <xdr:pic>
      <xdr:nvPicPr>
        <xdr:cNvPr id="1907" name="Picture 1906"/>
        <xdr:cNvPicPr>
          <a:picLocks noChangeAspect="1" noChangeArrowheads="1"/>
        </xdr:cNvPicPr>
      </xdr:nvPicPr>
      <xdr:blipFill>
        <a:blip xmlns:r="http://schemas.openxmlformats.org/officeDocument/2006/relationships" r:embed="rId1905">
          <a:extLst>
            <a:ext uri="{28A0092B-C50C-407E-A947-70E740481C1C}">
              <a14:useLocalDpi xmlns:a14="http://schemas.microsoft.com/office/drawing/2010/main" val="0"/>
            </a:ext>
          </a:extLst>
        </a:blip>
        <a:srcRect/>
        <a:stretch>
          <a:fillRect/>
        </a:stretch>
      </xdr:blipFill>
      <xdr:spPr bwMode="auto">
        <a:xfrm>
          <a:off x="1228725" y="3612889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1908</xdr:row>
      <xdr:rowOff>19050</xdr:rowOff>
    </xdr:from>
    <xdr:to>
      <xdr:col>2</xdr:col>
      <xdr:colOff>1733550</xdr:colOff>
      <xdr:row>1908</xdr:row>
      <xdr:rowOff>1666875</xdr:rowOff>
    </xdr:to>
    <xdr:pic>
      <xdr:nvPicPr>
        <xdr:cNvPr id="1908" name="Picture 1907"/>
        <xdr:cNvPicPr>
          <a:picLocks noChangeAspect="1" noChangeArrowheads="1"/>
        </xdr:cNvPicPr>
      </xdr:nvPicPr>
      <xdr:blipFill>
        <a:blip xmlns:r="http://schemas.openxmlformats.org/officeDocument/2006/relationships" r:embed="rId1906">
          <a:extLst>
            <a:ext uri="{28A0092B-C50C-407E-A947-70E740481C1C}">
              <a14:useLocalDpi xmlns:a14="http://schemas.microsoft.com/office/drawing/2010/main" val="0"/>
            </a:ext>
          </a:extLst>
        </a:blip>
        <a:srcRect/>
        <a:stretch>
          <a:fillRect/>
        </a:stretch>
      </xdr:blipFill>
      <xdr:spPr bwMode="auto">
        <a:xfrm>
          <a:off x="1228725" y="3614804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1909</xdr:row>
      <xdr:rowOff>19050</xdr:rowOff>
    </xdr:from>
    <xdr:to>
      <xdr:col>2</xdr:col>
      <xdr:colOff>1733550</xdr:colOff>
      <xdr:row>1909</xdr:row>
      <xdr:rowOff>1666875</xdr:rowOff>
    </xdr:to>
    <xdr:pic>
      <xdr:nvPicPr>
        <xdr:cNvPr id="1909" name="Picture 1908"/>
        <xdr:cNvPicPr>
          <a:picLocks noChangeAspect="1" noChangeArrowheads="1"/>
        </xdr:cNvPicPr>
      </xdr:nvPicPr>
      <xdr:blipFill>
        <a:blip xmlns:r="http://schemas.openxmlformats.org/officeDocument/2006/relationships" r:embed="rId1907">
          <a:extLst>
            <a:ext uri="{28A0092B-C50C-407E-A947-70E740481C1C}">
              <a14:useLocalDpi xmlns:a14="http://schemas.microsoft.com/office/drawing/2010/main" val="0"/>
            </a:ext>
          </a:extLst>
        </a:blip>
        <a:srcRect/>
        <a:stretch>
          <a:fillRect/>
        </a:stretch>
      </xdr:blipFill>
      <xdr:spPr bwMode="auto">
        <a:xfrm>
          <a:off x="1228725" y="361671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1910</xdr:row>
      <xdr:rowOff>19050</xdr:rowOff>
    </xdr:from>
    <xdr:to>
      <xdr:col>2</xdr:col>
      <xdr:colOff>1733550</xdr:colOff>
      <xdr:row>1910</xdr:row>
      <xdr:rowOff>1666875</xdr:rowOff>
    </xdr:to>
    <xdr:pic>
      <xdr:nvPicPr>
        <xdr:cNvPr id="1910" name="Picture 1909"/>
        <xdr:cNvPicPr>
          <a:picLocks noChangeAspect="1" noChangeArrowheads="1"/>
        </xdr:cNvPicPr>
      </xdr:nvPicPr>
      <xdr:blipFill>
        <a:blip xmlns:r="http://schemas.openxmlformats.org/officeDocument/2006/relationships" r:embed="rId1908">
          <a:extLst>
            <a:ext uri="{28A0092B-C50C-407E-A947-70E740481C1C}">
              <a14:useLocalDpi xmlns:a14="http://schemas.microsoft.com/office/drawing/2010/main" val="0"/>
            </a:ext>
          </a:extLst>
        </a:blip>
        <a:srcRect/>
        <a:stretch>
          <a:fillRect/>
        </a:stretch>
      </xdr:blipFill>
      <xdr:spPr bwMode="auto">
        <a:xfrm>
          <a:off x="1228725" y="3618633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1911</xdr:row>
      <xdr:rowOff>19050</xdr:rowOff>
    </xdr:from>
    <xdr:to>
      <xdr:col>2</xdr:col>
      <xdr:colOff>1733550</xdr:colOff>
      <xdr:row>1911</xdr:row>
      <xdr:rowOff>1666875</xdr:rowOff>
    </xdr:to>
    <xdr:pic>
      <xdr:nvPicPr>
        <xdr:cNvPr id="1911" name="Picture 1910"/>
        <xdr:cNvPicPr>
          <a:picLocks noChangeAspect="1" noChangeArrowheads="1"/>
        </xdr:cNvPicPr>
      </xdr:nvPicPr>
      <xdr:blipFill>
        <a:blip xmlns:r="http://schemas.openxmlformats.org/officeDocument/2006/relationships" r:embed="rId1909">
          <a:extLst>
            <a:ext uri="{28A0092B-C50C-407E-A947-70E740481C1C}">
              <a14:useLocalDpi xmlns:a14="http://schemas.microsoft.com/office/drawing/2010/main" val="0"/>
            </a:ext>
          </a:extLst>
        </a:blip>
        <a:srcRect/>
        <a:stretch>
          <a:fillRect/>
        </a:stretch>
      </xdr:blipFill>
      <xdr:spPr bwMode="auto">
        <a:xfrm>
          <a:off x="1228725" y="3620547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1912</xdr:row>
      <xdr:rowOff>19050</xdr:rowOff>
    </xdr:from>
    <xdr:to>
      <xdr:col>2</xdr:col>
      <xdr:colOff>1733550</xdr:colOff>
      <xdr:row>1912</xdr:row>
      <xdr:rowOff>1666875</xdr:rowOff>
    </xdr:to>
    <xdr:pic>
      <xdr:nvPicPr>
        <xdr:cNvPr id="1912" name="Picture 1911"/>
        <xdr:cNvPicPr>
          <a:picLocks noChangeAspect="1" noChangeArrowheads="1"/>
        </xdr:cNvPicPr>
      </xdr:nvPicPr>
      <xdr:blipFill>
        <a:blip xmlns:r="http://schemas.openxmlformats.org/officeDocument/2006/relationships" r:embed="rId1910">
          <a:extLst>
            <a:ext uri="{28A0092B-C50C-407E-A947-70E740481C1C}">
              <a14:useLocalDpi xmlns:a14="http://schemas.microsoft.com/office/drawing/2010/main" val="0"/>
            </a:ext>
          </a:extLst>
        </a:blip>
        <a:srcRect/>
        <a:stretch>
          <a:fillRect/>
        </a:stretch>
      </xdr:blipFill>
      <xdr:spPr bwMode="auto">
        <a:xfrm>
          <a:off x="1228725" y="3622462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1913</xdr:row>
      <xdr:rowOff>19050</xdr:rowOff>
    </xdr:from>
    <xdr:to>
      <xdr:col>2</xdr:col>
      <xdr:colOff>1733550</xdr:colOff>
      <xdr:row>1913</xdr:row>
      <xdr:rowOff>1666875</xdr:rowOff>
    </xdr:to>
    <xdr:pic>
      <xdr:nvPicPr>
        <xdr:cNvPr id="1913" name="Picture 1912"/>
        <xdr:cNvPicPr>
          <a:picLocks noChangeAspect="1" noChangeArrowheads="1"/>
        </xdr:cNvPicPr>
      </xdr:nvPicPr>
      <xdr:blipFill>
        <a:blip xmlns:r="http://schemas.openxmlformats.org/officeDocument/2006/relationships" r:embed="rId1911">
          <a:extLst>
            <a:ext uri="{28A0092B-C50C-407E-A947-70E740481C1C}">
              <a14:useLocalDpi xmlns:a14="http://schemas.microsoft.com/office/drawing/2010/main" val="0"/>
            </a:ext>
          </a:extLst>
        </a:blip>
        <a:srcRect/>
        <a:stretch>
          <a:fillRect/>
        </a:stretch>
      </xdr:blipFill>
      <xdr:spPr bwMode="auto">
        <a:xfrm>
          <a:off x="1228725" y="3624376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1914</xdr:row>
      <xdr:rowOff>19050</xdr:rowOff>
    </xdr:from>
    <xdr:to>
      <xdr:col>2</xdr:col>
      <xdr:colOff>1733550</xdr:colOff>
      <xdr:row>1914</xdr:row>
      <xdr:rowOff>1666875</xdr:rowOff>
    </xdr:to>
    <xdr:pic>
      <xdr:nvPicPr>
        <xdr:cNvPr id="1914" name="Picture 1913"/>
        <xdr:cNvPicPr>
          <a:picLocks noChangeAspect="1" noChangeArrowheads="1"/>
        </xdr:cNvPicPr>
      </xdr:nvPicPr>
      <xdr:blipFill>
        <a:blip xmlns:r="http://schemas.openxmlformats.org/officeDocument/2006/relationships" r:embed="rId1912">
          <a:extLst>
            <a:ext uri="{28A0092B-C50C-407E-A947-70E740481C1C}">
              <a14:useLocalDpi xmlns:a14="http://schemas.microsoft.com/office/drawing/2010/main" val="0"/>
            </a:ext>
          </a:extLst>
        </a:blip>
        <a:srcRect/>
        <a:stretch>
          <a:fillRect/>
        </a:stretch>
      </xdr:blipFill>
      <xdr:spPr bwMode="auto">
        <a:xfrm>
          <a:off x="1228725" y="3626291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1915</xdr:row>
      <xdr:rowOff>19050</xdr:rowOff>
    </xdr:from>
    <xdr:to>
      <xdr:col>2</xdr:col>
      <xdr:colOff>1733550</xdr:colOff>
      <xdr:row>1915</xdr:row>
      <xdr:rowOff>1666875</xdr:rowOff>
    </xdr:to>
    <xdr:pic>
      <xdr:nvPicPr>
        <xdr:cNvPr id="1915" name="Picture 1914"/>
        <xdr:cNvPicPr>
          <a:picLocks noChangeAspect="1" noChangeArrowheads="1"/>
        </xdr:cNvPicPr>
      </xdr:nvPicPr>
      <xdr:blipFill>
        <a:blip xmlns:r="http://schemas.openxmlformats.org/officeDocument/2006/relationships" r:embed="rId1913">
          <a:extLst>
            <a:ext uri="{28A0092B-C50C-407E-A947-70E740481C1C}">
              <a14:useLocalDpi xmlns:a14="http://schemas.microsoft.com/office/drawing/2010/main" val="0"/>
            </a:ext>
          </a:extLst>
        </a:blip>
        <a:srcRect/>
        <a:stretch>
          <a:fillRect/>
        </a:stretch>
      </xdr:blipFill>
      <xdr:spPr bwMode="auto">
        <a:xfrm>
          <a:off x="1228725" y="3628205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1916</xdr:row>
      <xdr:rowOff>19050</xdr:rowOff>
    </xdr:from>
    <xdr:to>
      <xdr:col>2</xdr:col>
      <xdr:colOff>1733550</xdr:colOff>
      <xdr:row>1916</xdr:row>
      <xdr:rowOff>1666875</xdr:rowOff>
    </xdr:to>
    <xdr:pic>
      <xdr:nvPicPr>
        <xdr:cNvPr id="1916" name="Picture 1915"/>
        <xdr:cNvPicPr>
          <a:picLocks noChangeAspect="1" noChangeArrowheads="1"/>
        </xdr:cNvPicPr>
      </xdr:nvPicPr>
      <xdr:blipFill>
        <a:blip xmlns:r="http://schemas.openxmlformats.org/officeDocument/2006/relationships" r:embed="rId1914">
          <a:extLst>
            <a:ext uri="{28A0092B-C50C-407E-A947-70E740481C1C}">
              <a14:useLocalDpi xmlns:a14="http://schemas.microsoft.com/office/drawing/2010/main" val="0"/>
            </a:ext>
          </a:extLst>
        </a:blip>
        <a:srcRect/>
        <a:stretch>
          <a:fillRect/>
        </a:stretch>
      </xdr:blipFill>
      <xdr:spPr bwMode="auto">
        <a:xfrm>
          <a:off x="1228725" y="3630120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1917</xdr:row>
      <xdr:rowOff>19050</xdr:rowOff>
    </xdr:from>
    <xdr:to>
      <xdr:col>2</xdr:col>
      <xdr:colOff>1733550</xdr:colOff>
      <xdr:row>1917</xdr:row>
      <xdr:rowOff>1666875</xdr:rowOff>
    </xdr:to>
    <xdr:pic>
      <xdr:nvPicPr>
        <xdr:cNvPr id="1917" name="Picture 1916"/>
        <xdr:cNvPicPr>
          <a:picLocks noChangeAspect="1" noChangeArrowheads="1"/>
        </xdr:cNvPicPr>
      </xdr:nvPicPr>
      <xdr:blipFill>
        <a:blip xmlns:r="http://schemas.openxmlformats.org/officeDocument/2006/relationships" r:embed="rId1915">
          <a:extLst>
            <a:ext uri="{28A0092B-C50C-407E-A947-70E740481C1C}">
              <a14:useLocalDpi xmlns:a14="http://schemas.microsoft.com/office/drawing/2010/main" val="0"/>
            </a:ext>
          </a:extLst>
        </a:blip>
        <a:srcRect/>
        <a:stretch>
          <a:fillRect/>
        </a:stretch>
      </xdr:blipFill>
      <xdr:spPr bwMode="auto">
        <a:xfrm>
          <a:off x="1228725" y="3632034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1918</xdr:row>
      <xdr:rowOff>19050</xdr:rowOff>
    </xdr:from>
    <xdr:to>
      <xdr:col>2</xdr:col>
      <xdr:colOff>1733550</xdr:colOff>
      <xdr:row>1918</xdr:row>
      <xdr:rowOff>1666875</xdr:rowOff>
    </xdr:to>
    <xdr:pic>
      <xdr:nvPicPr>
        <xdr:cNvPr id="1918" name="Picture 1917"/>
        <xdr:cNvPicPr>
          <a:picLocks noChangeAspect="1" noChangeArrowheads="1"/>
        </xdr:cNvPicPr>
      </xdr:nvPicPr>
      <xdr:blipFill>
        <a:blip xmlns:r="http://schemas.openxmlformats.org/officeDocument/2006/relationships" r:embed="rId1916">
          <a:extLst>
            <a:ext uri="{28A0092B-C50C-407E-A947-70E740481C1C}">
              <a14:useLocalDpi xmlns:a14="http://schemas.microsoft.com/office/drawing/2010/main" val="0"/>
            </a:ext>
          </a:extLst>
        </a:blip>
        <a:srcRect/>
        <a:stretch>
          <a:fillRect/>
        </a:stretch>
      </xdr:blipFill>
      <xdr:spPr bwMode="auto">
        <a:xfrm>
          <a:off x="1228725" y="3633949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1919</xdr:row>
      <xdr:rowOff>19050</xdr:rowOff>
    </xdr:from>
    <xdr:to>
      <xdr:col>2</xdr:col>
      <xdr:colOff>1733550</xdr:colOff>
      <xdr:row>1919</xdr:row>
      <xdr:rowOff>1666875</xdr:rowOff>
    </xdr:to>
    <xdr:pic>
      <xdr:nvPicPr>
        <xdr:cNvPr id="1919" name="Picture 1918"/>
        <xdr:cNvPicPr>
          <a:picLocks noChangeAspect="1" noChangeArrowheads="1"/>
        </xdr:cNvPicPr>
      </xdr:nvPicPr>
      <xdr:blipFill>
        <a:blip xmlns:r="http://schemas.openxmlformats.org/officeDocument/2006/relationships" r:embed="rId1917">
          <a:extLst>
            <a:ext uri="{28A0092B-C50C-407E-A947-70E740481C1C}">
              <a14:useLocalDpi xmlns:a14="http://schemas.microsoft.com/office/drawing/2010/main" val="0"/>
            </a:ext>
          </a:extLst>
        </a:blip>
        <a:srcRect/>
        <a:stretch>
          <a:fillRect/>
        </a:stretch>
      </xdr:blipFill>
      <xdr:spPr bwMode="auto">
        <a:xfrm>
          <a:off x="1228725" y="3635863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1920</xdr:row>
      <xdr:rowOff>19050</xdr:rowOff>
    </xdr:from>
    <xdr:to>
      <xdr:col>2</xdr:col>
      <xdr:colOff>1733550</xdr:colOff>
      <xdr:row>1920</xdr:row>
      <xdr:rowOff>1647825</xdr:rowOff>
    </xdr:to>
    <xdr:pic>
      <xdr:nvPicPr>
        <xdr:cNvPr id="1920" name="Picture 1919"/>
        <xdr:cNvPicPr>
          <a:picLocks noChangeAspect="1" noChangeArrowheads="1"/>
        </xdr:cNvPicPr>
      </xdr:nvPicPr>
      <xdr:blipFill>
        <a:blip xmlns:r="http://schemas.openxmlformats.org/officeDocument/2006/relationships" r:embed="rId1918">
          <a:extLst>
            <a:ext uri="{28A0092B-C50C-407E-A947-70E740481C1C}">
              <a14:useLocalDpi xmlns:a14="http://schemas.microsoft.com/office/drawing/2010/main" val="0"/>
            </a:ext>
          </a:extLst>
        </a:blip>
        <a:srcRect/>
        <a:stretch>
          <a:fillRect/>
        </a:stretch>
      </xdr:blipFill>
      <xdr:spPr bwMode="auto">
        <a:xfrm>
          <a:off x="1228725" y="36377784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1921</xdr:row>
      <xdr:rowOff>9525</xdr:rowOff>
    </xdr:from>
    <xdr:to>
      <xdr:col>2</xdr:col>
      <xdr:colOff>1733550</xdr:colOff>
      <xdr:row>1921</xdr:row>
      <xdr:rowOff>1524000</xdr:rowOff>
    </xdr:to>
    <xdr:pic>
      <xdr:nvPicPr>
        <xdr:cNvPr id="1921" name="Picture 1920"/>
        <xdr:cNvPicPr>
          <a:picLocks noChangeAspect="1" noChangeArrowheads="1"/>
        </xdr:cNvPicPr>
      </xdr:nvPicPr>
      <xdr:blipFill>
        <a:blip xmlns:r="http://schemas.openxmlformats.org/officeDocument/2006/relationships" r:embed="rId1919">
          <a:extLst>
            <a:ext uri="{28A0092B-C50C-407E-A947-70E740481C1C}">
              <a14:useLocalDpi xmlns:a14="http://schemas.microsoft.com/office/drawing/2010/main" val="0"/>
            </a:ext>
          </a:extLst>
        </a:blip>
        <a:srcRect/>
        <a:stretch>
          <a:fillRect/>
        </a:stretch>
      </xdr:blipFill>
      <xdr:spPr bwMode="auto">
        <a:xfrm>
          <a:off x="1228725" y="3639664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1922</xdr:row>
      <xdr:rowOff>19050</xdr:rowOff>
    </xdr:from>
    <xdr:to>
      <xdr:col>2</xdr:col>
      <xdr:colOff>1733550</xdr:colOff>
      <xdr:row>1922</xdr:row>
      <xdr:rowOff>1666875</xdr:rowOff>
    </xdr:to>
    <xdr:pic>
      <xdr:nvPicPr>
        <xdr:cNvPr id="1922" name="Picture 1921"/>
        <xdr:cNvPicPr>
          <a:picLocks noChangeAspect="1" noChangeArrowheads="1"/>
        </xdr:cNvPicPr>
      </xdr:nvPicPr>
      <xdr:blipFill>
        <a:blip xmlns:r="http://schemas.openxmlformats.org/officeDocument/2006/relationships" r:embed="rId1920">
          <a:extLst>
            <a:ext uri="{28A0092B-C50C-407E-A947-70E740481C1C}">
              <a14:useLocalDpi xmlns:a14="http://schemas.microsoft.com/office/drawing/2010/main" val="0"/>
            </a:ext>
          </a:extLst>
        </a:blip>
        <a:srcRect/>
        <a:stretch>
          <a:fillRect/>
        </a:stretch>
      </xdr:blipFill>
      <xdr:spPr bwMode="auto">
        <a:xfrm>
          <a:off x="1228725" y="3641426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1923</xdr:row>
      <xdr:rowOff>19050</xdr:rowOff>
    </xdr:from>
    <xdr:to>
      <xdr:col>2</xdr:col>
      <xdr:colOff>1733550</xdr:colOff>
      <xdr:row>1923</xdr:row>
      <xdr:rowOff>1666875</xdr:rowOff>
    </xdr:to>
    <xdr:pic>
      <xdr:nvPicPr>
        <xdr:cNvPr id="1923" name="Picture 1922"/>
        <xdr:cNvPicPr>
          <a:picLocks noChangeAspect="1" noChangeArrowheads="1"/>
        </xdr:cNvPicPr>
      </xdr:nvPicPr>
      <xdr:blipFill>
        <a:blip xmlns:r="http://schemas.openxmlformats.org/officeDocument/2006/relationships" r:embed="rId1921">
          <a:extLst>
            <a:ext uri="{28A0092B-C50C-407E-A947-70E740481C1C}">
              <a14:useLocalDpi xmlns:a14="http://schemas.microsoft.com/office/drawing/2010/main" val="0"/>
            </a:ext>
          </a:extLst>
        </a:blip>
        <a:srcRect/>
        <a:stretch>
          <a:fillRect/>
        </a:stretch>
      </xdr:blipFill>
      <xdr:spPr bwMode="auto">
        <a:xfrm>
          <a:off x="1228725" y="3643341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1924</xdr:row>
      <xdr:rowOff>19050</xdr:rowOff>
    </xdr:from>
    <xdr:to>
      <xdr:col>2</xdr:col>
      <xdr:colOff>1733550</xdr:colOff>
      <xdr:row>1924</xdr:row>
      <xdr:rowOff>1666875</xdr:rowOff>
    </xdr:to>
    <xdr:pic>
      <xdr:nvPicPr>
        <xdr:cNvPr id="1924" name="Picture 1923"/>
        <xdr:cNvPicPr>
          <a:picLocks noChangeAspect="1" noChangeArrowheads="1"/>
        </xdr:cNvPicPr>
      </xdr:nvPicPr>
      <xdr:blipFill>
        <a:blip xmlns:r="http://schemas.openxmlformats.org/officeDocument/2006/relationships" r:embed="rId1922">
          <a:extLst>
            <a:ext uri="{28A0092B-C50C-407E-A947-70E740481C1C}">
              <a14:useLocalDpi xmlns:a14="http://schemas.microsoft.com/office/drawing/2010/main" val="0"/>
            </a:ext>
          </a:extLst>
        </a:blip>
        <a:srcRect/>
        <a:stretch>
          <a:fillRect/>
        </a:stretch>
      </xdr:blipFill>
      <xdr:spPr bwMode="auto">
        <a:xfrm>
          <a:off x="1228725" y="3645255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1925</xdr:row>
      <xdr:rowOff>9525</xdr:rowOff>
    </xdr:from>
    <xdr:to>
      <xdr:col>2</xdr:col>
      <xdr:colOff>1733550</xdr:colOff>
      <xdr:row>1925</xdr:row>
      <xdr:rowOff>1524000</xdr:rowOff>
    </xdr:to>
    <xdr:pic>
      <xdr:nvPicPr>
        <xdr:cNvPr id="1925" name="Picture 1924"/>
        <xdr:cNvPicPr>
          <a:picLocks noChangeAspect="1" noChangeArrowheads="1"/>
        </xdr:cNvPicPr>
      </xdr:nvPicPr>
      <xdr:blipFill>
        <a:blip xmlns:r="http://schemas.openxmlformats.org/officeDocument/2006/relationships" r:embed="rId1923">
          <a:extLst>
            <a:ext uri="{28A0092B-C50C-407E-A947-70E740481C1C}">
              <a14:useLocalDpi xmlns:a14="http://schemas.microsoft.com/office/drawing/2010/main" val="0"/>
            </a:ext>
          </a:extLst>
        </a:blip>
        <a:srcRect/>
        <a:stretch>
          <a:fillRect/>
        </a:stretch>
      </xdr:blipFill>
      <xdr:spPr bwMode="auto">
        <a:xfrm>
          <a:off x="1228725" y="3647160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1926</xdr:row>
      <xdr:rowOff>9525</xdr:rowOff>
    </xdr:from>
    <xdr:to>
      <xdr:col>2</xdr:col>
      <xdr:colOff>1733550</xdr:colOff>
      <xdr:row>1926</xdr:row>
      <xdr:rowOff>1524000</xdr:rowOff>
    </xdr:to>
    <xdr:pic>
      <xdr:nvPicPr>
        <xdr:cNvPr id="1926" name="Picture 1925"/>
        <xdr:cNvPicPr>
          <a:picLocks noChangeAspect="1" noChangeArrowheads="1"/>
        </xdr:cNvPicPr>
      </xdr:nvPicPr>
      <xdr:blipFill>
        <a:blip xmlns:r="http://schemas.openxmlformats.org/officeDocument/2006/relationships" r:embed="rId1924">
          <a:extLst>
            <a:ext uri="{28A0092B-C50C-407E-A947-70E740481C1C}">
              <a14:useLocalDpi xmlns:a14="http://schemas.microsoft.com/office/drawing/2010/main" val="0"/>
            </a:ext>
          </a:extLst>
        </a:blip>
        <a:srcRect/>
        <a:stretch>
          <a:fillRect/>
        </a:stretch>
      </xdr:blipFill>
      <xdr:spPr bwMode="auto">
        <a:xfrm>
          <a:off x="1228725" y="3648913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1927</xdr:row>
      <xdr:rowOff>19050</xdr:rowOff>
    </xdr:from>
    <xdr:to>
      <xdr:col>2</xdr:col>
      <xdr:colOff>1733550</xdr:colOff>
      <xdr:row>1927</xdr:row>
      <xdr:rowOff>1666875</xdr:rowOff>
    </xdr:to>
    <xdr:pic>
      <xdr:nvPicPr>
        <xdr:cNvPr id="1927" name="Picture 1926"/>
        <xdr:cNvPicPr>
          <a:picLocks noChangeAspect="1" noChangeArrowheads="1"/>
        </xdr:cNvPicPr>
      </xdr:nvPicPr>
      <xdr:blipFill>
        <a:blip xmlns:r="http://schemas.openxmlformats.org/officeDocument/2006/relationships" r:embed="rId1925">
          <a:extLst>
            <a:ext uri="{28A0092B-C50C-407E-A947-70E740481C1C}">
              <a14:useLocalDpi xmlns:a14="http://schemas.microsoft.com/office/drawing/2010/main" val="0"/>
            </a:ext>
          </a:extLst>
        </a:blip>
        <a:srcRect/>
        <a:stretch>
          <a:fillRect/>
        </a:stretch>
      </xdr:blipFill>
      <xdr:spPr bwMode="auto">
        <a:xfrm>
          <a:off x="1228725" y="3650675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1928</xdr:row>
      <xdr:rowOff>19050</xdr:rowOff>
    </xdr:from>
    <xdr:to>
      <xdr:col>2</xdr:col>
      <xdr:colOff>1733550</xdr:colOff>
      <xdr:row>1928</xdr:row>
      <xdr:rowOff>1666875</xdr:rowOff>
    </xdr:to>
    <xdr:pic>
      <xdr:nvPicPr>
        <xdr:cNvPr id="1928" name="Picture 1927"/>
        <xdr:cNvPicPr>
          <a:picLocks noChangeAspect="1" noChangeArrowheads="1"/>
        </xdr:cNvPicPr>
      </xdr:nvPicPr>
      <xdr:blipFill>
        <a:blip xmlns:r="http://schemas.openxmlformats.org/officeDocument/2006/relationships" r:embed="rId1926">
          <a:extLst>
            <a:ext uri="{28A0092B-C50C-407E-A947-70E740481C1C}">
              <a14:useLocalDpi xmlns:a14="http://schemas.microsoft.com/office/drawing/2010/main" val="0"/>
            </a:ext>
          </a:extLst>
        </a:blip>
        <a:srcRect/>
        <a:stretch>
          <a:fillRect/>
        </a:stretch>
      </xdr:blipFill>
      <xdr:spPr bwMode="auto">
        <a:xfrm>
          <a:off x="1228725" y="3652589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1929</xdr:row>
      <xdr:rowOff>19050</xdr:rowOff>
    </xdr:from>
    <xdr:to>
      <xdr:col>2</xdr:col>
      <xdr:colOff>1733550</xdr:colOff>
      <xdr:row>1929</xdr:row>
      <xdr:rowOff>1666875</xdr:rowOff>
    </xdr:to>
    <xdr:pic>
      <xdr:nvPicPr>
        <xdr:cNvPr id="1929" name="Picture 1928"/>
        <xdr:cNvPicPr>
          <a:picLocks noChangeAspect="1" noChangeArrowheads="1"/>
        </xdr:cNvPicPr>
      </xdr:nvPicPr>
      <xdr:blipFill>
        <a:blip xmlns:r="http://schemas.openxmlformats.org/officeDocument/2006/relationships" r:embed="rId1927">
          <a:extLst>
            <a:ext uri="{28A0092B-C50C-407E-A947-70E740481C1C}">
              <a14:useLocalDpi xmlns:a14="http://schemas.microsoft.com/office/drawing/2010/main" val="0"/>
            </a:ext>
          </a:extLst>
        </a:blip>
        <a:srcRect/>
        <a:stretch>
          <a:fillRect/>
        </a:stretch>
      </xdr:blipFill>
      <xdr:spPr bwMode="auto">
        <a:xfrm>
          <a:off x="1228725" y="3654504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1930</xdr:row>
      <xdr:rowOff>9525</xdr:rowOff>
    </xdr:from>
    <xdr:to>
      <xdr:col>2</xdr:col>
      <xdr:colOff>1733550</xdr:colOff>
      <xdr:row>1930</xdr:row>
      <xdr:rowOff>1524000</xdr:rowOff>
    </xdr:to>
    <xdr:pic>
      <xdr:nvPicPr>
        <xdr:cNvPr id="1930" name="Picture 1929"/>
        <xdr:cNvPicPr>
          <a:picLocks noChangeAspect="1" noChangeArrowheads="1"/>
        </xdr:cNvPicPr>
      </xdr:nvPicPr>
      <xdr:blipFill>
        <a:blip xmlns:r="http://schemas.openxmlformats.org/officeDocument/2006/relationships" r:embed="rId1928">
          <a:extLst>
            <a:ext uri="{28A0092B-C50C-407E-A947-70E740481C1C}">
              <a14:useLocalDpi xmlns:a14="http://schemas.microsoft.com/office/drawing/2010/main" val="0"/>
            </a:ext>
          </a:extLst>
        </a:blip>
        <a:srcRect/>
        <a:stretch>
          <a:fillRect/>
        </a:stretch>
      </xdr:blipFill>
      <xdr:spPr bwMode="auto">
        <a:xfrm>
          <a:off x="1228725" y="3656409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1931</xdr:row>
      <xdr:rowOff>19050</xdr:rowOff>
    </xdr:from>
    <xdr:to>
      <xdr:col>2</xdr:col>
      <xdr:colOff>1733550</xdr:colOff>
      <xdr:row>1931</xdr:row>
      <xdr:rowOff>1666875</xdr:rowOff>
    </xdr:to>
    <xdr:pic>
      <xdr:nvPicPr>
        <xdr:cNvPr id="1931" name="Picture 1930"/>
        <xdr:cNvPicPr>
          <a:picLocks noChangeAspect="1" noChangeArrowheads="1"/>
        </xdr:cNvPicPr>
      </xdr:nvPicPr>
      <xdr:blipFill>
        <a:blip xmlns:r="http://schemas.openxmlformats.org/officeDocument/2006/relationships" r:embed="rId1929">
          <a:extLst>
            <a:ext uri="{28A0092B-C50C-407E-A947-70E740481C1C}">
              <a14:useLocalDpi xmlns:a14="http://schemas.microsoft.com/office/drawing/2010/main" val="0"/>
            </a:ext>
          </a:extLst>
        </a:blip>
        <a:srcRect/>
        <a:stretch>
          <a:fillRect/>
        </a:stretch>
      </xdr:blipFill>
      <xdr:spPr bwMode="auto">
        <a:xfrm>
          <a:off x="1228725" y="3658171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1932</xdr:row>
      <xdr:rowOff>19050</xdr:rowOff>
    </xdr:from>
    <xdr:to>
      <xdr:col>2</xdr:col>
      <xdr:colOff>1733550</xdr:colOff>
      <xdr:row>1932</xdr:row>
      <xdr:rowOff>1666875</xdr:rowOff>
    </xdr:to>
    <xdr:pic>
      <xdr:nvPicPr>
        <xdr:cNvPr id="1932" name="Picture 1931"/>
        <xdr:cNvPicPr>
          <a:picLocks noChangeAspect="1" noChangeArrowheads="1"/>
        </xdr:cNvPicPr>
      </xdr:nvPicPr>
      <xdr:blipFill>
        <a:blip xmlns:r="http://schemas.openxmlformats.org/officeDocument/2006/relationships" r:embed="rId1930">
          <a:extLst>
            <a:ext uri="{28A0092B-C50C-407E-A947-70E740481C1C}">
              <a14:useLocalDpi xmlns:a14="http://schemas.microsoft.com/office/drawing/2010/main" val="0"/>
            </a:ext>
          </a:extLst>
        </a:blip>
        <a:srcRect/>
        <a:stretch>
          <a:fillRect/>
        </a:stretch>
      </xdr:blipFill>
      <xdr:spPr bwMode="auto">
        <a:xfrm>
          <a:off x="1228725" y="3660086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1933</xdr:row>
      <xdr:rowOff>19050</xdr:rowOff>
    </xdr:from>
    <xdr:to>
      <xdr:col>2</xdr:col>
      <xdr:colOff>1733550</xdr:colOff>
      <xdr:row>1933</xdr:row>
      <xdr:rowOff>1666875</xdr:rowOff>
    </xdr:to>
    <xdr:pic>
      <xdr:nvPicPr>
        <xdr:cNvPr id="1933" name="Picture 1932"/>
        <xdr:cNvPicPr>
          <a:picLocks noChangeAspect="1" noChangeArrowheads="1"/>
        </xdr:cNvPicPr>
      </xdr:nvPicPr>
      <xdr:blipFill>
        <a:blip xmlns:r="http://schemas.openxmlformats.org/officeDocument/2006/relationships" r:embed="rId1931">
          <a:extLst>
            <a:ext uri="{28A0092B-C50C-407E-A947-70E740481C1C}">
              <a14:useLocalDpi xmlns:a14="http://schemas.microsoft.com/office/drawing/2010/main" val="0"/>
            </a:ext>
          </a:extLst>
        </a:blip>
        <a:srcRect/>
        <a:stretch>
          <a:fillRect/>
        </a:stretch>
      </xdr:blipFill>
      <xdr:spPr bwMode="auto">
        <a:xfrm>
          <a:off x="1228725" y="366200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1934</xdr:row>
      <xdr:rowOff>19050</xdr:rowOff>
    </xdr:from>
    <xdr:to>
      <xdr:col>2</xdr:col>
      <xdr:colOff>1733550</xdr:colOff>
      <xdr:row>1934</xdr:row>
      <xdr:rowOff>1666875</xdr:rowOff>
    </xdr:to>
    <xdr:pic>
      <xdr:nvPicPr>
        <xdr:cNvPr id="1934" name="Picture 1933"/>
        <xdr:cNvPicPr>
          <a:picLocks noChangeAspect="1" noChangeArrowheads="1"/>
        </xdr:cNvPicPr>
      </xdr:nvPicPr>
      <xdr:blipFill>
        <a:blip xmlns:r="http://schemas.openxmlformats.org/officeDocument/2006/relationships" r:embed="rId1932">
          <a:extLst>
            <a:ext uri="{28A0092B-C50C-407E-A947-70E740481C1C}">
              <a14:useLocalDpi xmlns:a14="http://schemas.microsoft.com/office/drawing/2010/main" val="0"/>
            </a:ext>
          </a:extLst>
        </a:blip>
        <a:srcRect/>
        <a:stretch>
          <a:fillRect/>
        </a:stretch>
      </xdr:blipFill>
      <xdr:spPr bwMode="auto">
        <a:xfrm>
          <a:off x="1228725" y="366391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1935</xdr:row>
      <xdr:rowOff>19050</xdr:rowOff>
    </xdr:from>
    <xdr:to>
      <xdr:col>2</xdr:col>
      <xdr:colOff>1733550</xdr:colOff>
      <xdr:row>1935</xdr:row>
      <xdr:rowOff>1666875</xdr:rowOff>
    </xdr:to>
    <xdr:pic>
      <xdr:nvPicPr>
        <xdr:cNvPr id="1935" name="Picture 1934"/>
        <xdr:cNvPicPr>
          <a:picLocks noChangeAspect="1" noChangeArrowheads="1"/>
        </xdr:cNvPicPr>
      </xdr:nvPicPr>
      <xdr:blipFill>
        <a:blip xmlns:r="http://schemas.openxmlformats.org/officeDocument/2006/relationships" r:embed="rId1933">
          <a:extLst>
            <a:ext uri="{28A0092B-C50C-407E-A947-70E740481C1C}">
              <a14:useLocalDpi xmlns:a14="http://schemas.microsoft.com/office/drawing/2010/main" val="0"/>
            </a:ext>
          </a:extLst>
        </a:blip>
        <a:srcRect/>
        <a:stretch>
          <a:fillRect/>
        </a:stretch>
      </xdr:blipFill>
      <xdr:spPr bwMode="auto">
        <a:xfrm>
          <a:off x="1228725" y="366582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1936</xdr:row>
      <xdr:rowOff>19050</xdr:rowOff>
    </xdr:from>
    <xdr:to>
      <xdr:col>2</xdr:col>
      <xdr:colOff>1733550</xdr:colOff>
      <xdr:row>1936</xdr:row>
      <xdr:rowOff>1647825</xdr:rowOff>
    </xdr:to>
    <xdr:pic>
      <xdr:nvPicPr>
        <xdr:cNvPr id="1936" name="Picture 1935"/>
        <xdr:cNvPicPr>
          <a:picLocks noChangeAspect="1" noChangeArrowheads="1"/>
        </xdr:cNvPicPr>
      </xdr:nvPicPr>
      <xdr:blipFill>
        <a:blip xmlns:r="http://schemas.openxmlformats.org/officeDocument/2006/relationships" r:embed="rId1934">
          <a:extLst>
            <a:ext uri="{28A0092B-C50C-407E-A947-70E740481C1C}">
              <a14:useLocalDpi xmlns:a14="http://schemas.microsoft.com/office/drawing/2010/main" val="0"/>
            </a:ext>
          </a:extLst>
        </a:blip>
        <a:srcRect/>
        <a:stretch>
          <a:fillRect/>
        </a:stretch>
      </xdr:blipFill>
      <xdr:spPr bwMode="auto">
        <a:xfrm>
          <a:off x="1228725" y="3667744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1937</xdr:row>
      <xdr:rowOff>9525</xdr:rowOff>
    </xdr:from>
    <xdr:to>
      <xdr:col>2</xdr:col>
      <xdr:colOff>1733550</xdr:colOff>
      <xdr:row>1937</xdr:row>
      <xdr:rowOff>1524000</xdr:rowOff>
    </xdr:to>
    <xdr:pic>
      <xdr:nvPicPr>
        <xdr:cNvPr id="1937" name="Picture 1936"/>
        <xdr:cNvPicPr>
          <a:picLocks noChangeAspect="1" noChangeArrowheads="1"/>
        </xdr:cNvPicPr>
      </xdr:nvPicPr>
      <xdr:blipFill>
        <a:blip xmlns:r="http://schemas.openxmlformats.org/officeDocument/2006/relationships" r:embed="rId1935">
          <a:extLst>
            <a:ext uri="{28A0092B-C50C-407E-A947-70E740481C1C}">
              <a14:useLocalDpi xmlns:a14="http://schemas.microsoft.com/office/drawing/2010/main" val="0"/>
            </a:ext>
          </a:extLst>
        </a:blip>
        <a:srcRect/>
        <a:stretch>
          <a:fillRect/>
        </a:stretch>
      </xdr:blipFill>
      <xdr:spPr bwMode="auto">
        <a:xfrm>
          <a:off x="1228725" y="3669630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1938</xdr:row>
      <xdr:rowOff>19050</xdr:rowOff>
    </xdr:from>
    <xdr:to>
      <xdr:col>2</xdr:col>
      <xdr:colOff>1733550</xdr:colOff>
      <xdr:row>1938</xdr:row>
      <xdr:rowOff>1666875</xdr:rowOff>
    </xdr:to>
    <xdr:pic>
      <xdr:nvPicPr>
        <xdr:cNvPr id="1938" name="Picture 1937"/>
        <xdr:cNvPicPr>
          <a:picLocks noChangeAspect="1" noChangeArrowheads="1"/>
        </xdr:cNvPicPr>
      </xdr:nvPicPr>
      <xdr:blipFill>
        <a:blip xmlns:r="http://schemas.openxmlformats.org/officeDocument/2006/relationships" r:embed="rId1936">
          <a:extLst>
            <a:ext uri="{28A0092B-C50C-407E-A947-70E740481C1C}">
              <a14:useLocalDpi xmlns:a14="http://schemas.microsoft.com/office/drawing/2010/main" val="0"/>
            </a:ext>
          </a:extLst>
        </a:blip>
        <a:srcRect/>
        <a:stretch>
          <a:fillRect/>
        </a:stretch>
      </xdr:blipFill>
      <xdr:spPr bwMode="auto">
        <a:xfrm>
          <a:off x="1228725" y="3671392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1939</xdr:row>
      <xdr:rowOff>19050</xdr:rowOff>
    </xdr:from>
    <xdr:to>
      <xdr:col>2</xdr:col>
      <xdr:colOff>1733550</xdr:colOff>
      <xdr:row>1939</xdr:row>
      <xdr:rowOff>1666875</xdr:rowOff>
    </xdr:to>
    <xdr:pic>
      <xdr:nvPicPr>
        <xdr:cNvPr id="1939" name="Picture 1938"/>
        <xdr:cNvPicPr>
          <a:picLocks noChangeAspect="1" noChangeArrowheads="1"/>
        </xdr:cNvPicPr>
      </xdr:nvPicPr>
      <xdr:blipFill>
        <a:blip xmlns:r="http://schemas.openxmlformats.org/officeDocument/2006/relationships" r:embed="rId1937">
          <a:extLst>
            <a:ext uri="{28A0092B-C50C-407E-A947-70E740481C1C}">
              <a14:useLocalDpi xmlns:a14="http://schemas.microsoft.com/office/drawing/2010/main" val="0"/>
            </a:ext>
          </a:extLst>
        </a:blip>
        <a:srcRect/>
        <a:stretch>
          <a:fillRect/>
        </a:stretch>
      </xdr:blipFill>
      <xdr:spPr bwMode="auto">
        <a:xfrm>
          <a:off x="1228725" y="3673306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1940</xdr:row>
      <xdr:rowOff>19050</xdr:rowOff>
    </xdr:from>
    <xdr:to>
      <xdr:col>2</xdr:col>
      <xdr:colOff>1733550</xdr:colOff>
      <xdr:row>1940</xdr:row>
      <xdr:rowOff>1666875</xdr:rowOff>
    </xdr:to>
    <xdr:pic>
      <xdr:nvPicPr>
        <xdr:cNvPr id="1940" name="Picture 1939"/>
        <xdr:cNvPicPr>
          <a:picLocks noChangeAspect="1" noChangeArrowheads="1"/>
        </xdr:cNvPicPr>
      </xdr:nvPicPr>
      <xdr:blipFill>
        <a:blip xmlns:r="http://schemas.openxmlformats.org/officeDocument/2006/relationships" r:embed="rId1938">
          <a:extLst>
            <a:ext uri="{28A0092B-C50C-407E-A947-70E740481C1C}">
              <a14:useLocalDpi xmlns:a14="http://schemas.microsoft.com/office/drawing/2010/main" val="0"/>
            </a:ext>
          </a:extLst>
        </a:blip>
        <a:srcRect/>
        <a:stretch>
          <a:fillRect/>
        </a:stretch>
      </xdr:blipFill>
      <xdr:spPr bwMode="auto">
        <a:xfrm>
          <a:off x="1228725" y="3675221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1941</xdr:row>
      <xdr:rowOff>9525</xdr:rowOff>
    </xdr:from>
    <xdr:to>
      <xdr:col>2</xdr:col>
      <xdr:colOff>1733550</xdr:colOff>
      <xdr:row>1941</xdr:row>
      <xdr:rowOff>1524000</xdr:rowOff>
    </xdr:to>
    <xdr:pic>
      <xdr:nvPicPr>
        <xdr:cNvPr id="1941" name="Picture 1940"/>
        <xdr:cNvPicPr>
          <a:picLocks noChangeAspect="1" noChangeArrowheads="1"/>
        </xdr:cNvPicPr>
      </xdr:nvPicPr>
      <xdr:blipFill>
        <a:blip xmlns:r="http://schemas.openxmlformats.org/officeDocument/2006/relationships" r:embed="rId1939">
          <a:extLst>
            <a:ext uri="{28A0092B-C50C-407E-A947-70E740481C1C}">
              <a14:useLocalDpi xmlns:a14="http://schemas.microsoft.com/office/drawing/2010/main" val="0"/>
            </a:ext>
          </a:extLst>
        </a:blip>
        <a:srcRect/>
        <a:stretch>
          <a:fillRect/>
        </a:stretch>
      </xdr:blipFill>
      <xdr:spPr bwMode="auto">
        <a:xfrm>
          <a:off x="1228725" y="36771262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1942</xdr:row>
      <xdr:rowOff>9525</xdr:rowOff>
    </xdr:from>
    <xdr:to>
      <xdr:col>2</xdr:col>
      <xdr:colOff>1733550</xdr:colOff>
      <xdr:row>1942</xdr:row>
      <xdr:rowOff>1524000</xdr:rowOff>
    </xdr:to>
    <xdr:pic>
      <xdr:nvPicPr>
        <xdr:cNvPr id="1942" name="Picture 1941"/>
        <xdr:cNvPicPr>
          <a:picLocks noChangeAspect="1" noChangeArrowheads="1"/>
        </xdr:cNvPicPr>
      </xdr:nvPicPr>
      <xdr:blipFill>
        <a:blip xmlns:r="http://schemas.openxmlformats.org/officeDocument/2006/relationships" r:embed="rId1940">
          <a:extLst>
            <a:ext uri="{28A0092B-C50C-407E-A947-70E740481C1C}">
              <a14:useLocalDpi xmlns:a14="http://schemas.microsoft.com/office/drawing/2010/main" val="0"/>
            </a:ext>
          </a:extLst>
        </a:blip>
        <a:srcRect/>
        <a:stretch>
          <a:fillRect/>
        </a:stretch>
      </xdr:blipFill>
      <xdr:spPr bwMode="auto">
        <a:xfrm>
          <a:off x="1228725" y="36788788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1943</xdr:row>
      <xdr:rowOff>9525</xdr:rowOff>
    </xdr:from>
    <xdr:to>
      <xdr:col>2</xdr:col>
      <xdr:colOff>1733550</xdr:colOff>
      <xdr:row>1943</xdr:row>
      <xdr:rowOff>1524000</xdr:rowOff>
    </xdr:to>
    <xdr:pic>
      <xdr:nvPicPr>
        <xdr:cNvPr id="1943" name="Picture 1942"/>
        <xdr:cNvPicPr>
          <a:picLocks noChangeAspect="1" noChangeArrowheads="1"/>
        </xdr:cNvPicPr>
      </xdr:nvPicPr>
      <xdr:blipFill>
        <a:blip xmlns:r="http://schemas.openxmlformats.org/officeDocument/2006/relationships" r:embed="rId1941">
          <a:extLst>
            <a:ext uri="{28A0092B-C50C-407E-A947-70E740481C1C}">
              <a14:useLocalDpi xmlns:a14="http://schemas.microsoft.com/office/drawing/2010/main" val="0"/>
            </a:ext>
          </a:extLst>
        </a:blip>
        <a:srcRect/>
        <a:stretch>
          <a:fillRect/>
        </a:stretch>
      </xdr:blipFill>
      <xdr:spPr bwMode="auto">
        <a:xfrm>
          <a:off x="1228725" y="3680631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1944</xdr:row>
      <xdr:rowOff>19050</xdr:rowOff>
    </xdr:from>
    <xdr:to>
      <xdr:col>2</xdr:col>
      <xdr:colOff>1733550</xdr:colOff>
      <xdr:row>1944</xdr:row>
      <xdr:rowOff>1685925</xdr:rowOff>
    </xdr:to>
    <xdr:pic>
      <xdr:nvPicPr>
        <xdr:cNvPr id="1944" name="Picture 1943"/>
        <xdr:cNvPicPr>
          <a:picLocks noChangeAspect="1" noChangeArrowheads="1"/>
        </xdr:cNvPicPr>
      </xdr:nvPicPr>
      <xdr:blipFill>
        <a:blip xmlns:r="http://schemas.openxmlformats.org/officeDocument/2006/relationships" r:embed="rId1942">
          <a:extLst>
            <a:ext uri="{28A0092B-C50C-407E-A947-70E740481C1C}">
              <a14:useLocalDpi xmlns:a14="http://schemas.microsoft.com/office/drawing/2010/main" val="0"/>
            </a:ext>
          </a:extLst>
        </a:blip>
        <a:srcRect/>
        <a:stretch>
          <a:fillRect/>
        </a:stretch>
      </xdr:blipFill>
      <xdr:spPr bwMode="auto">
        <a:xfrm>
          <a:off x="1228725" y="36823935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1945</xdr:row>
      <xdr:rowOff>19050</xdr:rowOff>
    </xdr:from>
    <xdr:to>
      <xdr:col>2</xdr:col>
      <xdr:colOff>1733550</xdr:colOff>
      <xdr:row>1945</xdr:row>
      <xdr:rowOff>1685925</xdr:rowOff>
    </xdr:to>
    <xdr:pic>
      <xdr:nvPicPr>
        <xdr:cNvPr id="1945" name="Picture 1944"/>
        <xdr:cNvPicPr>
          <a:picLocks noChangeAspect="1" noChangeArrowheads="1"/>
        </xdr:cNvPicPr>
      </xdr:nvPicPr>
      <xdr:blipFill>
        <a:blip xmlns:r="http://schemas.openxmlformats.org/officeDocument/2006/relationships" r:embed="rId1943">
          <a:extLst>
            <a:ext uri="{28A0092B-C50C-407E-A947-70E740481C1C}">
              <a14:useLocalDpi xmlns:a14="http://schemas.microsoft.com/office/drawing/2010/main" val="0"/>
            </a:ext>
          </a:extLst>
        </a:blip>
        <a:srcRect/>
        <a:stretch>
          <a:fillRect/>
        </a:stretch>
      </xdr:blipFill>
      <xdr:spPr bwMode="auto">
        <a:xfrm>
          <a:off x="1228725" y="36843366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1946</xdr:row>
      <xdr:rowOff>19050</xdr:rowOff>
    </xdr:from>
    <xdr:to>
      <xdr:col>2</xdr:col>
      <xdr:colOff>1733550</xdr:colOff>
      <xdr:row>1946</xdr:row>
      <xdr:rowOff>1685925</xdr:rowOff>
    </xdr:to>
    <xdr:pic>
      <xdr:nvPicPr>
        <xdr:cNvPr id="1946" name="Picture 1945"/>
        <xdr:cNvPicPr>
          <a:picLocks noChangeAspect="1" noChangeArrowheads="1"/>
        </xdr:cNvPicPr>
      </xdr:nvPicPr>
      <xdr:blipFill>
        <a:blip xmlns:r="http://schemas.openxmlformats.org/officeDocument/2006/relationships" r:embed="rId1944">
          <a:extLst>
            <a:ext uri="{28A0092B-C50C-407E-A947-70E740481C1C}">
              <a14:useLocalDpi xmlns:a14="http://schemas.microsoft.com/office/drawing/2010/main" val="0"/>
            </a:ext>
          </a:extLst>
        </a:blip>
        <a:srcRect/>
        <a:stretch>
          <a:fillRect/>
        </a:stretch>
      </xdr:blipFill>
      <xdr:spPr bwMode="auto">
        <a:xfrm>
          <a:off x="1228725" y="36862797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1947</xdr:row>
      <xdr:rowOff>9525</xdr:rowOff>
    </xdr:from>
    <xdr:to>
      <xdr:col>2</xdr:col>
      <xdr:colOff>1733550</xdr:colOff>
      <xdr:row>1947</xdr:row>
      <xdr:rowOff>1524000</xdr:rowOff>
    </xdr:to>
    <xdr:pic>
      <xdr:nvPicPr>
        <xdr:cNvPr id="1947" name="Picture 1946"/>
        <xdr:cNvPicPr>
          <a:picLocks noChangeAspect="1" noChangeArrowheads="1"/>
        </xdr:cNvPicPr>
      </xdr:nvPicPr>
      <xdr:blipFill>
        <a:blip xmlns:r="http://schemas.openxmlformats.org/officeDocument/2006/relationships" r:embed="rId1945">
          <a:extLst>
            <a:ext uri="{28A0092B-C50C-407E-A947-70E740481C1C}">
              <a14:useLocalDpi xmlns:a14="http://schemas.microsoft.com/office/drawing/2010/main" val="0"/>
            </a:ext>
          </a:extLst>
        </a:blip>
        <a:srcRect/>
        <a:stretch>
          <a:fillRect/>
        </a:stretch>
      </xdr:blipFill>
      <xdr:spPr bwMode="auto">
        <a:xfrm>
          <a:off x="1228725" y="3688213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1948</xdr:row>
      <xdr:rowOff>19050</xdr:rowOff>
    </xdr:from>
    <xdr:to>
      <xdr:col>2</xdr:col>
      <xdr:colOff>1733550</xdr:colOff>
      <xdr:row>1948</xdr:row>
      <xdr:rowOff>1666875</xdr:rowOff>
    </xdr:to>
    <xdr:pic>
      <xdr:nvPicPr>
        <xdr:cNvPr id="1948" name="Picture 1947"/>
        <xdr:cNvPicPr>
          <a:picLocks noChangeAspect="1" noChangeArrowheads="1"/>
        </xdr:cNvPicPr>
      </xdr:nvPicPr>
      <xdr:blipFill>
        <a:blip xmlns:r="http://schemas.openxmlformats.org/officeDocument/2006/relationships" r:embed="rId1946">
          <a:extLst>
            <a:ext uri="{28A0092B-C50C-407E-A947-70E740481C1C}">
              <a14:useLocalDpi xmlns:a14="http://schemas.microsoft.com/office/drawing/2010/main" val="0"/>
            </a:ext>
          </a:extLst>
        </a:blip>
        <a:srcRect/>
        <a:stretch>
          <a:fillRect/>
        </a:stretch>
      </xdr:blipFill>
      <xdr:spPr bwMode="auto">
        <a:xfrm>
          <a:off x="1228725" y="3689975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1949</xdr:row>
      <xdr:rowOff>9525</xdr:rowOff>
    </xdr:from>
    <xdr:to>
      <xdr:col>2</xdr:col>
      <xdr:colOff>1733550</xdr:colOff>
      <xdr:row>1949</xdr:row>
      <xdr:rowOff>1524000</xdr:rowOff>
    </xdr:to>
    <xdr:pic>
      <xdr:nvPicPr>
        <xdr:cNvPr id="1949" name="Picture 1948"/>
        <xdr:cNvPicPr>
          <a:picLocks noChangeAspect="1" noChangeArrowheads="1"/>
        </xdr:cNvPicPr>
      </xdr:nvPicPr>
      <xdr:blipFill>
        <a:blip xmlns:r="http://schemas.openxmlformats.org/officeDocument/2006/relationships" r:embed="rId1947">
          <a:extLst>
            <a:ext uri="{28A0092B-C50C-407E-A947-70E740481C1C}">
              <a14:useLocalDpi xmlns:a14="http://schemas.microsoft.com/office/drawing/2010/main" val="0"/>
            </a:ext>
          </a:extLst>
        </a:blip>
        <a:srcRect/>
        <a:stretch>
          <a:fillRect/>
        </a:stretch>
      </xdr:blipFill>
      <xdr:spPr bwMode="auto">
        <a:xfrm>
          <a:off x="1228725" y="3691880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1950</xdr:row>
      <xdr:rowOff>9525</xdr:rowOff>
    </xdr:from>
    <xdr:to>
      <xdr:col>2</xdr:col>
      <xdr:colOff>1733550</xdr:colOff>
      <xdr:row>1950</xdr:row>
      <xdr:rowOff>1524000</xdr:rowOff>
    </xdr:to>
    <xdr:pic>
      <xdr:nvPicPr>
        <xdr:cNvPr id="1950" name="Picture 1949"/>
        <xdr:cNvPicPr>
          <a:picLocks noChangeAspect="1" noChangeArrowheads="1"/>
        </xdr:cNvPicPr>
      </xdr:nvPicPr>
      <xdr:blipFill>
        <a:blip xmlns:r="http://schemas.openxmlformats.org/officeDocument/2006/relationships" r:embed="rId1948">
          <a:extLst>
            <a:ext uri="{28A0092B-C50C-407E-A947-70E740481C1C}">
              <a14:useLocalDpi xmlns:a14="http://schemas.microsoft.com/office/drawing/2010/main" val="0"/>
            </a:ext>
          </a:extLst>
        </a:blip>
        <a:srcRect/>
        <a:stretch>
          <a:fillRect/>
        </a:stretch>
      </xdr:blipFill>
      <xdr:spPr bwMode="auto">
        <a:xfrm>
          <a:off x="1228725" y="3693633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1951</xdr:row>
      <xdr:rowOff>9525</xdr:rowOff>
    </xdr:from>
    <xdr:to>
      <xdr:col>2</xdr:col>
      <xdr:colOff>1733550</xdr:colOff>
      <xdr:row>1951</xdr:row>
      <xdr:rowOff>1524000</xdr:rowOff>
    </xdr:to>
    <xdr:pic>
      <xdr:nvPicPr>
        <xdr:cNvPr id="1951" name="Picture 1950"/>
        <xdr:cNvPicPr>
          <a:picLocks noChangeAspect="1" noChangeArrowheads="1"/>
        </xdr:cNvPicPr>
      </xdr:nvPicPr>
      <xdr:blipFill>
        <a:blip xmlns:r="http://schemas.openxmlformats.org/officeDocument/2006/relationships" r:embed="rId1949">
          <a:extLst>
            <a:ext uri="{28A0092B-C50C-407E-A947-70E740481C1C}">
              <a14:useLocalDpi xmlns:a14="http://schemas.microsoft.com/office/drawing/2010/main" val="0"/>
            </a:ext>
          </a:extLst>
        </a:blip>
        <a:srcRect/>
        <a:stretch>
          <a:fillRect/>
        </a:stretch>
      </xdr:blipFill>
      <xdr:spPr bwMode="auto">
        <a:xfrm>
          <a:off x="1228725" y="3695385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1952</xdr:row>
      <xdr:rowOff>9525</xdr:rowOff>
    </xdr:from>
    <xdr:to>
      <xdr:col>2</xdr:col>
      <xdr:colOff>1733550</xdr:colOff>
      <xdr:row>1952</xdr:row>
      <xdr:rowOff>1524000</xdr:rowOff>
    </xdr:to>
    <xdr:pic>
      <xdr:nvPicPr>
        <xdr:cNvPr id="1952" name="Picture 1951"/>
        <xdr:cNvPicPr>
          <a:picLocks noChangeAspect="1" noChangeArrowheads="1"/>
        </xdr:cNvPicPr>
      </xdr:nvPicPr>
      <xdr:blipFill>
        <a:blip xmlns:r="http://schemas.openxmlformats.org/officeDocument/2006/relationships" r:embed="rId1950">
          <a:extLst>
            <a:ext uri="{28A0092B-C50C-407E-A947-70E740481C1C}">
              <a14:useLocalDpi xmlns:a14="http://schemas.microsoft.com/office/drawing/2010/main" val="0"/>
            </a:ext>
          </a:extLst>
        </a:blip>
        <a:srcRect/>
        <a:stretch>
          <a:fillRect/>
        </a:stretch>
      </xdr:blipFill>
      <xdr:spPr bwMode="auto">
        <a:xfrm>
          <a:off x="1228725" y="3697138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1953</xdr:row>
      <xdr:rowOff>19050</xdr:rowOff>
    </xdr:from>
    <xdr:to>
      <xdr:col>2</xdr:col>
      <xdr:colOff>1733550</xdr:colOff>
      <xdr:row>1953</xdr:row>
      <xdr:rowOff>1647825</xdr:rowOff>
    </xdr:to>
    <xdr:pic>
      <xdr:nvPicPr>
        <xdr:cNvPr id="1953" name="Picture 1952"/>
        <xdr:cNvPicPr>
          <a:picLocks noChangeAspect="1" noChangeArrowheads="1"/>
        </xdr:cNvPicPr>
      </xdr:nvPicPr>
      <xdr:blipFill>
        <a:blip xmlns:r="http://schemas.openxmlformats.org/officeDocument/2006/relationships" r:embed="rId1951">
          <a:extLst>
            <a:ext uri="{28A0092B-C50C-407E-A947-70E740481C1C}">
              <a14:useLocalDpi xmlns:a14="http://schemas.microsoft.com/office/drawing/2010/main" val="0"/>
            </a:ext>
          </a:extLst>
        </a:blip>
        <a:srcRect/>
        <a:stretch>
          <a:fillRect/>
        </a:stretch>
      </xdr:blipFill>
      <xdr:spPr bwMode="auto">
        <a:xfrm>
          <a:off x="1228725" y="36989004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1954</xdr:row>
      <xdr:rowOff>19050</xdr:rowOff>
    </xdr:from>
    <xdr:to>
      <xdr:col>2</xdr:col>
      <xdr:colOff>1733550</xdr:colOff>
      <xdr:row>1954</xdr:row>
      <xdr:rowOff>1647825</xdr:rowOff>
    </xdr:to>
    <xdr:pic>
      <xdr:nvPicPr>
        <xdr:cNvPr id="1954" name="Picture 1953"/>
        <xdr:cNvPicPr>
          <a:picLocks noChangeAspect="1" noChangeArrowheads="1"/>
        </xdr:cNvPicPr>
      </xdr:nvPicPr>
      <xdr:blipFill>
        <a:blip xmlns:r="http://schemas.openxmlformats.org/officeDocument/2006/relationships" r:embed="rId1952">
          <a:extLst>
            <a:ext uri="{28A0092B-C50C-407E-A947-70E740481C1C}">
              <a14:useLocalDpi xmlns:a14="http://schemas.microsoft.com/office/drawing/2010/main" val="0"/>
            </a:ext>
          </a:extLst>
        </a:blip>
        <a:srcRect/>
        <a:stretch>
          <a:fillRect/>
        </a:stretch>
      </xdr:blipFill>
      <xdr:spPr bwMode="auto">
        <a:xfrm>
          <a:off x="1228725" y="37007958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1955</xdr:row>
      <xdr:rowOff>19050</xdr:rowOff>
    </xdr:from>
    <xdr:to>
      <xdr:col>2</xdr:col>
      <xdr:colOff>1733550</xdr:colOff>
      <xdr:row>1955</xdr:row>
      <xdr:rowOff>1647825</xdr:rowOff>
    </xdr:to>
    <xdr:pic>
      <xdr:nvPicPr>
        <xdr:cNvPr id="1955" name="Picture 1954"/>
        <xdr:cNvPicPr>
          <a:picLocks noChangeAspect="1" noChangeArrowheads="1"/>
        </xdr:cNvPicPr>
      </xdr:nvPicPr>
      <xdr:blipFill>
        <a:blip xmlns:r="http://schemas.openxmlformats.org/officeDocument/2006/relationships" r:embed="rId1953">
          <a:extLst>
            <a:ext uri="{28A0092B-C50C-407E-A947-70E740481C1C}">
              <a14:useLocalDpi xmlns:a14="http://schemas.microsoft.com/office/drawing/2010/main" val="0"/>
            </a:ext>
          </a:extLst>
        </a:blip>
        <a:srcRect/>
        <a:stretch>
          <a:fillRect/>
        </a:stretch>
      </xdr:blipFill>
      <xdr:spPr bwMode="auto">
        <a:xfrm>
          <a:off x="1228725" y="3702691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1956</xdr:row>
      <xdr:rowOff>19050</xdr:rowOff>
    </xdr:from>
    <xdr:to>
      <xdr:col>2</xdr:col>
      <xdr:colOff>1733550</xdr:colOff>
      <xdr:row>1956</xdr:row>
      <xdr:rowOff>1666875</xdr:rowOff>
    </xdr:to>
    <xdr:pic>
      <xdr:nvPicPr>
        <xdr:cNvPr id="1956" name="Picture 1955"/>
        <xdr:cNvPicPr>
          <a:picLocks noChangeAspect="1" noChangeArrowheads="1"/>
        </xdr:cNvPicPr>
      </xdr:nvPicPr>
      <xdr:blipFill>
        <a:blip xmlns:r="http://schemas.openxmlformats.org/officeDocument/2006/relationships" r:embed="rId1954">
          <a:extLst>
            <a:ext uri="{28A0092B-C50C-407E-A947-70E740481C1C}">
              <a14:useLocalDpi xmlns:a14="http://schemas.microsoft.com/office/drawing/2010/main" val="0"/>
            </a:ext>
          </a:extLst>
        </a:blip>
        <a:srcRect/>
        <a:stretch>
          <a:fillRect/>
        </a:stretch>
      </xdr:blipFill>
      <xdr:spPr bwMode="auto">
        <a:xfrm>
          <a:off x="1228725" y="3704586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1957</xdr:row>
      <xdr:rowOff>19050</xdr:rowOff>
    </xdr:from>
    <xdr:to>
      <xdr:col>2</xdr:col>
      <xdr:colOff>1733550</xdr:colOff>
      <xdr:row>1957</xdr:row>
      <xdr:rowOff>1666875</xdr:rowOff>
    </xdr:to>
    <xdr:pic>
      <xdr:nvPicPr>
        <xdr:cNvPr id="1957" name="Picture 1956"/>
        <xdr:cNvPicPr>
          <a:picLocks noChangeAspect="1" noChangeArrowheads="1"/>
        </xdr:cNvPicPr>
      </xdr:nvPicPr>
      <xdr:blipFill>
        <a:blip xmlns:r="http://schemas.openxmlformats.org/officeDocument/2006/relationships" r:embed="rId1955">
          <a:extLst>
            <a:ext uri="{28A0092B-C50C-407E-A947-70E740481C1C}">
              <a14:useLocalDpi xmlns:a14="http://schemas.microsoft.com/office/drawing/2010/main" val="0"/>
            </a:ext>
          </a:extLst>
        </a:blip>
        <a:srcRect/>
        <a:stretch>
          <a:fillRect/>
        </a:stretch>
      </xdr:blipFill>
      <xdr:spPr bwMode="auto">
        <a:xfrm>
          <a:off x="1228725" y="3706501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1958</xdr:row>
      <xdr:rowOff>19050</xdr:rowOff>
    </xdr:from>
    <xdr:to>
      <xdr:col>2</xdr:col>
      <xdr:colOff>1733550</xdr:colOff>
      <xdr:row>1958</xdr:row>
      <xdr:rowOff>1666875</xdr:rowOff>
    </xdr:to>
    <xdr:pic>
      <xdr:nvPicPr>
        <xdr:cNvPr id="1958" name="Picture 1957"/>
        <xdr:cNvPicPr>
          <a:picLocks noChangeAspect="1" noChangeArrowheads="1"/>
        </xdr:cNvPicPr>
      </xdr:nvPicPr>
      <xdr:blipFill>
        <a:blip xmlns:r="http://schemas.openxmlformats.org/officeDocument/2006/relationships" r:embed="rId1956">
          <a:extLst>
            <a:ext uri="{28A0092B-C50C-407E-A947-70E740481C1C}">
              <a14:useLocalDpi xmlns:a14="http://schemas.microsoft.com/office/drawing/2010/main" val="0"/>
            </a:ext>
          </a:extLst>
        </a:blip>
        <a:srcRect/>
        <a:stretch>
          <a:fillRect/>
        </a:stretch>
      </xdr:blipFill>
      <xdr:spPr bwMode="auto">
        <a:xfrm>
          <a:off x="1228725" y="3708415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1959</xdr:row>
      <xdr:rowOff>19050</xdr:rowOff>
    </xdr:from>
    <xdr:to>
      <xdr:col>2</xdr:col>
      <xdr:colOff>1733550</xdr:colOff>
      <xdr:row>1959</xdr:row>
      <xdr:rowOff>1666875</xdr:rowOff>
    </xdr:to>
    <xdr:pic>
      <xdr:nvPicPr>
        <xdr:cNvPr id="1959" name="Picture 1958"/>
        <xdr:cNvPicPr>
          <a:picLocks noChangeAspect="1" noChangeArrowheads="1"/>
        </xdr:cNvPicPr>
      </xdr:nvPicPr>
      <xdr:blipFill>
        <a:blip xmlns:r="http://schemas.openxmlformats.org/officeDocument/2006/relationships" r:embed="rId1957">
          <a:extLst>
            <a:ext uri="{28A0092B-C50C-407E-A947-70E740481C1C}">
              <a14:useLocalDpi xmlns:a14="http://schemas.microsoft.com/office/drawing/2010/main" val="0"/>
            </a:ext>
          </a:extLst>
        </a:blip>
        <a:srcRect/>
        <a:stretch>
          <a:fillRect/>
        </a:stretch>
      </xdr:blipFill>
      <xdr:spPr bwMode="auto">
        <a:xfrm>
          <a:off x="1228725" y="371033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1960</xdr:row>
      <xdr:rowOff>19050</xdr:rowOff>
    </xdr:from>
    <xdr:to>
      <xdr:col>2</xdr:col>
      <xdr:colOff>1733550</xdr:colOff>
      <xdr:row>1960</xdr:row>
      <xdr:rowOff>1666875</xdr:rowOff>
    </xdr:to>
    <xdr:pic>
      <xdr:nvPicPr>
        <xdr:cNvPr id="1960" name="Picture 1959"/>
        <xdr:cNvPicPr>
          <a:picLocks noChangeAspect="1" noChangeArrowheads="1"/>
        </xdr:cNvPicPr>
      </xdr:nvPicPr>
      <xdr:blipFill>
        <a:blip xmlns:r="http://schemas.openxmlformats.org/officeDocument/2006/relationships" r:embed="rId1958">
          <a:extLst>
            <a:ext uri="{28A0092B-C50C-407E-A947-70E740481C1C}">
              <a14:useLocalDpi xmlns:a14="http://schemas.microsoft.com/office/drawing/2010/main" val="0"/>
            </a:ext>
          </a:extLst>
        </a:blip>
        <a:srcRect/>
        <a:stretch>
          <a:fillRect/>
        </a:stretch>
      </xdr:blipFill>
      <xdr:spPr bwMode="auto">
        <a:xfrm>
          <a:off x="1228725" y="371224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1961</xdr:row>
      <xdr:rowOff>19050</xdr:rowOff>
    </xdr:from>
    <xdr:to>
      <xdr:col>2</xdr:col>
      <xdr:colOff>1733550</xdr:colOff>
      <xdr:row>1961</xdr:row>
      <xdr:rowOff>1666875</xdr:rowOff>
    </xdr:to>
    <xdr:pic>
      <xdr:nvPicPr>
        <xdr:cNvPr id="1961" name="Picture 1960"/>
        <xdr:cNvPicPr>
          <a:picLocks noChangeAspect="1" noChangeArrowheads="1"/>
        </xdr:cNvPicPr>
      </xdr:nvPicPr>
      <xdr:blipFill>
        <a:blip xmlns:r="http://schemas.openxmlformats.org/officeDocument/2006/relationships" r:embed="rId1959">
          <a:extLst>
            <a:ext uri="{28A0092B-C50C-407E-A947-70E740481C1C}">
              <a14:useLocalDpi xmlns:a14="http://schemas.microsoft.com/office/drawing/2010/main" val="0"/>
            </a:ext>
          </a:extLst>
        </a:blip>
        <a:srcRect/>
        <a:stretch>
          <a:fillRect/>
        </a:stretch>
      </xdr:blipFill>
      <xdr:spPr bwMode="auto">
        <a:xfrm>
          <a:off x="1228725" y="371415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1962</xdr:row>
      <xdr:rowOff>9525</xdr:rowOff>
    </xdr:from>
    <xdr:to>
      <xdr:col>2</xdr:col>
      <xdr:colOff>1733550</xdr:colOff>
      <xdr:row>1962</xdr:row>
      <xdr:rowOff>1524000</xdr:rowOff>
    </xdr:to>
    <xdr:pic>
      <xdr:nvPicPr>
        <xdr:cNvPr id="1962" name="Picture 1961"/>
        <xdr:cNvPicPr>
          <a:picLocks noChangeAspect="1" noChangeArrowheads="1"/>
        </xdr:cNvPicPr>
      </xdr:nvPicPr>
      <xdr:blipFill>
        <a:blip xmlns:r="http://schemas.openxmlformats.org/officeDocument/2006/relationships" r:embed="rId1960">
          <a:extLst>
            <a:ext uri="{28A0092B-C50C-407E-A947-70E740481C1C}">
              <a14:useLocalDpi xmlns:a14="http://schemas.microsoft.com/office/drawing/2010/main" val="0"/>
            </a:ext>
          </a:extLst>
        </a:blip>
        <a:srcRect/>
        <a:stretch>
          <a:fillRect/>
        </a:stretch>
      </xdr:blipFill>
      <xdr:spPr bwMode="auto">
        <a:xfrm>
          <a:off x="1228725" y="3716064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1963</xdr:row>
      <xdr:rowOff>19050</xdr:rowOff>
    </xdr:from>
    <xdr:to>
      <xdr:col>2</xdr:col>
      <xdr:colOff>1733550</xdr:colOff>
      <xdr:row>1963</xdr:row>
      <xdr:rowOff>1666875</xdr:rowOff>
    </xdr:to>
    <xdr:pic>
      <xdr:nvPicPr>
        <xdr:cNvPr id="1963" name="Picture 1962"/>
        <xdr:cNvPicPr>
          <a:picLocks noChangeAspect="1" noChangeArrowheads="1"/>
        </xdr:cNvPicPr>
      </xdr:nvPicPr>
      <xdr:blipFill>
        <a:blip xmlns:r="http://schemas.openxmlformats.org/officeDocument/2006/relationships" r:embed="rId1961">
          <a:extLst>
            <a:ext uri="{28A0092B-C50C-407E-A947-70E740481C1C}">
              <a14:useLocalDpi xmlns:a14="http://schemas.microsoft.com/office/drawing/2010/main" val="0"/>
            </a:ext>
          </a:extLst>
        </a:blip>
        <a:srcRect/>
        <a:stretch>
          <a:fillRect/>
        </a:stretch>
      </xdr:blipFill>
      <xdr:spPr bwMode="auto">
        <a:xfrm>
          <a:off x="1228725" y="3717826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1964</xdr:row>
      <xdr:rowOff>19050</xdr:rowOff>
    </xdr:from>
    <xdr:to>
      <xdr:col>2</xdr:col>
      <xdr:colOff>1733550</xdr:colOff>
      <xdr:row>1964</xdr:row>
      <xdr:rowOff>1666875</xdr:rowOff>
    </xdr:to>
    <xdr:pic>
      <xdr:nvPicPr>
        <xdr:cNvPr id="1964" name="Picture 1963"/>
        <xdr:cNvPicPr>
          <a:picLocks noChangeAspect="1" noChangeArrowheads="1"/>
        </xdr:cNvPicPr>
      </xdr:nvPicPr>
      <xdr:blipFill>
        <a:blip xmlns:r="http://schemas.openxmlformats.org/officeDocument/2006/relationships" r:embed="rId1962">
          <a:extLst>
            <a:ext uri="{28A0092B-C50C-407E-A947-70E740481C1C}">
              <a14:useLocalDpi xmlns:a14="http://schemas.microsoft.com/office/drawing/2010/main" val="0"/>
            </a:ext>
          </a:extLst>
        </a:blip>
        <a:srcRect/>
        <a:stretch>
          <a:fillRect/>
        </a:stretch>
      </xdr:blipFill>
      <xdr:spPr bwMode="auto">
        <a:xfrm>
          <a:off x="1228725" y="3719741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1965</xdr:row>
      <xdr:rowOff>19050</xdr:rowOff>
    </xdr:from>
    <xdr:to>
      <xdr:col>2</xdr:col>
      <xdr:colOff>1733550</xdr:colOff>
      <xdr:row>1965</xdr:row>
      <xdr:rowOff>1666875</xdr:rowOff>
    </xdr:to>
    <xdr:pic>
      <xdr:nvPicPr>
        <xdr:cNvPr id="1965" name="Picture 1964"/>
        <xdr:cNvPicPr>
          <a:picLocks noChangeAspect="1" noChangeArrowheads="1"/>
        </xdr:cNvPicPr>
      </xdr:nvPicPr>
      <xdr:blipFill>
        <a:blip xmlns:r="http://schemas.openxmlformats.org/officeDocument/2006/relationships" r:embed="rId1963">
          <a:extLst>
            <a:ext uri="{28A0092B-C50C-407E-A947-70E740481C1C}">
              <a14:useLocalDpi xmlns:a14="http://schemas.microsoft.com/office/drawing/2010/main" val="0"/>
            </a:ext>
          </a:extLst>
        </a:blip>
        <a:srcRect/>
        <a:stretch>
          <a:fillRect/>
        </a:stretch>
      </xdr:blipFill>
      <xdr:spPr bwMode="auto">
        <a:xfrm>
          <a:off x="1228725" y="3721655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1966</xdr:row>
      <xdr:rowOff>19050</xdr:rowOff>
    </xdr:from>
    <xdr:to>
      <xdr:col>2</xdr:col>
      <xdr:colOff>1733550</xdr:colOff>
      <xdr:row>1966</xdr:row>
      <xdr:rowOff>1666875</xdr:rowOff>
    </xdr:to>
    <xdr:pic>
      <xdr:nvPicPr>
        <xdr:cNvPr id="1966" name="Picture 1965"/>
        <xdr:cNvPicPr>
          <a:picLocks noChangeAspect="1" noChangeArrowheads="1"/>
        </xdr:cNvPicPr>
      </xdr:nvPicPr>
      <xdr:blipFill>
        <a:blip xmlns:r="http://schemas.openxmlformats.org/officeDocument/2006/relationships" r:embed="rId1964">
          <a:extLst>
            <a:ext uri="{28A0092B-C50C-407E-A947-70E740481C1C}">
              <a14:useLocalDpi xmlns:a14="http://schemas.microsoft.com/office/drawing/2010/main" val="0"/>
            </a:ext>
          </a:extLst>
        </a:blip>
        <a:srcRect/>
        <a:stretch>
          <a:fillRect/>
        </a:stretch>
      </xdr:blipFill>
      <xdr:spPr bwMode="auto">
        <a:xfrm>
          <a:off x="1228725" y="3723570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1967</xdr:row>
      <xdr:rowOff>9525</xdr:rowOff>
    </xdr:from>
    <xdr:to>
      <xdr:col>2</xdr:col>
      <xdr:colOff>1733550</xdr:colOff>
      <xdr:row>1967</xdr:row>
      <xdr:rowOff>1524000</xdr:rowOff>
    </xdr:to>
    <xdr:pic>
      <xdr:nvPicPr>
        <xdr:cNvPr id="1967" name="Picture 1966"/>
        <xdr:cNvPicPr>
          <a:picLocks noChangeAspect="1" noChangeArrowheads="1"/>
        </xdr:cNvPicPr>
      </xdr:nvPicPr>
      <xdr:blipFill>
        <a:blip xmlns:r="http://schemas.openxmlformats.org/officeDocument/2006/relationships" r:embed="rId1965">
          <a:extLst>
            <a:ext uri="{28A0092B-C50C-407E-A947-70E740481C1C}">
              <a14:useLocalDpi xmlns:a14="http://schemas.microsoft.com/office/drawing/2010/main" val="0"/>
            </a:ext>
          </a:extLst>
        </a:blip>
        <a:srcRect/>
        <a:stretch>
          <a:fillRect/>
        </a:stretch>
      </xdr:blipFill>
      <xdr:spPr bwMode="auto">
        <a:xfrm>
          <a:off x="1228725" y="3725475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1968</xdr:row>
      <xdr:rowOff>9525</xdr:rowOff>
    </xdr:from>
    <xdr:to>
      <xdr:col>2</xdr:col>
      <xdr:colOff>1733550</xdr:colOff>
      <xdr:row>1968</xdr:row>
      <xdr:rowOff>1524000</xdr:rowOff>
    </xdr:to>
    <xdr:pic>
      <xdr:nvPicPr>
        <xdr:cNvPr id="1968" name="Picture 1967"/>
        <xdr:cNvPicPr>
          <a:picLocks noChangeAspect="1" noChangeArrowheads="1"/>
        </xdr:cNvPicPr>
      </xdr:nvPicPr>
      <xdr:blipFill>
        <a:blip xmlns:r="http://schemas.openxmlformats.org/officeDocument/2006/relationships" r:embed="rId1966">
          <a:extLst>
            <a:ext uri="{28A0092B-C50C-407E-A947-70E740481C1C}">
              <a14:useLocalDpi xmlns:a14="http://schemas.microsoft.com/office/drawing/2010/main" val="0"/>
            </a:ext>
          </a:extLst>
        </a:blip>
        <a:srcRect/>
        <a:stretch>
          <a:fillRect/>
        </a:stretch>
      </xdr:blipFill>
      <xdr:spPr bwMode="auto">
        <a:xfrm>
          <a:off x="1228725" y="3727227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1969</xdr:row>
      <xdr:rowOff>9525</xdr:rowOff>
    </xdr:from>
    <xdr:to>
      <xdr:col>2</xdr:col>
      <xdr:colOff>1733550</xdr:colOff>
      <xdr:row>1969</xdr:row>
      <xdr:rowOff>1524000</xdr:rowOff>
    </xdr:to>
    <xdr:pic>
      <xdr:nvPicPr>
        <xdr:cNvPr id="1969" name="Picture 1968"/>
        <xdr:cNvPicPr>
          <a:picLocks noChangeAspect="1" noChangeArrowheads="1"/>
        </xdr:cNvPicPr>
      </xdr:nvPicPr>
      <xdr:blipFill>
        <a:blip xmlns:r="http://schemas.openxmlformats.org/officeDocument/2006/relationships" r:embed="rId1967">
          <a:extLst>
            <a:ext uri="{28A0092B-C50C-407E-A947-70E740481C1C}">
              <a14:useLocalDpi xmlns:a14="http://schemas.microsoft.com/office/drawing/2010/main" val="0"/>
            </a:ext>
          </a:extLst>
        </a:blip>
        <a:srcRect/>
        <a:stretch>
          <a:fillRect/>
        </a:stretch>
      </xdr:blipFill>
      <xdr:spPr bwMode="auto">
        <a:xfrm>
          <a:off x="1228725" y="3728980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1970</xdr:row>
      <xdr:rowOff>9525</xdr:rowOff>
    </xdr:from>
    <xdr:to>
      <xdr:col>2</xdr:col>
      <xdr:colOff>1733550</xdr:colOff>
      <xdr:row>1970</xdr:row>
      <xdr:rowOff>1524000</xdr:rowOff>
    </xdr:to>
    <xdr:pic>
      <xdr:nvPicPr>
        <xdr:cNvPr id="1970" name="Picture 1969"/>
        <xdr:cNvPicPr>
          <a:picLocks noChangeAspect="1" noChangeArrowheads="1"/>
        </xdr:cNvPicPr>
      </xdr:nvPicPr>
      <xdr:blipFill>
        <a:blip xmlns:r="http://schemas.openxmlformats.org/officeDocument/2006/relationships" r:embed="rId1968">
          <a:extLst>
            <a:ext uri="{28A0092B-C50C-407E-A947-70E740481C1C}">
              <a14:useLocalDpi xmlns:a14="http://schemas.microsoft.com/office/drawing/2010/main" val="0"/>
            </a:ext>
          </a:extLst>
        </a:blip>
        <a:srcRect/>
        <a:stretch>
          <a:fillRect/>
        </a:stretch>
      </xdr:blipFill>
      <xdr:spPr bwMode="auto">
        <a:xfrm>
          <a:off x="1228725" y="3730732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1971</xdr:row>
      <xdr:rowOff>19050</xdr:rowOff>
    </xdr:from>
    <xdr:to>
      <xdr:col>2</xdr:col>
      <xdr:colOff>1733550</xdr:colOff>
      <xdr:row>1971</xdr:row>
      <xdr:rowOff>1666875</xdr:rowOff>
    </xdr:to>
    <xdr:pic>
      <xdr:nvPicPr>
        <xdr:cNvPr id="1971" name="Picture 1970"/>
        <xdr:cNvPicPr>
          <a:picLocks noChangeAspect="1" noChangeArrowheads="1"/>
        </xdr:cNvPicPr>
      </xdr:nvPicPr>
      <xdr:blipFill>
        <a:blip xmlns:r="http://schemas.openxmlformats.org/officeDocument/2006/relationships" r:embed="rId1969">
          <a:extLst>
            <a:ext uri="{28A0092B-C50C-407E-A947-70E740481C1C}">
              <a14:useLocalDpi xmlns:a14="http://schemas.microsoft.com/office/drawing/2010/main" val="0"/>
            </a:ext>
          </a:extLst>
        </a:blip>
        <a:srcRect/>
        <a:stretch>
          <a:fillRect/>
        </a:stretch>
      </xdr:blipFill>
      <xdr:spPr bwMode="auto">
        <a:xfrm>
          <a:off x="1228725" y="373249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1972</xdr:row>
      <xdr:rowOff>19050</xdr:rowOff>
    </xdr:from>
    <xdr:to>
      <xdr:col>2</xdr:col>
      <xdr:colOff>1733550</xdr:colOff>
      <xdr:row>1972</xdr:row>
      <xdr:rowOff>1666875</xdr:rowOff>
    </xdr:to>
    <xdr:pic>
      <xdr:nvPicPr>
        <xdr:cNvPr id="1972" name="Picture 1971"/>
        <xdr:cNvPicPr>
          <a:picLocks noChangeAspect="1" noChangeArrowheads="1"/>
        </xdr:cNvPicPr>
      </xdr:nvPicPr>
      <xdr:blipFill>
        <a:blip xmlns:r="http://schemas.openxmlformats.org/officeDocument/2006/relationships" r:embed="rId1970">
          <a:extLst>
            <a:ext uri="{28A0092B-C50C-407E-A947-70E740481C1C}">
              <a14:useLocalDpi xmlns:a14="http://schemas.microsoft.com/office/drawing/2010/main" val="0"/>
            </a:ext>
          </a:extLst>
        </a:blip>
        <a:srcRect/>
        <a:stretch>
          <a:fillRect/>
        </a:stretch>
      </xdr:blipFill>
      <xdr:spPr bwMode="auto">
        <a:xfrm>
          <a:off x="1228725" y="373440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1973</xdr:row>
      <xdr:rowOff>19050</xdr:rowOff>
    </xdr:from>
    <xdr:to>
      <xdr:col>2</xdr:col>
      <xdr:colOff>1733550</xdr:colOff>
      <xdr:row>1973</xdr:row>
      <xdr:rowOff>1666875</xdr:rowOff>
    </xdr:to>
    <xdr:pic>
      <xdr:nvPicPr>
        <xdr:cNvPr id="1973" name="Picture 1972"/>
        <xdr:cNvPicPr>
          <a:picLocks noChangeAspect="1" noChangeArrowheads="1"/>
        </xdr:cNvPicPr>
      </xdr:nvPicPr>
      <xdr:blipFill>
        <a:blip xmlns:r="http://schemas.openxmlformats.org/officeDocument/2006/relationships" r:embed="rId1971">
          <a:extLst>
            <a:ext uri="{28A0092B-C50C-407E-A947-70E740481C1C}">
              <a14:useLocalDpi xmlns:a14="http://schemas.microsoft.com/office/drawing/2010/main" val="0"/>
            </a:ext>
          </a:extLst>
        </a:blip>
        <a:srcRect/>
        <a:stretch>
          <a:fillRect/>
        </a:stretch>
      </xdr:blipFill>
      <xdr:spPr bwMode="auto">
        <a:xfrm>
          <a:off x="1228725" y="373632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1974</xdr:row>
      <xdr:rowOff>19050</xdr:rowOff>
    </xdr:from>
    <xdr:to>
      <xdr:col>2</xdr:col>
      <xdr:colOff>1733550</xdr:colOff>
      <xdr:row>1974</xdr:row>
      <xdr:rowOff>1647825</xdr:rowOff>
    </xdr:to>
    <xdr:pic>
      <xdr:nvPicPr>
        <xdr:cNvPr id="1974" name="Picture 1973"/>
        <xdr:cNvPicPr>
          <a:picLocks noChangeAspect="1" noChangeArrowheads="1"/>
        </xdr:cNvPicPr>
      </xdr:nvPicPr>
      <xdr:blipFill>
        <a:blip xmlns:r="http://schemas.openxmlformats.org/officeDocument/2006/relationships" r:embed="rId1972">
          <a:extLst>
            <a:ext uri="{28A0092B-C50C-407E-A947-70E740481C1C}">
              <a14:useLocalDpi xmlns:a14="http://schemas.microsoft.com/office/drawing/2010/main" val="0"/>
            </a:ext>
          </a:extLst>
        </a:blip>
        <a:srcRect/>
        <a:stretch>
          <a:fillRect/>
        </a:stretch>
      </xdr:blipFill>
      <xdr:spPr bwMode="auto">
        <a:xfrm>
          <a:off x="1228725" y="3738238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1975</xdr:row>
      <xdr:rowOff>19050</xdr:rowOff>
    </xdr:from>
    <xdr:to>
      <xdr:col>2</xdr:col>
      <xdr:colOff>1733550</xdr:colOff>
      <xdr:row>1975</xdr:row>
      <xdr:rowOff>1647825</xdr:rowOff>
    </xdr:to>
    <xdr:pic>
      <xdr:nvPicPr>
        <xdr:cNvPr id="1975" name="Picture 1974"/>
        <xdr:cNvPicPr>
          <a:picLocks noChangeAspect="1" noChangeArrowheads="1"/>
        </xdr:cNvPicPr>
      </xdr:nvPicPr>
      <xdr:blipFill>
        <a:blip xmlns:r="http://schemas.openxmlformats.org/officeDocument/2006/relationships" r:embed="rId1973">
          <a:extLst>
            <a:ext uri="{28A0092B-C50C-407E-A947-70E740481C1C}">
              <a14:useLocalDpi xmlns:a14="http://schemas.microsoft.com/office/drawing/2010/main" val="0"/>
            </a:ext>
          </a:extLst>
        </a:blip>
        <a:srcRect/>
        <a:stretch>
          <a:fillRect/>
        </a:stretch>
      </xdr:blipFill>
      <xdr:spPr bwMode="auto">
        <a:xfrm>
          <a:off x="1228725" y="3740134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1976</xdr:row>
      <xdr:rowOff>19050</xdr:rowOff>
    </xdr:from>
    <xdr:to>
      <xdr:col>2</xdr:col>
      <xdr:colOff>1733550</xdr:colOff>
      <xdr:row>1976</xdr:row>
      <xdr:rowOff>1666875</xdr:rowOff>
    </xdr:to>
    <xdr:pic>
      <xdr:nvPicPr>
        <xdr:cNvPr id="1976" name="Picture 1975"/>
        <xdr:cNvPicPr>
          <a:picLocks noChangeAspect="1" noChangeArrowheads="1"/>
        </xdr:cNvPicPr>
      </xdr:nvPicPr>
      <xdr:blipFill>
        <a:blip xmlns:r="http://schemas.openxmlformats.org/officeDocument/2006/relationships" r:embed="rId1974">
          <a:extLst>
            <a:ext uri="{28A0092B-C50C-407E-A947-70E740481C1C}">
              <a14:useLocalDpi xmlns:a14="http://schemas.microsoft.com/office/drawing/2010/main" val="0"/>
            </a:ext>
          </a:extLst>
        </a:blip>
        <a:srcRect/>
        <a:stretch>
          <a:fillRect/>
        </a:stretch>
      </xdr:blipFill>
      <xdr:spPr bwMode="auto">
        <a:xfrm>
          <a:off x="1228725" y="3742029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1977</xdr:row>
      <xdr:rowOff>19050</xdr:rowOff>
    </xdr:from>
    <xdr:to>
      <xdr:col>2</xdr:col>
      <xdr:colOff>1733550</xdr:colOff>
      <xdr:row>1977</xdr:row>
      <xdr:rowOff>1666875</xdr:rowOff>
    </xdr:to>
    <xdr:pic>
      <xdr:nvPicPr>
        <xdr:cNvPr id="1977" name="Picture 1976"/>
        <xdr:cNvPicPr>
          <a:picLocks noChangeAspect="1" noChangeArrowheads="1"/>
        </xdr:cNvPicPr>
      </xdr:nvPicPr>
      <xdr:blipFill>
        <a:blip xmlns:r="http://schemas.openxmlformats.org/officeDocument/2006/relationships" r:embed="rId1975">
          <a:extLst>
            <a:ext uri="{28A0092B-C50C-407E-A947-70E740481C1C}">
              <a14:useLocalDpi xmlns:a14="http://schemas.microsoft.com/office/drawing/2010/main" val="0"/>
            </a:ext>
          </a:extLst>
        </a:blip>
        <a:srcRect/>
        <a:stretch>
          <a:fillRect/>
        </a:stretch>
      </xdr:blipFill>
      <xdr:spPr bwMode="auto">
        <a:xfrm>
          <a:off x="1228725" y="3743944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1978</xdr:row>
      <xdr:rowOff>19050</xdr:rowOff>
    </xdr:from>
    <xdr:to>
      <xdr:col>2</xdr:col>
      <xdr:colOff>1733550</xdr:colOff>
      <xdr:row>1978</xdr:row>
      <xdr:rowOff>1666875</xdr:rowOff>
    </xdr:to>
    <xdr:pic>
      <xdr:nvPicPr>
        <xdr:cNvPr id="1978" name="Picture 1977"/>
        <xdr:cNvPicPr>
          <a:picLocks noChangeAspect="1" noChangeArrowheads="1"/>
        </xdr:cNvPicPr>
      </xdr:nvPicPr>
      <xdr:blipFill>
        <a:blip xmlns:r="http://schemas.openxmlformats.org/officeDocument/2006/relationships" r:embed="rId1976">
          <a:extLst>
            <a:ext uri="{28A0092B-C50C-407E-A947-70E740481C1C}">
              <a14:useLocalDpi xmlns:a14="http://schemas.microsoft.com/office/drawing/2010/main" val="0"/>
            </a:ext>
          </a:extLst>
        </a:blip>
        <a:srcRect/>
        <a:stretch>
          <a:fillRect/>
        </a:stretch>
      </xdr:blipFill>
      <xdr:spPr bwMode="auto">
        <a:xfrm>
          <a:off x="1228725" y="3745858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1979</xdr:row>
      <xdr:rowOff>19050</xdr:rowOff>
    </xdr:from>
    <xdr:to>
      <xdr:col>2</xdr:col>
      <xdr:colOff>1733550</xdr:colOff>
      <xdr:row>1979</xdr:row>
      <xdr:rowOff>1666875</xdr:rowOff>
    </xdr:to>
    <xdr:pic>
      <xdr:nvPicPr>
        <xdr:cNvPr id="1979" name="Picture 1978"/>
        <xdr:cNvPicPr>
          <a:picLocks noChangeAspect="1" noChangeArrowheads="1"/>
        </xdr:cNvPicPr>
      </xdr:nvPicPr>
      <xdr:blipFill>
        <a:blip xmlns:r="http://schemas.openxmlformats.org/officeDocument/2006/relationships" r:embed="rId1977">
          <a:extLst>
            <a:ext uri="{28A0092B-C50C-407E-A947-70E740481C1C}">
              <a14:useLocalDpi xmlns:a14="http://schemas.microsoft.com/office/drawing/2010/main" val="0"/>
            </a:ext>
          </a:extLst>
        </a:blip>
        <a:srcRect/>
        <a:stretch>
          <a:fillRect/>
        </a:stretch>
      </xdr:blipFill>
      <xdr:spPr bwMode="auto">
        <a:xfrm>
          <a:off x="1228725" y="3747773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1980</xdr:row>
      <xdr:rowOff>9525</xdr:rowOff>
    </xdr:from>
    <xdr:to>
      <xdr:col>2</xdr:col>
      <xdr:colOff>1733550</xdr:colOff>
      <xdr:row>1980</xdr:row>
      <xdr:rowOff>1524000</xdr:rowOff>
    </xdr:to>
    <xdr:pic>
      <xdr:nvPicPr>
        <xdr:cNvPr id="1980" name="Picture 1979"/>
        <xdr:cNvPicPr>
          <a:picLocks noChangeAspect="1" noChangeArrowheads="1"/>
        </xdr:cNvPicPr>
      </xdr:nvPicPr>
      <xdr:blipFill>
        <a:blip xmlns:r="http://schemas.openxmlformats.org/officeDocument/2006/relationships" r:embed="rId1978">
          <a:extLst>
            <a:ext uri="{28A0092B-C50C-407E-A947-70E740481C1C}">
              <a14:useLocalDpi xmlns:a14="http://schemas.microsoft.com/office/drawing/2010/main" val="0"/>
            </a:ext>
          </a:extLst>
        </a:blip>
        <a:srcRect/>
        <a:stretch>
          <a:fillRect/>
        </a:stretch>
      </xdr:blipFill>
      <xdr:spPr bwMode="auto">
        <a:xfrm>
          <a:off x="1228725" y="3749678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1981</xdr:row>
      <xdr:rowOff>9525</xdr:rowOff>
    </xdr:from>
    <xdr:to>
      <xdr:col>2</xdr:col>
      <xdr:colOff>1733550</xdr:colOff>
      <xdr:row>1981</xdr:row>
      <xdr:rowOff>1524000</xdr:rowOff>
    </xdr:to>
    <xdr:pic>
      <xdr:nvPicPr>
        <xdr:cNvPr id="1981" name="Picture 1980"/>
        <xdr:cNvPicPr>
          <a:picLocks noChangeAspect="1" noChangeArrowheads="1"/>
        </xdr:cNvPicPr>
      </xdr:nvPicPr>
      <xdr:blipFill>
        <a:blip xmlns:r="http://schemas.openxmlformats.org/officeDocument/2006/relationships" r:embed="rId1979">
          <a:extLst>
            <a:ext uri="{28A0092B-C50C-407E-A947-70E740481C1C}">
              <a14:useLocalDpi xmlns:a14="http://schemas.microsoft.com/office/drawing/2010/main" val="0"/>
            </a:ext>
          </a:extLst>
        </a:blip>
        <a:srcRect/>
        <a:stretch>
          <a:fillRect/>
        </a:stretch>
      </xdr:blipFill>
      <xdr:spPr bwMode="auto">
        <a:xfrm>
          <a:off x="1228725" y="3751430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1982</xdr:row>
      <xdr:rowOff>9525</xdr:rowOff>
    </xdr:from>
    <xdr:to>
      <xdr:col>2</xdr:col>
      <xdr:colOff>1733550</xdr:colOff>
      <xdr:row>1982</xdr:row>
      <xdr:rowOff>1524000</xdr:rowOff>
    </xdr:to>
    <xdr:pic>
      <xdr:nvPicPr>
        <xdr:cNvPr id="1982" name="Picture 1981"/>
        <xdr:cNvPicPr>
          <a:picLocks noChangeAspect="1" noChangeArrowheads="1"/>
        </xdr:cNvPicPr>
      </xdr:nvPicPr>
      <xdr:blipFill>
        <a:blip xmlns:r="http://schemas.openxmlformats.org/officeDocument/2006/relationships" r:embed="rId1980">
          <a:extLst>
            <a:ext uri="{28A0092B-C50C-407E-A947-70E740481C1C}">
              <a14:useLocalDpi xmlns:a14="http://schemas.microsoft.com/office/drawing/2010/main" val="0"/>
            </a:ext>
          </a:extLst>
        </a:blip>
        <a:srcRect/>
        <a:stretch>
          <a:fillRect/>
        </a:stretch>
      </xdr:blipFill>
      <xdr:spPr bwMode="auto">
        <a:xfrm>
          <a:off x="1228725" y="3753183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1983</xdr:row>
      <xdr:rowOff>9525</xdr:rowOff>
    </xdr:from>
    <xdr:to>
      <xdr:col>2</xdr:col>
      <xdr:colOff>1733550</xdr:colOff>
      <xdr:row>1983</xdr:row>
      <xdr:rowOff>1524000</xdr:rowOff>
    </xdr:to>
    <xdr:pic>
      <xdr:nvPicPr>
        <xdr:cNvPr id="1983" name="Picture 1982"/>
        <xdr:cNvPicPr>
          <a:picLocks noChangeAspect="1" noChangeArrowheads="1"/>
        </xdr:cNvPicPr>
      </xdr:nvPicPr>
      <xdr:blipFill>
        <a:blip xmlns:r="http://schemas.openxmlformats.org/officeDocument/2006/relationships" r:embed="rId1981">
          <a:extLst>
            <a:ext uri="{28A0092B-C50C-407E-A947-70E740481C1C}">
              <a14:useLocalDpi xmlns:a14="http://schemas.microsoft.com/office/drawing/2010/main" val="0"/>
            </a:ext>
          </a:extLst>
        </a:blip>
        <a:srcRect/>
        <a:stretch>
          <a:fillRect/>
        </a:stretch>
      </xdr:blipFill>
      <xdr:spPr bwMode="auto">
        <a:xfrm>
          <a:off x="1228725" y="3754935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1984</xdr:row>
      <xdr:rowOff>9525</xdr:rowOff>
    </xdr:from>
    <xdr:to>
      <xdr:col>2</xdr:col>
      <xdr:colOff>1733550</xdr:colOff>
      <xdr:row>1984</xdr:row>
      <xdr:rowOff>1524000</xdr:rowOff>
    </xdr:to>
    <xdr:pic>
      <xdr:nvPicPr>
        <xdr:cNvPr id="1984" name="Picture 1983"/>
        <xdr:cNvPicPr>
          <a:picLocks noChangeAspect="1" noChangeArrowheads="1"/>
        </xdr:cNvPicPr>
      </xdr:nvPicPr>
      <xdr:blipFill>
        <a:blip xmlns:r="http://schemas.openxmlformats.org/officeDocument/2006/relationships" r:embed="rId1982">
          <a:extLst>
            <a:ext uri="{28A0092B-C50C-407E-A947-70E740481C1C}">
              <a14:useLocalDpi xmlns:a14="http://schemas.microsoft.com/office/drawing/2010/main" val="0"/>
            </a:ext>
          </a:extLst>
        </a:blip>
        <a:srcRect/>
        <a:stretch>
          <a:fillRect/>
        </a:stretch>
      </xdr:blipFill>
      <xdr:spPr bwMode="auto">
        <a:xfrm>
          <a:off x="1228725" y="3756688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1985</xdr:row>
      <xdr:rowOff>9525</xdr:rowOff>
    </xdr:from>
    <xdr:to>
      <xdr:col>2</xdr:col>
      <xdr:colOff>1733550</xdr:colOff>
      <xdr:row>1985</xdr:row>
      <xdr:rowOff>1524000</xdr:rowOff>
    </xdr:to>
    <xdr:pic>
      <xdr:nvPicPr>
        <xdr:cNvPr id="1985" name="Picture 1984"/>
        <xdr:cNvPicPr>
          <a:picLocks noChangeAspect="1" noChangeArrowheads="1"/>
        </xdr:cNvPicPr>
      </xdr:nvPicPr>
      <xdr:blipFill>
        <a:blip xmlns:r="http://schemas.openxmlformats.org/officeDocument/2006/relationships" r:embed="rId1983">
          <a:extLst>
            <a:ext uri="{28A0092B-C50C-407E-A947-70E740481C1C}">
              <a14:useLocalDpi xmlns:a14="http://schemas.microsoft.com/office/drawing/2010/main" val="0"/>
            </a:ext>
          </a:extLst>
        </a:blip>
        <a:srcRect/>
        <a:stretch>
          <a:fillRect/>
        </a:stretch>
      </xdr:blipFill>
      <xdr:spPr bwMode="auto">
        <a:xfrm>
          <a:off x="1228725" y="3758441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1986</xdr:row>
      <xdr:rowOff>9525</xdr:rowOff>
    </xdr:from>
    <xdr:to>
      <xdr:col>2</xdr:col>
      <xdr:colOff>1733550</xdr:colOff>
      <xdr:row>1986</xdr:row>
      <xdr:rowOff>1524000</xdr:rowOff>
    </xdr:to>
    <xdr:pic>
      <xdr:nvPicPr>
        <xdr:cNvPr id="1986" name="Picture 1985"/>
        <xdr:cNvPicPr>
          <a:picLocks noChangeAspect="1" noChangeArrowheads="1"/>
        </xdr:cNvPicPr>
      </xdr:nvPicPr>
      <xdr:blipFill>
        <a:blip xmlns:r="http://schemas.openxmlformats.org/officeDocument/2006/relationships" r:embed="rId1984">
          <a:extLst>
            <a:ext uri="{28A0092B-C50C-407E-A947-70E740481C1C}">
              <a14:useLocalDpi xmlns:a14="http://schemas.microsoft.com/office/drawing/2010/main" val="0"/>
            </a:ext>
          </a:extLst>
        </a:blip>
        <a:srcRect/>
        <a:stretch>
          <a:fillRect/>
        </a:stretch>
      </xdr:blipFill>
      <xdr:spPr bwMode="auto">
        <a:xfrm>
          <a:off x="1228725" y="3760193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1987</xdr:row>
      <xdr:rowOff>9525</xdr:rowOff>
    </xdr:from>
    <xdr:to>
      <xdr:col>2</xdr:col>
      <xdr:colOff>1733550</xdr:colOff>
      <xdr:row>1987</xdr:row>
      <xdr:rowOff>1524000</xdr:rowOff>
    </xdr:to>
    <xdr:pic>
      <xdr:nvPicPr>
        <xdr:cNvPr id="1987" name="Picture 1986"/>
        <xdr:cNvPicPr>
          <a:picLocks noChangeAspect="1" noChangeArrowheads="1"/>
        </xdr:cNvPicPr>
      </xdr:nvPicPr>
      <xdr:blipFill>
        <a:blip xmlns:r="http://schemas.openxmlformats.org/officeDocument/2006/relationships" r:embed="rId1985">
          <a:extLst>
            <a:ext uri="{28A0092B-C50C-407E-A947-70E740481C1C}">
              <a14:useLocalDpi xmlns:a14="http://schemas.microsoft.com/office/drawing/2010/main" val="0"/>
            </a:ext>
          </a:extLst>
        </a:blip>
        <a:srcRect/>
        <a:stretch>
          <a:fillRect/>
        </a:stretch>
      </xdr:blipFill>
      <xdr:spPr bwMode="auto">
        <a:xfrm>
          <a:off x="1228725" y="3761946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1988</xdr:row>
      <xdr:rowOff>9525</xdr:rowOff>
    </xdr:from>
    <xdr:to>
      <xdr:col>2</xdr:col>
      <xdr:colOff>1733550</xdr:colOff>
      <xdr:row>1988</xdr:row>
      <xdr:rowOff>1524000</xdr:rowOff>
    </xdr:to>
    <xdr:pic>
      <xdr:nvPicPr>
        <xdr:cNvPr id="1988" name="Picture 1987"/>
        <xdr:cNvPicPr>
          <a:picLocks noChangeAspect="1" noChangeArrowheads="1"/>
        </xdr:cNvPicPr>
      </xdr:nvPicPr>
      <xdr:blipFill>
        <a:blip xmlns:r="http://schemas.openxmlformats.org/officeDocument/2006/relationships" r:embed="rId1986">
          <a:extLst>
            <a:ext uri="{28A0092B-C50C-407E-A947-70E740481C1C}">
              <a14:useLocalDpi xmlns:a14="http://schemas.microsoft.com/office/drawing/2010/main" val="0"/>
            </a:ext>
          </a:extLst>
        </a:blip>
        <a:srcRect/>
        <a:stretch>
          <a:fillRect/>
        </a:stretch>
      </xdr:blipFill>
      <xdr:spPr bwMode="auto">
        <a:xfrm>
          <a:off x="1228725" y="3763698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1989</xdr:row>
      <xdr:rowOff>9525</xdr:rowOff>
    </xdr:from>
    <xdr:to>
      <xdr:col>2</xdr:col>
      <xdr:colOff>1733550</xdr:colOff>
      <xdr:row>1989</xdr:row>
      <xdr:rowOff>1524000</xdr:rowOff>
    </xdr:to>
    <xdr:pic>
      <xdr:nvPicPr>
        <xdr:cNvPr id="1989" name="Picture 1988"/>
        <xdr:cNvPicPr>
          <a:picLocks noChangeAspect="1" noChangeArrowheads="1"/>
        </xdr:cNvPicPr>
      </xdr:nvPicPr>
      <xdr:blipFill>
        <a:blip xmlns:r="http://schemas.openxmlformats.org/officeDocument/2006/relationships" r:embed="rId1987">
          <a:extLst>
            <a:ext uri="{28A0092B-C50C-407E-A947-70E740481C1C}">
              <a14:useLocalDpi xmlns:a14="http://schemas.microsoft.com/office/drawing/2010/main" val="0"/>
            </a:ext>
          </a:extLst>
        </a:blip>
        <a:srcRect/>
        <a:stretch>
          <a:fillRect/>
        </a:stretch>
      </xdr:blipFill>
      <xdr:spPr bwMode="auto">
        <a:xfrm>
          <a:off x="1228725" y="3765451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1990</xdr:row>
      <xdr:rowOff>9525</xdr:rowOff>
    </xdr:from>
    <xdr:to>
      <xdr:col>2</xdr:col>
      <xdr:colOff>1733550</xdr:colOff>
      <xdr:row>1990</xdr:row>
      <xdr:rowOff>1524000</xdr:rowOff>
    </xdr:to>
    <xdr:pic>
      <xdr:nvPicPr>
        <xdr:cNvPr id="1990" name="Picture 1989"/>
        <xdr:cNvPicPr>
          <a:picLocks noChangeAspect="1" noChangeArrowheads="1"/>
        </xdr:cNvPicPr>
      </xdr:nvPicPr>
      <xdr:blipFill>
        <a:blip xmlns:r="http://schemas.openxmlformats.org/officeDocument/2006/relationships" r:embed="rId1988">
          <a:extLst>
            <a:ext uri="{28A0092B-C50C-407E-A947-70E740481C1C}">
              <a14:useLocalDpi xmlns:a14="http://schemas.microsoft.com/office/drawing/2010/main" val="0"/>
            </a:ext>
          </a:extLst>
        </a:blip>
        <a:srcRect/>
        <a:stretch>
          <a:fillRect/>
        </a:stretch>
      </xdr:blipFill>
      <xdr:spPr bwMode="auto">
        <a:xfrm>
          <a:off x="1228725" y="3767204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1991</xdr:row>
      <xdr:rowOff>9525</xdr:rowOff>
    </xdr:from>
    <xdr:to>
      <xdr:col>2</xdr:col>
      <xdr:colOff>1733550</xdr:colOff>
      <xdr:row>1991</xdr:row>
      <xdr:rowOff>1524000</xdr:rowOff>
    </xdr:to>
    <xdr:pic>
      <xdr:nvPicPr>
        <xdr:cNvPr id="1991" name="Picture 1990"/>
        <xdr:cNvPicPr>
          <a:picLocks noChangeAspect="1" noChangeArrowheads="1"/>
        </xdr:cNvPicPr>
      </xdr:nvPicPr>
      <xdr:blipFill>
        <a:blip xmlns:r="http://schemas.openxmlformats.org/officeDocument/2006/relationships" r:embed="rId1989">
          <a:extLst>
            <a:ext uri="{28A0092B-C50C-407E-A947-70E740481C1C}">
              <a14:useLocalDpi xmlns:a14="http://schemas.microsoft.com/office/drawing/2010/main" val="0"/>
            </a:ext>
          </a:extLst>
        </a:blip>
        <a:srcRect/>
        <a:stretch>
          <a:fillRect/>
        </a:stretch>
      </xdr:blipFill>
      <xdr:spPr bwMode="auto">
        <a:xfrm>
          <a:off x="1228725" y="3768956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1992</xdr:row>
      <xdr:rowOff>9525</xdr:rowOff>
    </xdr:from>
    <xdr:to>
      <xdr:col>2</xdr:col>
      <xdr:colOff>1733550</xdr:colOff>
      <xdr:row>1992</xdr:row>
      <xdr:rowOff>1524000</xdr:rowOff>
    </xdr:to>
    <xdr:pic>
      <xdr:nvPicPr>
        <xdr:cNvPr id="1992" name="Picture 1991"/>
        <xdr:cNvPicPr>
          <a:picLocks noChangeAspect="1" noChangeArrowheads="1"/>
        </xdr:cNvPicPr>
      </xdr:nvPicPr>
      <xdr:blipFill>
        <a:blip xmlns:r="http://schemas.openxmlformats.org/officeDocument/2006/relationships" r:embed="rId1990">
          <a:extLst>
            <a:ext uri="{28A0092B-C50C-407E-A947-70E740481C1C}">
              <a14:useLocalDpi xmlns:a14="http://schemas.microsoft.com/office/drawing/2010/main" val="0"/>
            </a:ext>
          </a:extLst>
        </a:blip>
        <a:srcRect/>
        <a:stretch>
          <a:fillRect/>
        </a:stretch>
      </xdr:blipFill>
      <xdr:spPr bwMode="auto">
        <a:xfrm>
          <a:off x="1228725" y="3770709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1993</xdr:row>
      <xdr:rowOff>9525</xdr:rowOff>
    </xdr:from>
    <xdr:to>
      <xdr:col>2</xdr:col>
      <xdr:colOff>1733550</xdr:colOff>
      <xdr:row>1993</xdr:row>
      <xdr:rowOff>1524000</xdr:rowOff>
    </xdr:to>
    <xdr:pic>
      <xdr:nvPicPr>
        <xdr:cNvPr id="1993" name="Picture 1992"/>
        <xdr:cNvPicPr>
          <a:picLocks noChangeAspect="1" noChangeArrowheads="1"/>
        </xdr:cNvPicPr>
      </xdr:nvPicPr>
      <xdr:blipFill>
        <a:blip xmlns:r="http://schemas.openxmlformats.org/officeDocument/2006/relationships" r:embed="rId1991">
          <a:extLst>
            <a:ext uri="{28A0092B-C50C-407E-A947-70E740481C1C}">
              <a14:useLocalDpi xmlns:a14="http://schemas.microsoft.com/office/drawing/2010/main" val="0"/>
            </a:ext>
          </a:extLst>
        </a:blip>
        <a:srcRect/>
        <a:stretch>
          <a:fillRect/>
        </a:stretch>
      </xdr:blipFill>
      <xdr:spPr bwMode="auto">
        <a:xfrm>
          <a:off x="1228725" y="3772461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1994</xdr:row>
      <xdr:rowOff>9525</xdr:rowOff>
    </xdr:from>
    <xdr:to>
      <xdr:col>2</xdr:col>
      <xdr:colOff>1733550</xdr:colOff>
      <xdr:row>1994</xdr:row>
      <xdr:rowOff>1524000</xdr:rowOff>
    </xdr:to>
    <xdr:pic>
      <xdr:nvPicPr>
        <xdr:cNvPr id="1994" name="Picture 1993"/>
        <xdr:cNvPicPr>
          <a:picLocks noChangeAspect="1" noChangeArrowheads="1"/>
        </xdr:cNvPicPr>
      </xdr:nvPicPr>
      <xdr:blipFill>
        <a:blip xmlns:r="http://schemas.openxmlformats.org/officeDocument/2006/relationships" r:embed="rId1992">
          <a:extLst>
            <a:ext uri="{28A0092B-C50C-407E-A947-70E740481C1C}">
              <a14:useLocalDpi xmlns:a14="http://schemas.microsoft.com/office/drawing/2010/main" val="0"/>
            </a:ext>
          </a:extLst>
        </a:blip>
        <a:srcRect/>
        <a:stretch>
          <a:fillRect/>
        </a:stretch>
      </xdr:blipFill>
      <xdr:spPr bwMode="auto">
        <a:xfrm>
          <a:off x="1228725" y="3774214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1995</xdr:row>
      <xdr:rowOff>9525</xdr:rowOff>
    </xdr:from>
    <xdr:to>
      <xdr:col>2</xdr:col>
      <xdr:colOff>1733550</xdr:colOff>
      <xdr:row>1995</xdr:row>
      <xdr:rowOff>1524000</xdr:rowOff>
    </xdr:to>
    <xdr:pic>
      <xdr:nvPicPr>
        <xdr:cNvPr id="1995" name="Picture 1994"/>
        <xdr:cNvPicPr>
          <a:picLocks noChangeAspect="1" noChangeArrowheads="1"/>
        </xdr:cNvPicPr>
      </xdr:nvPicPr>
      <xdr:blipFill>
        <a:blip xmlns:r="http://schemas.openxmlformats.org/officeDocument/2006/relationships" r:embed="rId1993">
          <a:extLst>
            <a:ext uri="{28A0092B-C50C-407E-A947-70E740481C1C}">
              <a14:useLocalDpi xmlns:a14="http://schemas.microsoft.com/office/drawing/2010/main" val="0"/>
            </a:ext>
          </a:extLst>
        </a:blip>
        <a:srcRect/>
        <a:stretch>
          <a:fillRect/>
        </a:stretch>
      </xdr:blipFill>
      <xdr:spPr bwMode="auto">
        <a:xfrm>
          <a:off x="1228725" y="3775967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1996</xdr:row>
      <xdr:rowOff>9525</xdr:rowOff>
    </xdr:from>
    <xdr:to>
      <xdr:col>2</xdr:col>
      <xdr:colOff>1733550</xdr:colOff>
      <xdr:row>1996</xdr:row>
      <xdr:rowOff>1524000</xdr:rowOff>
    </xdr:to>
    <xdr:pic>
      <xdr:nvPicPr>
        <xdr:cNvPr id="1996" name="Picture 1995"/>
        <xdr:cNvPicPr>
          <a:picLocks noChangeAspect="1" noChangeArrowheads="1"/>
        </xdr:cNvPicPr>
      </xdr:nvPicPr>
      <xdr:blipFill>
        <a:blip xmlns:r="http://schemas.openxmlformats.org/officeDocument/2006/relationships" r:embed="rId1994">
          <a:extLst>
            <a:ext uri="{28A0092B-C50C-407E-A947-70E740481C1C}">
              <a14:useLocalDpi xmlns:a14="http://schemas.microsoft.com/office/drawing/2010/main" val="0"/>
            </a:ext>
          </a:extLst>
        </a:blip>
        <a:srcRect/>
        <a:stretch>
          <a:fillRect/>
        </a:stretch>
      </xdr:blipFill>
      <xdr:spPr bwMode="auto">
        <a:xfrm>
          <a:off x="1228725" y="3777719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1997</xdr:row>
      <xdr:rowOff>9525</xdr:rowOff>
    </xdr:from>
    <xdr:to>
      <xdr:col>2</xdr:col>
      <xdr:colOff>1733550</xdr:colOff>
      <xdr:row>1997</xdr:row>
      <xdr:rowOff>1524000</xdr:rowOff>
    </xdr:to>
    <xdr:pic>
      <xdr:nvPicPr>
        <xdr:cNvPr id="1997" name="Picture 1996"/>
        <xdr:cNvPicPr>
          <a:picLocks noChangeAspect="1" noChangeArrowheads="1"/>
        </xdr:cNvPicPr>
      </xdr:nvPicPr>
      <xdr:blipFill>
        <a:blip xmlns:r="http://schemas.openxmlformats.org/officeDocument/2006/relationships" r:embed="rId1995">
          <a:extLst>
            <a:ext uri="{28A0092B-C50C-407E-A947-70E740481C1C}">
              <a14:useLocalDpi xmlns:a14="http://schemas.microsoft.com/office/drawing/2010/main" val="0"/>
            </a:ext>
          </a:extLst>
        </a:blip>
        <a:srcRect/>
        <a:stretch>
          <a:fillRect/>
        </a:stretch>
      </xdr:blipFill>
      <xdr:spPr bwMode="auto">
        <a:xfrm>
          <a:off x="1228725" y="3779472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1998</xdr:row>
      <xdr:rowOff>9525</xdr:rowOff>
    </xdr:from>
    <xdr:to>
      <xdr:col>2</xdr:col>
      <xdr:colOff>1733550</xdr:colOff>
      <xdr:row>1998</xdr:row>
      <xdr:rowOff>1524000</xdr:rowOff>
    </xdr:to>
    <xdr:pic>
      <xdr:nvPicPr>
        <xdr:cNvPr id="1998" name="Picture 1997"/>
        <xdr:cNvPicPr>
          <a:picLocks noChangeAspect="1" noChangeArrowheads="1"/>
        </xdr:cNvPicPr>
      </xdr:nvPicPr>
      <xdr:blipFill>
        <a:blip xmlns:r="http://schemas.openxmlformats.org/officeDocument/2006/relationships" r:embed="rId1996">
          <a:extLst>
            <a:ext uri="{28A0092B-C50C-407E-A947-70E740481C1C}">
              <a14:useLocalDpi xmlns:a14="http://schemas.microsoft.com/office/drawing/2010/main" val="0"/>
            </a:ext>
          </a:extLst>
        </a:blip>
        <a:srcRect/>
        <a:stretch>
          <a:fillRect/>
        </a:stretch>
      </xdr:blipFill>
      <xdr:spPr bwMode="auto">
        <a:xfrm>
          <a:off x="1228725" y="3781224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1999</xdr:row>
      <xdr:rowOff>9525</xdr:rowOff>
    </xdr:from>
    <xdr:to>
      <xdr:col>2</xdr:col>
      <xdr:colOff>1733550</xdr:colOff>
      <xdr:row>1999</xdr:row>
      <xdr:rowOff>1524000</xdr:rowOff>
    </xdr:to>
    <xdr:pic>
      <xdr:nvPicPr>
        <xdr:cNvPr id="1999" name="Picture 1998"/>
        <xdr:cNvPicPr>
          <a:picLocks noChangeAspect="1" noChangeArrowheads="1"/>
        </xdr:cNvPicPr>
      </xdr:nvPicPr>
      <xdr:blipFill>
        <a:blip xmlns:r="http://schemas.openxmlformats.org/officeDocument/2006/relationships" r:embed="rId1997">
          <a:extLst>
            <a:ext uri="{28A0092B-C50C-407E-A947-70E740481C1C}">
              <a14:useLocalDpi xmlns:a14="http://schemas.microsoft.com/office/drawing/2010/main" val="0"/>
            </a:ext>
          </a:extLst>
        </a:blip>
        <a:srcRect/>
        <a:stretch>
          <a:fillRect/>
        </a:stretch>
      </xdr:blipFill>
      <xdr:spPr bwMode="auto">
        <a:xfrm>
          <a:off x="1228725" y="3782977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2000</xdr:row>
      <xdr:rowOff>9525</xdr:rowOff>
    </xdr:from>
    <xdr:to>
      <xdr:col>2</xdr:col>
      <xdr:colOff>1733550</xdr:colOff>
      <xdr:row>2000</xdr:row>
      <xdr:rowOff>1524000</xdr:rowOff>
    </xdr:to>
    <xdr:pic>
      <xdr:nvPicPr>
        <xdr:cNvPr id="2000" name="Picture 1999"/>
        <xdr:cNvPicPr>
          <a:picLocks noChangeAspect="1" noChangeArrowheads="1"/>
        </xdr:cNvPicPr>
      </xdr:nvPicPr>
      <xdr:blipFill>
        <a:blip xmlns:r="http://schemas.openxmlformats.org/officeDocument/2006/relationships" r:embed="rId1998">
          <a:extLst>
            <a:ext uri="{28A0092B-C50C-407E-A947-70E740481C1C}">
              <a14:useLocalDpi xmlns:a14="http://schemas.microsoft.com/office/drawing/2010/main" val="0"/>
            </a:ext>
          </a:extLst>
        </a:blip>
        <a:srcRect/>
        <a:stretch>
          <a:fillRect/>
        </a:stretch>
      </xdr:blipFill>
      <xdr:spPr bwMode="auto">
        <a:xfrm>
          <a:off x="1228725" y="3784730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2001</xdr:row>
      <xdr:rowOff>19050</xdr:rowOff>
    </xdr:from>
    <xdr:to>
      <xdr:col>2</xdr:col>
      <xdr:colOff>1733550</xdr:colOff>
      <xdr:row>2001</xdr:row>
      <xdr:rowOff>1647825</xdr:rowOff>
    </xdr:to>
    <xdr:pic>
      <xdr:nvPicPr>
        <xdr:cNvPr id="2001" name="Picture 2000"/>
        <xdr:cNvPicPr>
          <a:picLocks noChangeAspect="1" noChangeArrowheads="1"/>
        </xdr:cNvPicPr>
      </xdr:nvPicPr>
      <xdr:blipFill>
        <a:blip xmlns:r="http://schemas.openxmlformats.org/officeDocument/2006/relationships" r:embed="rId1999">
          <a:extLst>
            <a:ext uri="{28A0092B-C50C-407E-A947-70E740481C1C}">
              <a14:useLocalDpi xmlns:a14="http://schemas.microsoft.com/office/drawing/2010/main" val="0"/>
            </a:ext>
          </a:extLst>
        </a:blip>
        <a:srcRect/>
        <a:stretch>
          <a:fillRect/>
        </a:stretch>
      </xdr:blipFill>
      <xdr:spPr bwMode="auto">
        <a:xfrm>
          <a:off x="1228725" y="37864923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2002</xdr:row>
      <xdr:rowOff>19050</xdr:rowOff>
    </xdr:from>
    <xdr:to>
      <xdr:col>2</xdr:col>
      <xdr:colOff>1733550</xdr:colOff>
      <xdr:row>2002</xdr:row>
      <xdr:rowOff>1647825</xdr:rowOff>
    </xdr:to>
    <xdr:pic>
      <xdr:nvPicPr>
        <xdr:cNvPr id="2002" name="Picture 2001"/>
        <xdr:cNvPicPr>
          <a:picLocks noChangeAspect="1" noChangeArrowheads="1"/>
        </xdr:cNvPicPr>
      </xdr:nvPicPr>
      <xdr:blipFill>
        <a:blip xmlns:r="http://schemas.openxmlformats.org/officeDocument/2006/relationships" r:embed="rId2000">
          <a:extLst>
            <a:ext uri="{28A0092B-C50C-407E-A947-70E740481C1C}">
              <a14:useLocalDpi xmlns:a14="http://schemas.microsoft.com/office/drawing/2010/main" val="0"/>
            </a:ext>
          </a:extLst>
        </a:blip>
        <a:srcRect/>
        <a:stretch>
          <a:fillRect/>
        </a:stretch>
      </xdr:blipFill>
      <xdr:spPr bwMode="auto">
        <a:xfrm>
          <a:off x="1228725" y="37883877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2003</xdr:row>
      <xdr:rowOff>19050</xdr:rowOff>
    </xdr:from>
    <xdr:to>
      <xdr:col>2</xdr:col>
      <xdr:colOff>1733550</xdr:colOff>
      <xdr:row>2003</xdr:row>
      <xdr:rowOff>1647825</xdr:rowOff>
    </xdr:to>
    <xdr:pic>
      <xdr:nvPicPr>
        <xdr:cNvPr id="2003" name="Picture 2002"/>
        <xdr:cNvPicPr>
          <a:picLocks noChangeAspect="1" noChangeArrowheads="1"/>
        </xdr:cNvPicPr>
      </xdr:nvPicPr>
      <xdr:blipFill>
        <a:blip xmlns:r="http://schemas.openxmlformats.org/officeDocument/2006/relationships" r:embed="rId2001">
          <a:extLst>
            <a:ext uri="{28A0092B-C50C-407E-A947-70E740481C1C}">
              <a14:useLocalDpi xmlns:a14="http://schemas.microsoft.com/office/drawing/2010/main" val="0"/>
            </a:ext>
          </a:extLst>
        </a:blip>
        <a:srcRect/>
        <a:stretch>
          <a:fillRect/>
        </a:stretch>
      </xdr:blipFill>
      <xdr:spPr bwMode="auto">
        <a:xfrm>
          <a:off x="1228725" y="37902832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2004</xdr:row>
      <xdr:rowOff>19050</xdr:rowOff>
    </xdr:from>
    <xdr:to>
      <xdr:col>2</xdr:col>
      <xdr:colOff>1733550</xdr:colOff>
      <xdr:row>2004</xdr:row>
      <xdr:rowOff>1685925</xdr:rowOff>
    </xdr:to>
    <xdr:pic>
      <xdr:nvPicPr>
        <xdr:cNvPr id="2004" name="Picture 2003"/>
        <xdr:cNvPicPr>
          <a:picLocks noChangeAspect="1" noChangeArrowheads="1"/>
        </xdr:cNvPicPr>
      </xdr:nvPicPr>
      <xdr:blipFill>
        <a:blip xmlns:r="http://schemas.openxmlformats.org/officeDocument/2006/relationships" r:embed="rId2002">
          <a:extLst>
            <a:ext uri="{28A0092B-C50C-407E-A947-70E740481C1C}">
              <a14:useLocalDpi xmlns:a14="http://schemas.microsoft.com/office/drawing/2010/main" val="0"/>
            </a:ext>
          </a:extLst>
        </a:blip>
        <a:srcRect/>
        <a:stretch>
          <a:fillRect/>
        </a:stretch>
      </xdr:blipFill>
      <xdr:spPr bwMode="auto">
        <a:xfrm>
          <a:off x="1228725" y="37921787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2005</xdr:row>
      <xdr:rowOff>19050</xdr:rowOff>
    </xdr:from>
    <xdr:to>
      <xdr:col>2</xdr:col>
      <xdr:colOff>1733550</xdr:colOff>
      <xdr:row>2005</xdr:row>
      <xdr:rowOff>1685925</xdr:rowOff>
    </xdr:to>
    <xdr:pic>
      <xdr:nvPicPr>
        <xdr:cNvPr id="2005" name="Picture 2004"/>
        <xdr:cNvPicPr>
          <a:picLocks noChangeAspect="1" noChangeArrowheads="1"/>
        </xdr:cNvPicPr>
      </xdr:nvPicPr>
      <xdr:blipFill>
        <a:blip xmlns:r="http://schemas.openxmlformats.org/officeDocument/2006/relationships" r:embed="rId2003">
          <a:extLst>
            <a:ext uri="{28A0092B-C50C-407E-A947-70E740481C1C}">
              <a14:useLocalDpi xmlns:a14="http://schemas.microsoft.com/office/drawing/2010/main" val="0"/>
            </a:ext>
          </a:extLst>
        </a:blip>
        <a:srcRect/>
        <a:stretch>
          <a:fillRect/>
        </a:stretch>
      </xdr:blipFill>
      <xdr:spPr bwMode="auto">
        <a:xfrm>
          <a:off x="1228725" y="37941218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2006</xdr:row>
      <xdr:rowOff>19050</xdr:rowOff>
    </xdr:from>
    <xdr:to>
      <xdr:col>2</xdr:col>
      <xdr:colOff>1733550</xdr:colOff>
      <xdr:row>2006</xdr:row>
      <xdr:rowOff>1685925</xdr:rowOff>
    </xdr:to>
    <xdr:pic>
      <xdr:nvPicPr>
        <xdr:cNvPr id="2006" name="Picture 2005"/>
        <xdr:cNvPicPr>
          <a:picLocks noChangeAspect="1" noChangeArrowheads="1"/>
        </xdr:cNvPicPr>
      </xdr:nvPicPr>
      <xdr:blipFill>
        <a:blip xmlns:r="http://schemas.openxmlformats.org/officeDocument/2006/relationships" r:embed="rId2004">
          <a:extLst>
            <a:ext uri="{28A0092B-C50C-407E-A947-70E740481C1C}">
              <a14:useLocalDpi xmlns:a14="http://schemas.microsoft.com/office/drawing/2010/main" val="0"/>
            </a:ext>
          </a:extLst>
        </a:blip>
        <a:srcRect/>
        <a:stretch>
          <a:fillRect/>
        </a:stretch>
      </xdr:blipFill>
      <xdr:spPr bwMode="auto">
        <a:xfrm>
          <a:off x="1228725" y="37960649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2007</xdr:row>
      <xdr:rowOff>19050</xdr:rowOff>
    </xdr:from>
    <xdr:to>
      <xdr:col>2</xdr:col>
      <xdr:colOff>1733550</xdr:colOff>
      <xdr:row>2007</xdr:row>
      <xdr:rowOff>1685925</xdr:rowOff>
    </xdr:to>
    <xdr:pic>
      <xdr:nvPicPr>
        <xdr:cNvPr id="2007" name="Picture 2006"/>
        <xdr:cNvPicPr>
          <a:picLocks noChangeAspect="1" noChangeArrowheads="1"/>
        </xdr:cNvPicPr>
      </xdr:nvPicPr>
      <xdr:blipFill>
        <a:blip xmlns:r="http://schemas.openxmlformats.org/officeDocument/2006/relationships" r:embed="rId2005">
          <a:extLst>
            <a:ext uri="{28A0092B-C50C-407E-A947-70E740481C1C}">
              <a14:useLocalDpi xmlns:a14="http://schemas.microsoft.com/office/drawing/2010/main" val="0"/>
            </a:ext>
          </a:extLst>
        </a:blip>
        <a:srcRect/>
        <a:stretch>
          <a:fillRect/>
        </a:stretch>
      </xdr:blipFill>
      <xdr:spPr bwMode="auto">
        <a:xfrm>
          <a:off x="1228725" y="37980080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2008</xdr:row>
      <xdr:rowOff>19050</xdr:rowOff>
    </xdr:from>
    <xdr:to>
      <xdr:col>2</xdr:col>
      <xdr:colOff>1733550</xdr:colOff>
      <xdr:row>2008</xdr:row>
      <xdr:rowOff>1685925</xdr:rowOff>
    </xdr:to>
    <xdr:pic>
      <xdr:nvPicPr>
        <xdr:cNvPr id="2008" name="Picture 2007"/>
        <xdr:cNvPicPr>
          <a:picLocks noChangeAspect="1" noChangeArrowheads="1"/>
        </xdr:cNvPicPr>
      </xdr:nvPicPr>
      <xdr:blipFill>
        <a:blip xmlns:r="http://schemas.openxmlformats.org/officeDocument/2006/relationships" r:embed="rId2006">
          <a:extLst>
            <a:ext uri="{28A0092B-C50C-407E-A947-70E740481C1C}">
              <a14:useLocalDpi xmlns:a14="http://schemas.microsoft.com/office/drawing/2010/main" val="0"/>
            </a:ext>
          </a:extLst>
        </a:blip>
        <a:srcRect/>
        <a:stretch>
          <a:fillRect/>
        </a:stretch>
      </xdr:blipFill>
      <xdr:spPr bwMode="auto">
        <a:xfrm>
          <a:off x="1228725" y="37999511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2009</xdr:row>
      <xdr:rowOff>19050</xdr:rowOff>
    </xdr:from>
    <xdr:to>
      <xdr:col>2</xdr:col>
      <xdr:colOff>1733550</xdr:colOff>
      <xdr:row>2009</xdr:row>
      <xdr:rowOff>1685925</xdr:rowOff>
    </xdr:to>
    <xdr:pic>
      <xdr:nvPicPr>
        <xdr:cNvPr id="2009" name="Picture 2008"/>
        <xdr:cNvPicPr>
          <a:picLocks noChangeAspect="1" noChangeArrowheads="1"/>
        </xdr:cNvPicPr>
      </xdr:nvPicPr>
      <xdr:blipFill>
        <a:blip xmlns:r="http://schemas.openxmlformats.org/officeDocument/2006/relationships" r:embed="rId2007">
          <a:extLst>
            <a:ext uri="{28A0092B-C50C-407E-A947-70E740481C1C}">
              <a14:useLocalDpi xmlns:a14="http://schemas.microsoft.com/office/drawing/2010/main" val="0"/>
            </a:ext>
          </a:extLst>
        </a:blip>
        <a:srcRect/>
        <a:stretch>
          <a:fillRect/>
        </a:stretch>
      </xdr:blipFill>
      <xdr:spPr bwMode="auto">
        <a:xfrm>
          <a:off x="1228725" y="38018942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2010</xdr:row>
      <xdr:rowOff>19050</xdr:rowOff>
    </xdr:from>
    <xdr:to>
      <xdr:col>2</xdr:col>
      <xdr:colOff>1733550</xdr:colOff>
      <xdr:row>2010</xdr:row>
      <xdr:rowOff>1685925</xdr:rowOff>
    </xdr:to>
    <xdr:pic>
      <xdr:nvPicPr>
        <xdr:cNvPr id="2010" name="Picture 2009"/>
        <xdr:cNvPicPr>
          <a:picLocks noChangeAspect="1" noChangeArrowheads="1"/>
        </xdr:cNvPicPr>
      </xdr:nvPicPr>
      <xdr:blipFill>
        <a:blip xmlns:r="http://schemas.openxmlformats.org/officeDocument/2006/relationships" r:embed="rId2008">
          <a:extLst>
            <a:ext uri="{28A0092B-C50C-407E-A947-70E740481C1C}">
              <a14:useLocalDpi xmlns:a14="http://schemas.microsoft.com/office/drawing/2010/main" val="0"/>
            </a:ext>
          </a:extLst>
        </a:blip>
        <a:srcRect/>
        <a:stretch>
          <a:fillRect/>
        </a:stretch>
      </xdr:blipFill>
      <xdr:spPr bwMode="auto">
        <a:xfrm>
          <a:off x="1228725" y="38038373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2011</xdr:row>
      <xdr:rowOff>19050</xdr:rowOff>
    </xdr:from>
    <xdr:to>
      <xdr:col>2</xdr:col>
      <xdr:colOff>1733550</xdr:colOff>
      <xdr:row>2011</xdr:row>
      <xdr:rowOff>1685925</xdr:rowOff>
    </xdr:to>
    <xdr:pic>
      <xdr:nvPicPr>
        <xdr:cNvPr id="2011" name="Picture 2010"/>
        <xdr:cNvPicPr>
          <a:picLocks noChangeAspect="1" noChangeArrowheads="1"/>
        </xdr:cNvPicPr>
      </xdr:nvPicPr>
      <xdr:blipFill>
        <a:blip xmlns:r="http://schemas.openxmlformats.org/officeDocument/2006/relationships" r:embed="rId2009">
          <a:extLst>
            <a:ext uri="{28A0092B-C50C-407E-A947-70E740481C1C}">
              <a14:useLocalDpi xmlns:a14="http://schemas.microsoft.com/office/drawing/2010/main" val="0"/>
            </a:ext>
          </a:extLst>
        </a:blip>
        <a:srcRect/>
        <a:stretch>
          <a:fillRect/>
        </a:stretch>
      </xdr:blipFill>
      <xdr:spPr bwMode="auto">
        <a:xfrm>
          <a:off x="1228725" y="38057804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2012</xdr:row>
      <xdr:rowOff>19050</xdr:rowOff>
    </xdr:from>
    <xdr:to>
      <xdr:col>2</xdr:col>
      <xdr:colOff>1733550</xdr:colOff>
      <xdr:row>2012</xdr:row>
      <xdr:rowOff>1666875</xdr:rowOff>
    </xdr:to>
    <xdr:pic>
      <xdr:nvPicPr>
        <xdr:cNvPr id="2012" name="Picture 2011"/>
        <xdr:cNvPicPr>
          <a:picLocks noChangeAspect="1" noChangeArrowheads="1"/>
        </xdr:cNvPicPr>
      </xdr:nvPicPr>
      <xdr:blipFill>
        <a:blip xmlns:r="http://schemas.openxmlformats.org/officeDocument/2006/relationships" r:embed="rId2010">
          <a:extLst>
            <a:ext uri="{28A0092B-C50C-407E-A947-70E740481C1C}">
              <a14:useLocalDpi xmlns:a14="http://schemas.microsoft.com/office/drawing/2010/main" val="0"/>
            </a:ext>
          </a:extLst>
        </a:blip>
        <a:srcRect/>
        <a:stretch>
          <a:fillRect/>
        </a:stretch>
      </xdr:blipFill>
      <xdr:spPr bwMode="auto">
        <a:xfrm>
          <a:off x="1228725" y="3807723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2013</xdr:row>
      <xdr:rowOff>19050</xdr:rowOff>
    </xdr:from>
    <xdr:to>
      <xdr:col>2</xdr:col>
      <xdr:colOff>1733550</xdr:colOff>
      <xdr:row>2013</xdr:row>
      <xdr:rowOff>1666875</xdr:rowOff>
    </xdr:to>
    <xdr:pic>
      <xdr:nvPicPr>
        <xdr:cNvPr id="2013" name="Picture 2012"/>
        <xdr:cNvPicPr>
          <a:picLocks noChangeAspect="1" noChangeArrowheads="1"/>
        </xdr:cNvPicPr>
      </xdr:nvPicPr>
      <xdr:blipFill>
        <a:blip xmlns:r="http://schemas.openxmlformats.org/officeDocument/2006/relationships" r:embed="rId2011">
          <a:extLst>
            <a:ext uri="{28A0092B-C50C-407E-A947-70E740481C1C}">
              <a14:useLocalDpi xmlns:a14="http://schemas.microsoft.com/office/drawing/2010/main" val="0"/>
            </a:ext>
          </a:extLst>
        </a:blip>
        <a:srcRect/>
        <a:stretch>
          <a:fillRect/>
        </a:stretch>
      </xdr:blipFill>
      <xdr:spPr bwMode="auto">
        <a:xfrm>
          <a:off x="1228725" y="3809638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2014</xdr:row>
      <xdr:rowOff>19050</xdr:rowOff>
    </xdr:from>
    <xdr:to>
      <xdr:col>2</xdr:col>
      <xdr:colOff>1733550</xdr:colOff>
      <xdr:row>2014</xdr:row>
      <xdr:rowOff>1647825</xdr:rowOff>
    </xdr:to>
    <xdr:pic>
      <xdr:nvPicPr>
        <xdr:cNvPr id="2014" name="Picture 2013"/>
        <xdr:cNvPicPr>
          <a:picLocks noChangeAspect="1" noChangeArrowheads="1"/>
        </xdr:cNvPicPr>
      </xdr:nvPicPr>
      <xdr:blipFill>
        <a:blip xmlns:r="http://schemas.openxmlformats.org/officeDocument/2006/relationships" r:embed="rId2012">
          <a:extLst>
            <a:ext uri="{28A0092B-C50C-407E-A947-70E740481C1C}">
              <a14:useLocalDpi xmlns:a14="http://schemas.microsoft.com/office/drawing/2010/main" val="0"/>
            </a:ext>
          </a:extLst>
        </a:blip>
        <a:srcRect/>
        <a:stretch>
          <a:fillRect/>
        </a:stretch>
      </xdr:blipFill>
      <xdr:spPr bwMode="auto">
        <a:xfrm>
          <a:off x="1228725" y="38115525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2015</xdr:row>
      <xdr:rowOff>19050</xdr:rowOff>
    </xdr:from>
    <xdr:to>
      <xdr:col>2</xdr:col>
      <xdr:colOff>1733550</xdr:colOff>
      <xdr:row>2015</xdr:row>
      <xdr:rowOff>1685925</xdr:rowOff>
    </xdr:to>
    <xdr:pic>
      <xdr:nvPicPr>
        <xdr:cNvPr id="2015" name="Picture 2014"/>
        <xdr:cNvPicPr>
          <a:picLocks noChangeAspect="1" noChangeArrowheads="1"/>
        </xdr:cNvPicPr>
      </xdr:nvPicPr>
      <xdr:blipFill>
        <a:blip xmlns:r="http://schemas.openxmlformats.org/officeDocument/2006/relationships" r:embed="rId2013">
          <a:extLst>
            <a:ext uri="{28A0092B-C50C-407E-A947-70E740481C1C}">
              <a14:useLocalDpi xmlns:a14="http://schemas.microsoft.com/office/drawing/2010/main" val="0"/>
            </a:ext>
          </a:extLst>
        </a:blip>
        <a:srcRect/>
        <a:stretch>
          <a:fillRect/>
        </a:stretch>
      </xdr:blipFill>
      <xdr:spPr bwMode="auto">
        <a:xfrm>
          <a:off x="1228725" y="38134480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2016</xdr:row>
      <xdr:rowOff>19050</xdr:rowOff>
    </xdr:from>
    <xdr:to>
      <xdr:col>2</xdr:col>
      <xdr:colOff>1733550</xdr:colOff>
      <xdr:row>2016</xdr:row>
      <xdr:rowOff>1685925</xdr:rowOff>
    </xdr:to>
    <xdr:pic>
      <xdr:nvPicPr>
        <xdr:cNvPr id="2016" name="Picture 2015"/>
        <xdr:cNvPicPr>
          <a:picLocks noChangeAspect="1" noChangeArrowheads="1"/>
        </xdr:cNvPicPr>
      </xdr:nvPicPr>
      <xdr:blipFill>
        <a:blip xmlns:r="http://schemas.openxmlformats.org/officeDocument/2006/relationships" r:embed="rId2014">
          <a:extLst>
            <a:ext uri="{28A0092B-C50C-407E-A947-70E740481C1C}">
              <a14:useLocalDpi xmlns:a14="http://schemas.microsoft.com/office/drawing/2010/main" val="0"/>
            </a:ext>
          </a:extLst>
        </a:blip>
        <a:srcRect/>
        <a:stretch>
          <a:fillRect/>
        </a:stretch>
      </xdr:blipFill>
      <xdr:spPr bwMode="auto">
        <a:xfrm>
          <a:off x="1228725" y="38153911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2017</xdr:row>
      <xdr:rowOff>19050</xdr:rowOff>
    </xdr:from>
    <xdr:to>
      <xdr:col>2</xdr:col>
      <xdr:colOff>1733550</xdr:colOff>
      <xdr:row>2017</xdr:row>
      <xdr:rowOff>1685925</xdr:rowOff>
    </xdr:to>
    <xdr:pic>
      <xdr:nvPicPr>
        <xdr:cNvPr id="2017" name="Picture 2016"/>
        <xdr:cNvPicPr>
          <a:picLocks noChangeAspect="1" noChangeArrowheads="1"/>
        </xdr:cNvPicPr>
      </xdr:nvPicPr>
      <xdr:blipFill>
        <a:blip xmlns:r="http://schemas.openxmlformats.org/officeDocument/2006/relationships" r:embed="rId2015">
          <a:extLst>
            <a:ext uri="{28A0092B-C50C-407E-A947-70E740481C1C}">
              <a14:useLocalDpi xmlns:a14="http://schemas.microsoft.com/office/drawing/2010/main" val="0"/>
            </a:ext>
          </a:extLst>
        </a:blip>
        <a:srcRect/>
        <a:stretch>
          <a:fillRect/>
        </a:stretch>
      </xdr:blipFill>
      <xdr:spPr bwMode="auto">
        <a:xfrm>
          <a:off x="1228725" y="38173342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2018</xdr:row>
      <xdr:rowOff>19050</xdr:rowOff>
    </xdr:from>
    <xdr:to>
      <xdr:col>2</xdr:col>
      <xdr:colOff>1733550</xdr:colOff>
      <xdr:row>2018</xdr:row>
      <xdr:rowOff>1647825</xdr:rowOff>
    </xdr:to>
    <xdr:pic>
      <xdr:nvPicPr>
        <xdr:cNvPr id="2018" name="Picture 2017"/>
        <xdr:cNvPicPr>
          <a:picLocks noChangeAspect="1" noChangeArrowheads="1"/>
        </xdr:cNvPicPr>
      </xdr:nvPicPr>
      <xdr:blipFill>
        <a:blip xmlns:r="http://schemas.openxmlformats.org/officeDocument/2006/relationships" r:embed="rId2016">
          <a:extLst>
            <a:ext uri="{28A0092B-C50C-407E-A947-70E740481C1C}">
              <a14:useLocalDpi xmlns:a14="http://schemas.microsoft.com/office/drawing/2010/main" val="0"/>
            </a:ext>
          </a:extLst>
        </a:blip>
        <a:srcRect/>
        <a:stretch>
          <a:fillRect/>
        </a:stretch>
      </xdr:blipFill>
      <xdr:spPr bwMode="auto">
        <a:xfrm>
          <a:off x="1228725" y="3819277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2019</xdr:row>
      <xdr:rowOff>19050</xdr:rowOff>
    </xdr:from>
    <xdr:to>
      <xdr:col>2</xdr:col>
      <xdr:colOff>1733550</xdr:colOff>
      <xdr:row>2019</xdr:row>
      <xdr:rowOff>1647825</xdr:rowOff>
    </xdr:to>
    <xdr:pic>
      <xdr:nvPicPr>
        <xdr:cNvPr id="2019" name="Picture 2018"/>
        <xdr:cNvPicPr>
          <a:picLocks noChangeAspect="1" noChangeArrowheads="1"/>
        </xdr:cNvPicPr>
      </xdr:nvPicPr>
      <xdr:blipFill>
        <a:blip xmlns:r="http://schemas.openxmlformats.org/officeDocument/2006/relationships" r:embed="rId2017">
          <a:extLst>
            <a:ext uri="{28A0092B-C50C-407E-A947-70E740481C1C}">
              <a14:useLocalDpi xmlns:a14="http://schemas.microsoft.com/office/drawing/2010/main" val="0"/>
            </a:ext>
          </a:extLst>
        </a:blip>
        <a:srcRect/>
        <a:stretch>
          <a:fillRect/>
        </a:stretch>
      </xdr:blipFill>
      <xdr:spPr bwMode="auto">
        <a:xfrm>
          <a:off x="1228725" y="3821172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2020</xdr:row>
      <xdr:rowOff>9525</xdr:rowOff>
    </xdr:from>
    <xdr:to>
      <xdr:col>2</xdr:col>
      <xdr:colOff>1733550</xdr:colOff>
      <xdr:row>2020</xdr:row>
      <xdr:rowOff>1524000</xdr:rowOff>
    </xdr:to>
    <xdr:pic>
      <xdr:nvPicPr>
        <xdr:cNvPr id="2020" name="Picture 2019"/>
        <xdr:cNvPicPr>
          <a:picLocks noChangeAspect="1" noChangeArrowheads="1"/>
        </xdr:cNvPicPr>
      </xdr:nvPicPr>
      <xdr:blipFill>
        <a:blip xmlns:r="http://schemas.openxmlformats.org/officeDocument/2006/relationships" r:embed="rId2018">
          <a:extLst>
            <a:ext uri="{28A0092B-C50C-407E-A947-70E740481C1C}">
              <a14:useLocalDpi xmlns:a14="http://schemas.microsoft.com/office/drawing/2010/main" val="0"/>
            </a:ext>
          </a:extLst>
        </a:blip>
        <a:srcRect/>
        <a:stretch>
          <a:fillRect/>
        </a:stretch>
      </xdr:blipFill>
      <xdr:spPr bwMode="auto">
        <a:xfrm>
          <a:off x="1228725" y="3823058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2021</xdr:row>
      <xdr:rowOff>19050</xdr:rowOff>
    </xdr:from>
    <xdr:to>
      <xdr:col>2</xdr:col>
      <xdr:colOff>1733550</xdr:colOff>
      <xdr:row>2021</xdr:row>
      <xdr:rowOff>1666875</xdr:rowOff>
    </xdr:to>
    <xdr:pic>
      <xdr:nvPicPr>
        <xdr:cNvPr id="2021" name="Picture 2020"/>
        <xdr:cNvPicPr>
          <a:picLocks noChangeAspect="1" noChangeArrowheads="1"/>
        </xdr:cNvPicPr>
      </xdr:nvPicPr>
      <xdr:blipFill>
        <a:blip xmlns:r="http://schemas.openxmlformats.org/officeDocument/2006/relationships" r:embed="rId2019">
          <a:extLst>
            <a:ext uri="{28A0092B-C50C-407E-A947-70E740481C1C}">
              <a14:useLocalDpi xmlns:a14="http://schemas.microsoft.com/office/drawing/2010/main" val="0"/>
            </a:ext>
          </a:extLst>
        </a:blip>
        <a:srcRect/>
        <a:stretch>
          <a:fillRect/>
        </a:stretch>
      </xdr:blipFill>
      <xdr:spPr bwMode="auto">
        <a:xfrm>
          <a:off x="1228725" y="382482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2022</xdr:row>
      <xdr:rowOff>19050</xdr:rowOff>
    </xdr:from>
    <xdr:to>
      <xdr:col>2</xdr:col>
      <xdr:colOff>1733550</xdr:colOff>
      <xdr:row>2022</xdr:row>
      <xdr:rowOff>1647825</xdr:rowOff>
    </xdr:to>
    <xdr:pic>
      <xdr:nvPicPr>
        <xdr:cNvPr id="2022" name="Picture 2021"/>
        <xdr:cNvPicPr>
          <a:picLocks noChangeAspect="1" noChangeArrowheads="1"/>
        </xdr:cNvPicPr>
      </xdr:nvPicPr>
      <xdr:blipFill>
        <a:blip xmlns:r="http://schemas.openxmlformats.org/officeDocument/2006/relationships" r:embed="rId2020">
          <a:extLst>
            <a:ext uri="{28A0092B-C50C-407E-A947-70E740481C1C}">
              <a14:useLocalDpi xmlns:a14="http://schemas.microsoft.com/office/drawing/2010/main" val="0"/>
            </a:ext>
          </a:extLst>
        </a:blip>
        <a:srcRect/>
        <a:stretch>
          <a:fillRect/>
        </a:stretch>
      </xdr:blipFill>
      <xdr:spPr bwMode="auto">
        <a:xfrm>
          <a:off x="1228725" y="3826735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2023</xdr:row>
      <xdr:rowOff>9525</xdr:rowOff>
    </xdr:from>
    <xdr:to>
      <xdr:col>2</xdr:col>
      <xdr:colOff>1733550</xdr:colOff>
      <xdr:row>2023</xdr:row>
      <xdr:rowOff>1524000</xdr:rowOff>
    </xdr:to>
    <xdr:pic>
      <xdr:nvPicPr>
        <xdr:cNvPr id="2023" name="Picture 2022"/>
        <xdr:cNvPicPr>
          <a:picLocks noChangeAspect="1" noChangeArrowheads="1"/>
        </xdr:cNvPicPr>
      </xdr:nvPicPr>
      <xdr:blipFill>
        <a:blip xmlns:r="http://schemas.openxmlformats.org/officeDocument/2006/relationships" r:embed="rId2021">
          <a:extLst>
            <a:ext uri="{28A0092B-C50C-407E-A947-70E740481C1C}">
              <a14:useLocalDpi xmlns:a14="http://schemas.microsoft.com/office/drawing/2010/main" val="0"/>
            </a:ext>
          </a:extLst>
        </a:blip>
        <a:srcRect/>
        <a:stretch>
          <a:fillRect/>
        </a:stretch>
      </xdr:blipFill>
      <xdr:spPr bwMode="auto">
        <a:xfrm>
          <a:off x="1228725" y="3828621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2024</xdr:row>
      <xdr:rowOff>19050</xdr:rowOff>
    </xdr:from>
    <xdr:to>
      <xdr:col>2</xdr:col>
      <xdr:colOff>1733550</xdr:colOff>
      <xdr:row>2024</xdr:row>
      <xdr:rowOff>1666875</xdr:rowOff>
    </xdr:to>
    <xdr:pic>
      <xdr:nvPicPr>
        <xdr:cNvPr id="2024" name="Picture 2023"/>
        <xdr:cNvPicPr>
          <a:picLocks noChangeAspect="1" noChangeArrowheads="1"/>
        </xdr:cNvPicPr>
      </xdr:nvPicPr>
      <xdr:blipFill>
        <a:blip xmlns:r="http://schemas.openxmlformats.org/officeDocument/2006/relationships" r:embed="rId2022">
          <a:extLst>
            <a:ext uri="{28A0092B-C50C-407E-A947-70E740481C1C}">
              <a14:useLocalDpi xmlns:a14="http://schemas.microsoft.com/office/drawing/2010/main" val="0"/>
            </a:ext>
          </a:extLst>
        </a:blip>
        <a:srcRect/>
        <a:stretch>
          <a:fillRect/>
        </a:stretch>
      </xdr:blipFill>
      <xdr:spPr bwMode="auto">
        <a:xfrm>
          <a:off x="1228725" y="3830383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2025</xdr:row>
      <xdr:rowOff>9525</xdr:rowOff>
    </xdr:from>
    <xdr:to>
      <xdr:col>2</xdr:col>
      <xdr:colOff>1733550</xdr:colOff>
      <xdr:row>2025</xdr:row>
      <xdr:rowOff>1524000</xdr:rowOff>
    </xdr:to>
    <xdr:pic>
      <xdr:nvPicPr>
        <xdr:cNvPr id="2025" name="Picture 2024"/>
        <xdr:cNvPicPr>
          <a:picLocks noChangeAspect="1" noChangeArrowheads="1"/>
        </xdr:cNvPicPr>
      </xdr:nvPicPr>
      <xdr:blipFill>
        <a:blip xmlns:r="http://schemas.openxmlformats.org/officeDocument/2006/relationships" r:embed="rId2023">
          <a:extLst>
            <a:ext uri="{28A0092B-C50C-407E-A947-70E740481C1C}">
              <a14:useLocalDpi xmlns:a14="http://schemas.microsoft.com/office/drawing/2010/main" val="0"/>
            </a:ext>
          </a:extLst>
        </a:blip>
        <a:srcRect/>
        <a:stretch>
          <a:fillRect/>
        </a:stretch>
      </xdr:blipFill>
      <xdr:spPr bwMode="auto">
        <a:xfrm>
          <a:off x="1228725" y="3832288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2026</xdr:row>
      <xdr:rowOff>19050</xdr:rowOff>
    </xdr:from>
    <xdr:to>
      <xdr:col>2</xdr:col>
      <xdr:colOff>1733550</xdr:colOff>
      <xdr:row>2026</xdr:row>
      <xdr:rowOff>1647825</xdr:rowOff>
    </xdr:to>
    <xdr:pic>
      <xdr:nvPicPr>
        <xdr:cNvPr id="2026" name="Picture 2025"/>
        <xdr:cNvPicPr>
          <a:picLocks noChangeAspect="1" noChangeArrowheads="1"/>
        </xdr:cNvPicPr>
      </xdr:nvPicPr>
      <xdr:blipFill>
        <a:blip xmlns:r="http://schemas.openxmlformats.org/officeDocument/2006/relationships" r:embed="rId2024">
          <a:extLst>
            <a:ext uri="{28A0092B-C50C-407E-A947-70E740481C1C}">
              <a14:useLocalDpi xmlns:a14="http://schemas.microsoft.com/office/drawing/2010/main" val="0"/>
            </a:ext>
          </a:extLst>
        </a:blip>
        <a:srcRect/>
        <a:stretch>
          <a:fillRect/>
        </a:stretch>
      </xdr:blipFill>
      <xdr:spPr bwMode="auto">
        <a:xfrm>
          <a:off x="1228725" y="3834050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2027</xdr:row>
      <xdr:rowOff>9525</xdr:rowOff>
    </xdr:from>
    <xdr:to>
      <xdr:col>2</xdr:col>
      <xdr:colOff>1733550</xdr:colOff>
      <xdr:row>2027</xdr:row>
      <xdr:rowOff>1524000</xdr:rowOff>
    </xdr:to>
    <xdr:pic>
      <xdr:nvPicPr>
        <xdr:cNvPr id="2027" name="Picture 2026"/>
        <xdr:cNvPicPr>
          <a:picLocks noChangeAspect="1" noChangeArrowheads="1"/>
        </xdr:cNvPicPr>
      </xdr:nvPicPr>
      <xdr:blipFill>
        <a:blip xmlns:r="http://schemas.openxmlformats.org/officeDocument/2006/relationships" r:embed="rId2025">
          <a:extLst>
            <a:ext uri="{28A0092B-C50C-407E-A947-70E740481C1C}">
              <a14:useLocalDpi xmlns:a14="http://schemas.microsoft.com/office/drawing/2010/main" val="0"/>
            </a:ext>
          </a:extLst>
        </a:blip>
        <a:srcRect/>
        <a:stretch>
          <a:fillRect/>
        </a:stretch>
      </xdr:blipFill>
      <xdr:spPr bwMode="auto">
        <a:xfrm>
          <a:off x="1228725" y="3835936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2028</xdr:row>
      <xdr:rowOff>19050</xdr:rowOff>
    </xdr:from>
    <xdr:to>
      <xdr:col>2</xdr:col>
      <xdr:colOff>1733550</xdr:colOff>
      <xdr:row>2028</xdr:row>
      <xdr:rowOff>1666875</xdr:rowOff>
    </xdr:to>
    <xdr:pic>
      <xdr:nvPicPr>
        <xdr:cNvPr id="2028" name="Picture 2027"/>
        <xdr:cNvPicPr>
          <a:picLocks noChangeAspect="1" noChangeArrowheads="1"/>
        </xdr:cNvPicPr>
      </xdr:nvPicPr>
      <xdr:blipFill>
        <a:blip xmlns:r="http://schemas.openxmlformats.org/officeDocument/2006/relationships" r:embed="rId2026">
          <a:extLst>
            <a:ext uri="{28A0092B-C50C-407E-A947-70E740481C1C}">
              <a14:useLocalDpi xmlns:a14="http://schemas.microsoft.com/office/drawing/2010/main" val="0"/>
            </a:ext>
          </a:extLst>
        </a:blip>
        <a:srcRect/>
        <a:stretch>
          <a:fillRect/>
        </a:stretch>
      </xdr:blipFill>
      <xdr:spPr bwMode="auto">
        <a:xfrm>
          <a:off x="1228725" y="383769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2029</xdr:row>
      <xdr:rowOff>19050</xdr:rowOff>
    </xdr:from>
    <xdr:to>
      <xdr:col>2</xdr:col>
      <xdr:colOff>1733550</xdr:colOff>
      <xdr:row>2029</xdr:row>
      <xdr:rowOff>1647825</xdr:rowOff>
    </xdr:to>
    <xdr:pic>
      <xdr:nvPicPr>
        <xdr:cNvPr id="2029" name="Picture 2028"/>
        <xdr:cNvPicPr>
          <a:picLocks noChangeAspect="1" noChangeArrowheads="1"/>
        </xdr:cNvPicPr>
      </xdr:nvPicPr>
      <xdr:blipFill>
        <a:blip xmlns:r="http://schemas.openxmlformats.org/officeDocument/2006/relationships" r:embed="rId2027">
          <a:extLst>
            <a:ext uri="{28A0092B-C50C-407E-A947-70E740481C1C}">
              <a14:useLocalDpi xmlns:a14="http://schemas.microsoft.com/office/drawing/2010/main" val="0"/>
            </a:ext>
          </a:extLst>
        </a:blip>
        <a:srcRect/>
        <a:stretch>
          <a:fillRect/>
        </a:stretch>
      </xdr:blipFill>
      <xdr:spPr bwMode="auto">
        <a:xfrm>
          <a:off x="1228725" y="38396132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2030</xdr:row>
      <xdr:rowOff>19050</xdr:rowOff>
    </xdr:from>
    <xdr:to>
      <xdr:col>2</xdr:col>
      <xdr:colOff>1733550</xdr:colOff>
      <xdr:row>2030</xdr:row>
      <xdr:rowOff>1647825</xdr:rowOff>
    </xdr:to>
    <xdr:pic>
      <xdr:nvPicPr>
        <xdr:cNvPr id="2030" name="Picture 2029"/>
        <xdr:cNvPicPr>
          <a:picLocks noChangeAspect="1" noChangeArrowheads="1"/>
        </xdr:cNvPicPr>
      </xdr:nvPicPr>
      <xdr:blipFill>
        <a:blip xmlns:r="http://schemas.openxmlformats.org/officeDocument/2006/relationships" r:embed="rId2028">
          <a:extLst>
            <a:ext uri="{28A0092B-C50C-407E-A947-70E740481C1C}">
              <a14:useLocalDpi xmlns:a14="http://schemas.microsoft.com/office/drawing/2010/main" val="0"/>
            </a:ext>
          </a:extLst>
        </a:blip>
        <a:srcRect/>
        <a:stretch>
          <a:fillRect/>
        </a:stretch>
      </xdr:blipFill>
      <xdr:spPr bwMode="auto">
        <a:xfrm>
          <a:off x="1228725" y="38415087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2031</xdr:row>
      <xdr:rowOff>19050</xdr:rowOff>
    </xdr:from>
    <xdr:to>
      <xdr:col>2</xdr:col>
      <xdr:colOff>1733550</xdr:colOff>
      <xdr:row>2031</xdr:row>
      <xdr:rowOff>1666875</xdr:rowOff>
    </xdr:to>
    <xdr:pic>
      <xdr:nvPicPr>
        <xdr:cNvPr id="2031" name="Picture 2030"/>
        <xdr:cNvPicPr>
          <a:picLocks noChangeAspect="1" noChangeArrowheads="1"/>
        </xdr:cNvPicPr>
      </xdr:nvPicPr>
      <xdr:blipFill>
        <a:blip xmlns:r="http://schemas.openxmlformats.org/officeDocument/2006/relationships" r:embed="rId2029">
          <a:extLst>
            <a:ext uri="{28A0092B-C50C-407E-A947-70E740481C1C}">
              <a14:useLocalDpi xmlns:a14="http://schemas.microsoft.com/office/drawing/2010/main" val="0"/>
            </a:ext>
          </a:extLst>
        </a:blip>
        <a:srcRect/>
        <a:stretch>
          <a:fillRect/>
        </a:stretch>
      </xdr:blipFill>
      <xdr:spPr bwMode="auto">
        <a:xfrm>
          <a:off x="1228725" y="3843404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2032</xdr:row>
      <xdr:rowOff>19050</xdr:rowOff>
    </xdr:from>
    <xdr:to>
      <xdr:col>2</xdr:col>
      <xdr:colOff>1733550</xdr:colOff>
      <xdr:row>2032</xdr:row>
      <xdr:rowOff>1647825</xdr:rowOff>
    </xdr:to>
    <xdr:pic>
      <xdr:nvPicPr>
        <xdr:cNvPr id="2032" name="Picture 2031"/>
        <xdr:cNvPicPr>
          <a:picLocks noChangeAspect="1" noChangeArrowheads="1"/>
        </xdr:cNvPicPr>
      </xdr:nvPicPr>
      <xdr:blipFill>
        <a:blip xmlns:r="http://schemas.openxmlformats.org/officeDocument/2006/relationships" r:embed="rId2030">
          <a:extLst>
            <a:ext uri="{28A0092B-C50C-407E-A947-70E740481C1C}">
              <a14:useLocalDpi xmlns:a14="http://schemas.microsoft.com/office/drawing/2010/main" val="0"/>
            </a:ext>
          </a:extLst>
        </a:blip>
        <a:srcRect/>
        <a:stretch>
          <a:fillRect/>
        </a:stretch>
      </xdr:blipFill>
      <xdr:spPr bwMode="auto">
        <a:xfrm>
          <a:off x="1228725" y="38453187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2033</xdr:row>
      <xdr:rowOff>19050</xdr:rowOff>
    </xdr:from>
    <xdr:to>
      <xdr:col>2</xdr:col>
      <xdr:colOff>1733550</xdr:colOff>
      <xdr:row>2033</xdr:row>
      <xdr:rowOff>2000250</xdr:rowOff>
    </xdr:to>
    <xdr:pic>
      <xdr:nvPicPr>
        <xdr:cNvPr id="2033" name="Picture 2032"/>
        <xdr:cNvPicPr>
          <a:picLocks noChangeAspect="1" noChangeArrowheads="1"/>
        </xdr:cNvPicPr>
      </xdr:nvPicPr>
      <xdr:blipFill>
        <a:blip xmlns:r="http://schemas.openxmlformats.org/officeDocument/2006/relationships" r:embed="rId2031">
          <a:extLst>
            <a:ext uri="{28A0092B-C50C-407E-A947-70E740481C1C}">
              <a14:useLocalDpi xmlns:a14="http://schemas.microsoft.com/office/drawing/2010/main" val="0"/>
            </a:ext>
          </a:extLst>
        </a:blip>
        <a:srcRect/>
        <a:stretch>
          <a:fillRect/>
        </a:stretch>
      </xdr:blipFill>
      <xdr:spPr bwMode="auto">
        <a:xfrm>
          <a:off x="1228725" y="38472141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2034</xdr:row>
      <xdr:rowOff>19050</xdr:rowOff>
    </xdr:from>
    <xdr:to>
      <xdr:col>2</xdr:col>
      <xdr:colOff>1733550</xdr:colOff>
      <xdr:row>2034</xdr:row>
      <xdr:rowOff>2000250</xdr:rowOff>
    </xdr:to>
    <xdr:pic>
      <xdr:nvPicPr>
        <xdr:cNvPr id="2034" name="Picture 2033"/>
        <xdr:cNvPicPr>
          <a:picLocks noChangeAspect="1" noChangeArrowheads="1"/>
        </xdr:cNvPicPr>
      </xdr:nvPicPr>
      <xdr:blipFill>
        <a:blip xmlns:r="http://schemas.openxmlformats.org/officeDocument/2006/relationships" r:embed="rId2032">
          <a:extLst>
            <a:ext uri="{28A0092B-C50C-407E-A947-70E740481C1C}">
              <a14:useLocalDpi xmlns:a14="http://schemas.microsoft.com/office/drawing/2010/main" val="0"/>
            </a:ext>
          </a:extLst>
        </a:blip>
        <a:srcRect/>
        <a:stretch>
          <a:fillRect/>
        </a:stretch>
      </xdr:blipFill>
      <xdr:spPr bwMode="auto">
        <a:xfrm>
          <a:off x="1228725" y="384951922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2035</xdr:row>
      <xdr:rowOff>19050</xdr:rowOff>
    </xdr:from>
    <xdr:to>
      <xdr:col>2</xdr:col>
      <xdr:colOff>1733550</xdr:colOff>
      <xdr:row>2035</xdr:row>
      <xdr:rowOff>2000250</xdr:rowOff>
    </xdr:to>
    <xdr:pic>
      <xdr:nvPicPr>
        <xdr:cNvPr id="2035" name="Picture 2034"/>
        <xdr:cNvPicPr>
          <a:picLocks noChangeAspect="1" noChangeArrowheads="1"/>
        </xdr:cNvPicPr>
      </xdr:nvPicPr>
      <xdr:blipFill>
        <a:blip xmlns:r="http://schemas.openxmlformats.org/officeDocument/2006/relationships" r:embed="rId2033">
          <a:extLst>
            <a:ext uri="{28A0092B-C50C-407E-A947-70E740481C1C}">
              <a14:useLocalDpi xmlns:a14="http://schemas.microsoft.com/office/drawing/2010/main" val="0"/>
            </a:ext>
          </a:extLst>
        </a:blip>
        <a:srcRect/>
        <a:stretch>
          <a:fillRect/>
        </a:stretch>
      </xdr:blipFill>
      <xdr:spPr bwMode="auto">
        <a:xfrm>
          <a:off x="1228725" y="38518242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2036</xdr:row>
      <xdr:rowOff>19050</xdr:rowOff>
    </xdr:from>
    <xdr:to>
      <xdr:col>2</xdr:col>
      <xdr:colOff>1733550</xdr:colOff>
      <xdr:row>2036</xdr:row>
      <xdr:rowOff>2000250</xdr:rowOff>
    </xdr:to>
    <xdr:pic>
      <xdr:nvPicPr>
        <xdr:cNvPr id="2036" name="Picture 2035"/>
        <xdr:cNvPicPr>
          <a:picLocks noChangeAspect="1" noChangeArrowheads="1"/>
        </xdr:cNvPicPr>
      </xdr:nvPicPr>
      <xdr:blipFill>
        <a:blip xmlns:r="http://schemas.openxmlformats.org/officeDocument/2006/relationships" r:embed="rId2034">
          <a:extLst>
            <a:ext uri="{28A0092B-C50C-407E-A947-70E740481C1C}">
              <a14:useLocalDpi xmlns:a14="http://schemas.microsoft.com/office/drawing/2010/main" val="0"/>
            </a:ext>
          </a:extLst>
        </a:blip>
        <a:srcRect/>
        <a:stretch>
          <a:fillRect/>
        </a:stretch>
      </xdr:blipFill>
      <xdr:spPr bwMode="auto">
        <a:xfrm>
          <a:off x="1228725" y="385412932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2037</xdr:row>
      <xdr:rowOff>19050</xdr:rowOff>
    </xdr:from>
    <xdr:to>
      <xdr:col>2</xdr:col>
      <xdr:colOff>1733550</xdr:colOff>
      <xdr:row>2037</xdr:row>
      <xdr:rowOff>2000250</xdr:rowOff>
    </xdr:to>
    <xdr:pic>
      <xdr:nvPicPr>
        <xdr:cNvPr id="2037" name="Picture 2036"/>
        <xdr:cNvPicPr>
          <a:picLocks noChangeAspect="1" noChangeArrowheads="1"/>
        </xdr:cNvPicPr>
      </xdr:nvPicPr>
      <xdr:blipFill>
        <a:blip xmlns:r="http://schemas.openxmlformats.org/officeDocument/2006/relationships" r:embed="rId2035">
          <a:extLst>
            <a:ext uri="{28A0092B-C50C-407E-A947-70E740481C1C}">
              <a14:useLocalDpi xmlns:a14="http://schemas.microsoft.com/office/drawing/2010/main" val="0"/>
            </a:ext>
          </a:extLst>
        </a:blip>
        <a:srcRect/>
        <a:stretch>
          <a:fillRect/>
        </a:stretch>
      </xdr:blipFill>
      <xdr:spPr bwMode="auto">
        <a:xfrm>
          <a:off x="1228725" y="38564343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2038</xdr:row>
      <xdr:rowOff>19050</xdr:rowOff>
    </xdr:from>
    <xdr:to>
      <xdr:col>2</xdr:col>
      <xdr:colOff>1733550</xdr:colOff>
      <xdr:row>2038</xdr:row>
      <xdr:rowOff>2000250</xdr:rowOff>
    </xdr:to>
    <xdr:pic>
      <xdr:nvPicPr>
        <xdr:cNvPr id="2038" name="Picture 2037"/>
        <xdr:cNvPicPr>
          <a:picLocks noChangeAspect="1" noChangeArrowheads="1"/>
        </xdr:cNvPicPr>
      </xdr:nvPicPr>
      <xdr:blipFill>
        <a:blip xmlns:r="http://schemas.openxmlformats.org/officeDocument/2006/relationships" r:embed="rId2036">
          <a:extLst>
            <a:ext uri="{28A0092B-C50C-407E-A947-70E740481C1C}">
              <a14:useLocalDpi xmlns:a14="http://schemas.microsoft.com/office/drawing/2010/main" val="0"/>
            </a:ext>
          </a:extLst>
        </a:blip>
        <a:srcRect/>
        <a:stretch>
          <a:fillRect/>
        </a:stretch>
      </xdr:blipFill>
      <xdr:spPr bwMode="auto">
        <a:xfrm>
          <a:off x="1228725" y="385873942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2039</xdr:row>
      <xdr:rowOff>19050</xdr:rowOff>
    </xdr:from>
    <xdr:to>
      <xdr:col>2</xdr:col>
      <xdr:colOff>1733550</xdr:colOff>
      <xdr:row>2039</xdr:row>
      <xdr:rowOff>2000250</xdr:rowOff>
    </xdr:to>
    <xdr:pic>
      <xdr:nvPicPr>
        <xdr:cNvPr id="2039" name="Picture 2038"/>
        <xdr:cNvPicPr>
          <a:picLocks noChangeAspect="1" noChangeArrowheads="1"/>
        </xdr:cNvPicPr>
      </xdr:nvPicPr>
      <xdr:blipFill>
        <a:blip xmlns:r="http://schemas.openxmlformats.org/officeDocument/2006/relationships" r:embed="rId2037">
          <a:extLst>
            <a:ext uri="{28A0092B-C50C-407E-A947-70E740481C1C}">
              <a14:useLocalDpi xmlns:a14="http://schemas.microsoft.com/office/drawing/2010/main" val="0"/>
            </a:ext>
          </a:extLst>
        </a:blip>
        <a:srcRect/>
        <a:stretch>
          <a:fillRect/>
        </a:stretch>
      </xdr:blipFill>
      <xdr:spPr bwMode="auto">
        <a:xfrm>
          <a:off x="1228725" y="38610444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2040</xdr:row>
      <xdr:rowOff>19050</xdr:rowOff>
    </xdr:from>
    <xdr:to>
      <xdr:col>2</xdr:col>
      <xdr:colOff>1733550</xdr:colOff>
      <xdr:row>2040</xdr:row>
      <xdr:rowOff>2000250</xdr:rowOff>
    </xdr:to>
    <xdr:pic>
      <xdr:nvPicPr>
        <xdr:cNvPr id="2040" name="Picture 2039"/>
        <xdr:cNvPicPr>
          <a:picLocks noChangeAspect="1" noChangeArrowheads="1"/>
        </xdr:cNvPicPr>
      </xdr:nvPicPr>
      <xdr:blipFill>
        <a:blip xmlns:r="http://schemas.openxmlformats.org/officeDocument/2006/relationships" r:embed="rId2038">
          <a:extLst>
            <a:ext uri="{28A0092B-C50C-407E-A947-70E740481C1C}">
              <a14:useLocalDpi xmlns:a14="http://schemas.microsoft.com/office/drawing/2010/main" val="0"/>
            </a:ext>
          </a:extLst>
        </a:blip>
        <a:srcRect/>
        <a:stretch>
          <a:fillRect/>
        </a:stretch>
      </xdr:blipFill>
      <xdr:spPr bwMode="auto">
        <a:xfrm>
          <a:off x="1228725" y="386334952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2041</xdr:row>
      <xdr:rowOff>19050</xdr:rowOff>
    </xdr:from>
    <xdr:to>
      <xdr:col>2</xdr:col>
      <xdr:colOff>1733550</xdr:colOff>
      <xdr:row>2041</xdr:row>
      <xdr:rowOff>2000250</xdr:rowOff>
    </xdr:to>
    <xdr:pic>
      <xdr:nvPicPr>
        <xdr:cNvPr id="2041" name="Picture 2040"/>
        <xdr:cNvPicPr>
          <a:picLocks noChangeAspect="1" noChangeArrowheads="1"/>
        </xdr:cNvPicPr>
      </xdr:nvPicPr>
      <xdr:blipFill>
        <a:blip xmlns:r="http://schemas.openxmlformats.org/officeDocument/2006/relationships" r:embed="rId2039">
          <a:extLst>
            <a:ext uri="{28A0092B-C50C-407E-A947-70E740481C1C}">
              <a14:useLocalDpi xmlns:a14="http://schemas.microsoft.com/office/drawing/2010/main" val="0"/>
            </a:ext>
          </a:extLst>
        </a:blip>
        <a:srcRect/>
        <a:stretch>
          <a:fillRect/>
        </a:stretch>
      </xdr:blipFill>
      <xdr:spPr bwMode="auto">
        <a:xfrm>
          <a:off x="1228725" y="38656545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2042</xdr:row>
      <xdr:rowOff>19050</xdr:rowOff>
    </xdr:from>
    <xdr:to>
      <xdr:col>2</xdr:col>
      <xdr:colOff>1733550</xdr:colOff>
      <xdr:row>2042</xdr:row>
      <xdr:rowOff>2000250</xdr:rowOff>
    </xdr:to>
    <xdr:pic>
      <xdr:nvPicPr>
        <xdr:cNvPr id="2042" name="Picture 2041"/>
        <xdr:cNvPicPr>
          <a:picLocks noChangeAspect="1" noChangeArrowheads="1"/>
        </xdr:cNvPicPr>
      </xdr:nvPicPr>
      <xdr:blipFill>
        <a:blip xmlns:r="http://schemas.openxmlformats.org/officeDocument/2006/relationships" r:embed="rId2040">
          <a:extLst>
            <a:ext uri="{28A0092B-C50C-407E-A947-70E740481C1C}">
              <a14:useLocalDpi xmlns:a14="http://schemas.microsoft.com/office/drawing/2010/main" val="0"/>
            </a:ext>
          </a:extLst>
        </a:blip>
        <a:srcRect/>
        <a:stretch>
          <a:fillRect/>
        </a:stretch>
      </xdr:blipFill>
      <xdr:spPr bwMode="auto">
        <a:xfrm>
          <a:off x="1228725" y="386795962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2043</xdr:row>
      <xdr:rowOff>19050</xdr:rowOff>
    </xdr:from>
    <xdr:to>
      <xdr:col>2</xdr:col>
      <xdr:colOff>1733550</xdr:colOff>
      <xdr:row>2043</xdr:row>
      <xdr:rowOff>2000250</xdr:rowOff>
    </xdr:to>
    <xdr:pic>
      <xdr:nvPicPr>
        <xdr:cNvPr id="2043" name="Picture 2042"/>
        <xdr:cNvPicPr>
          <a:picLocks noChangeAspect="1" noChangeArrowheads="1"/>
        </xdr:cNvPicPr>
      </xdr:nvPicPr>
      <xdr:blipFill>
        <a:blip xmlns:r="http://schemas.openxmlformats.org/officeDocument/2006/relationships" r:embed="rId2041">
          <a:extLst>
            <a:ext uri="{28A0092B-C50C-407E-A947-70E740481C1C}">
              <a14:useLocalDpi xmlns:a14="http://schemas.microsoft.com/office/drawing/2010/main" val="0"/>
            </a:ext>
          </a:extLst>
        </a:blip>
        <a:srcRect/>
        <a:stretch>
          <a:fillRect/>
        </a:stretch>
      </xdr:blipFill>
      <xdr:spPr bwMode="auto">
        <a:xfrm>
          <a:off x="1228725" y="38702646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2044</xdr:row>
      <xdr:rowOff>19050</xdr:rowOff>
    </xdr:from>
    <xdr:to>
      <xdr:col>2</xdr:col>
      <xdr:colOff>1733550</xdr:colOff>
      <xdr:row>2044</xdr:row>
      <xdr:rowOff>1666875</xdr:rowOff>
    </xdr:to>
    <xdr:pic>
      <xdr:nvPicPr>
        <xdr:cNvPr id="2044" name="Picture 2043"/>
        <xdr:cNvPicPr>
          <a:picLocks noChangeAspect="1" noChangeArrowheads="1"/>
        </xdr:cNvPicPr>
      </xdr:nvPicPr>
      <xdr:blipFill>
        <a:blip xmlns:r="http://schemas.openxmlformats.org/officeDocument/2006/relationships" r:embed="rId2042">
          <a:extLst>
            <a:ext uri="{28A0092B-C50C-407E-A947-70E740481C1C}">
              <a14:useLocalDpi xmlns:a14="http://schemas.microsoft.com/office/drawing/2010/main" val="0"/>
            </a:ext>
          </a:extLst>
        </a:blip>
        <a:srcRect/>
        <a:stretch>
          <a:fillRect/>
        </a:stretch>
      </xdr:blipFill>
      <xdr:spPr bwMode="auto">
        <a:xfrm>
          <a:off x="1228725" y="3872569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2045</xdr:row>
      <xdr:rowOff>19050</xdr:rowOff>
    </xdr:from>
    <xdr:to>
      <xdr:col>2</xdr:col>
      <xdr:colOff>1733550</xdr:colOff>
      <xdr:row>2045</xdr:row>
      <xdr:rowOff>1666875</xdr:rowOff>
    </xdr:to>
    <xdr:pic>
      <xdr:nvPicPr>
        <xdr:cNvPr id="2045" name="Picture 2044"/>
        <xdr:cNvPicPr>
          <a:picLocks noChangeAspect="1" noChangeArrowheads="1"/>
        </xdr:cNvPicPr>
      </xdr:nvPicPr>
      <xdr:blipFill>
        <a:blip xmlns:r="http://schemas.openxmlformats.org/officeDocument/2006/relationships" r:embed="rId2043">
          <a:extLst>
            <a:ext uri="{28A0092B-C50C-407E-A947-70E740481C1C}">
              <a14:useLocalDpi xmlns:a14="http://schemas.microsoft.com/office/drawing/2010/main" val="0"/>
            </a:ext>
          </a:extLst>
        </a:blip>
        <a:srcRect/>
        <a:stretch>
          <a:fillRect/>
        </a:stretch>
      </xdr:blipFill>
      <xdr:spPr bwMode="auto">
        <a:xfrm>
          <a:off x="1228725" y="3874484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2046</xdr:row>
      <xdr:rowOff>19050</xdr:rowOff>
    </xdr:from>
    <xdr:to>
      <xdr:col>2</xdr:col>
      <xdr:colOff>1733550</xdr:colOff>
      <xdr:row>2046</xdr:row>
      <xdr:rowOff>2000250</xdr:rowOff>
    </xdr:to>
    <xdr:pic>
      <xdr:nvPicPr>
        <xdr:cNvPr id="2046" name="Picture 2045"/>
        <xdr:cNvPicPr>
          <a:picLocks noChangeAspect="1" noChangeArrowheads="1"/>
        </xdr:cNvPicPr>
      </xdr:nvPicPr>
      <xdr:blipFill>
        <a:blip xmlns:r="http://schemas.openxmlformats.org/officeDocument/2006/relationships" r:embed="rId2044">
          <a:extLst>
            <a:ext uri="{28A0092B-C50C-407E-A947-70E740481C1C}">
              <a14:useLocalDpi xmlns:a14="http://schemas.microsoft.com/office/drawing/2010/main" val="0"/>
            </a:ext>
          </a:extLst>
        </a:blip>
        <a:srcRect/>
        <a:stretch>
          <a:fillRect/>
        </a:stretch>
      </xdr:blipFill>
      <xdr:spPr bwMode="auto">
        <a:xfrm>
          <a:off x="1228725" y="3876398775"/>
          <a:ext cx="1724025" cy="1981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2047</xdr:row>
      <xdr:rowOff>19050</xdr:rowOff>
    </xdr:from>
    <xdr:to>
      <xdr:col>2</xdr:col>
      <xdr:colOff>1733550</xdr:colOff>
      <xdr:row>2047</xdr:row>
      <xdr:rowOff>1666875</xdr:rowOff>
    </xdr:to>
    <xdr:pic>
      <xdr:nvPicPr>
        <xdr:cNvPr id="2047" name="Picture 2046"/>
        <xdr:cNvPicPr>
          <a:picLocks noChangeAspect="1" noChangeArrowheads="1"/>
        </xdr:cNvPicPr>
      </xdr:nvPicPr>
      <xdr:blipFill>
        <a:blip xmlns:r="http://schemas.openxmlformats.org/officeDocument/2006/relationships" r:embed="rId2045">
          <a:extLst>
            <a:ext uri="{28A0092B-C50C-407E-A947-70E740481C1C}">
              <a14:useLocalDpi xmlns:a14="http://schemas.microsoft.com/office/drawing/2010/main" val="0"/>
            </a:ext>
          </a:extLst>
        </a:blip>
        <a:srcRect/>
        <a:stretch>
          <a:fillRect/>
        </a:stretch>
      </xdr:blipFill>
      <xdr:spPr bwMode="auto">
        <a:xfrm>
          <a:off x="1228725" y="3878703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2048</xdr:row>
      <xdr:rowOff>9525</xdr:rowOff>
    </xdr:from>
    <xdr:to>
      <xdr:col>2</xdr:col>
      <xdr:colOff>1733550</xdr:colOff>
      <xdr:row>2048</xdr:row>
      <xdr:rowOff>1524000</xdr:rowOff>
    </xdr:to>
    <xdr:pic>
      <xdr:nvPicPr>
        <xdr:cNvPr id="2048" name="Picture 2047"/>
        <xdr:cNvPicPr>
          <a:picLocks noChangeAspect="1" noChangeArrowheads="1"/>
        </xdr:cNvPicPr>
      </xdr:nvPicPr>
      <xdr:blipFill>
        <a:blip xmlns:r="http://schemas.openxmlformats.org/officeDocument/2006/relationships" r:embed="rId2046">
          <a:extLst>
            <a:ext uri="{28A0092B-C50C-407E-A947-70E740481C1C}">
              <a14:useLocalDpi xmlns:a14="http://schemas.microsoft.com/office/drawing/2010/main" val="0"/>
            </a:ext>
          </a:extLst>
        </a:blip>
        <a:srcRect/>
        <a:stretch>
          <a:fillRect/>
        </a:stretch>
      </xdr:blipFill>
      <xdr:spPr bwMode="auto">
        <a:xfrm>
          <a:off x="1228725" y="3880608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2049</xdr:row>
      <xdr:rowOff>19050</xdr:rowOff>
    </xdr:from>
    <xdr:to>
      <xdr:col>2</xdr:col>
      <xdr:colOff>1733550</xdr:colOff>
      <xdr:row>2049</xdr:row>
      <xdr:rowOff>1647825</xdr:rowOff>
    </xdr:to>
    <xdr:pic>
      <xdr:nvPicPr>
        <xdr:cNvPr id="2049" name="Picture 2048"/>
        <xdr:cNvPicPr>
          <a:picLocks noChangeAspect="1" noChangeArrowheads="1"/>
        </xdr:cNvPicPr>
      </xdr:nvPicPr>
      <xdr:blipFill>
        <a:blip xmlns:r="http://schemas.openxmlformats.org/officeDocument/2006/relationships" r:embed="rId2047">
          <a:extLst>
            <a:ext uri="{28A0092B-C50C-407E-A947-70E740481C1C}">
              <a14:useLocalDpi xmlns:a14="http://schemas.microsoft.com/office/drawing/2010/main" val="0"/>
            </a:ext>
          </a:extLst>
        </a:blip>
        <a:srcRect/>
        <a:stretch>
          <a:fillRect/>
        </a:stretch>
      </xdr:blipFill>
      <xdr:spPr bwMode="auto">
        <a:xfrm>
          <a:off x="1228725" y="38823709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2050</xdr:row>
      <xdr:rowOff>19050</xdr:rowOff>
    </xdr:from>
    <xdr:to>
      <xdr:col>2</xdr:col>
      <xdr:colOff>1733550</xdr:colOff>
      <xdr:row>2050</xdr:row>
      <xdr:rowOff>1666875</xdr:rowOff>
    </xdr:to>
    <xdr:pic>
      <xdr:nvPicPr>
        <xdr:cNvPr id="2050" name="Picture 2049"/>
        <xdr:cNvPicPr>
          <a:picLocks noChangeAspect="1" noChangeArrowheads="1"/>
        </xdr:cNvPicPr>
      </xdr:nvPicPr>
      <xdr:blipFill>
        <a:blip xmlns:r="http://schemas.openxmlformats.org/officeDocument/2006/relationships" r:embed="rId2048">
          <a:extLst>
            <a:ext uri="{28A0092B-C50C-407E-A947-70E740481C1C}">
              <a14:useLocalDpi xmlns:a14="http://schemas.microsoft.com/office/drawing/2010/main" val="0"/>
            </a:ext>
          </a:extLst>
        </a:blip>
        <a:srcRect/>
        <a:stretch>
          <a:fillRect/>
        </a:stretch>
      </xdr:blipFill>
      <xdr:spPr bwMode="auto">
        <a:xfrm>
          <a:off x="1228725" y="3884266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2051</xdr:row>
      <xdr:rowOff>19050</xdr:rowOff>
    </xdr:from>
    <xdr:to>
      <xdr:col>2</xdr:col>
      <xdr:colOff>1733550</xdr:colOff>
      <xdr:row>2051</xdr:row>
      <xdr:rowOff>1666875</xdr:rowOff>
    </xdr:to>
    <xdr:pic>
      <xdr:nvPicPr>
        <xdr:cNvPr id="2051" name="Picture 2050"/>
        <xdr:cNvPicPr>
          <a:picLocks noChangeAspect="1" noChangeArrowheads="1"/>
        </xdr:cNvPicPr>
      </xdr:nvPicPr>
      <xdr:blipFill>
        <a:blip xmlns:r="http://schemas.openxmlformats.org/officeDocument/2006/relationships" r:embed="rId2049">
          <a:extLst>
            <a:ext uri="{28A0092B-C50C-407E-A947-70E740481C1C}">
              <a14:useLocalDpi xmlns:a14="http://schemas.microsoft.com/office/drawing/2010/main" val="0"/>
            </a:ext>
          </a:extLst>
        </a:blip>
        <a:srcRect/>
        <a:stretch>
          <a:fillRect/>
        </a:stretch>
      </xdr:blipFill>
      <xdr:spPr bwMode="auto">
        <a:xfrm>
          <a:off x="1228725" y="3886180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2052</xdr:row>
      <xdr:rowOff>19050</xdr:rowOff>
    </xdr:from>
    <xdr:to>
      <xdr:col>2</xdr:col>
      <xdr:colOff>1733550</xdr:colOff>
      <xdr:row>2052</xdr:row>
      <xdr:rowOff>1685925</xdr:rowOff>
    </xdr:to>
    <xdr:pic>
      <xdr:nvPicPr>
        <xdr:cNvPr id="2052" name="Picture 2051"/>
        <xdr:cNvPicPr>
          <a:picLocks noChangeAspect="1" noChangeArrowheads="1"/>
        </xdr:cNvPicPr>
      </xdr:nvPicPr>
      <xdr:blipFill>
        <a:blip xmlns:r="http://schemas.openxmlformats.org/officeDocument/2006/relationships" r:embed="rId2050">
          <a:extLst>
            <a:ext uri="{28A0092B-C50C-407E-A947-70E740481C1C}">
              <a14:useLocalDpi xmlns:a14="http://schemas.microsoft.com/office/drawing/2010/main" val="0"/>
            </a:ext>
          </a:extLst>
        </a:blip>
        <a:srcRect/>
        <a:stretch>
          <a:fillRect/>
        </a:stretch>
      </xdr:blipFill>
      <xdr:spPr bwMode="auto">
        <a:xfrm>
          <a:off x="1228725" y="38880954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2053</xdr:row>
      <xdr:rowOff>19050</xdr:rowOff>
    </xdr:from>
    <xdr:to>
      <xdr:col>2</xdr:col>
      <xdr:colOff>1733550</xdr:colOff>
      <xdr:row>2053</xdr:row>
      <xdr:rowOff>1685925</xdr:rowOff>
    </xdr:to>
    <xdr:pic>
      <xdr:nvPicPr>
        <xdr:cNvPr id="2053" name="Picture 2052"/>
        <xdr:cNvPicPr>
          <a:picLocks noChangeAspect="1" noChangeArrowheads="1"/>
        </xdr:cNvPicPr>
      </xdr:nvPicPr>
      <xdr:blipFill>
        <a:blip xmlns:r="http://schemas.openxmlformats.org/officeDocument/2006/relationships" r:embed="rId2051">
          <a:extLst>
            <a:ext uri="{28A0092B-C50C-407E-A947-70E740481C1C}">
              <a14:useLocalDpi xmlns:a14="http://schemas.microsoft.com/office/drawing/2010/main" val="0"/>
            </a:ext>
          </a:extLst>
        </a:blip>
        <a:srcRect/>
        <a:stretch>
          <a:fillRect/>
        </a:stretch>
      </xdr:blipFill>
      <xdr:spPr bwMode="auto">
        <a:xfrm>
          <a:off x="1228725" y="38900385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2054</xdr:row>
      <xdr:rowOff>19050</xdr:rowOff>
    </xdr:from>
    <xdr:to>
      <xdr:col>2</xdr:col>
      <xdr:colOff>1733550</xdr:colOff>
      <xdr:row>2054</xdr:row>
      <xdr:rowOff>1685925</xdr:rowOff>
    </xdr:to>
    <xdr:pic>
      <xdr:nvPicPr>
        <xdr:cNvPr id="2054" name="Picture 2053"/>
        <xdr:cNvPicPr>
          <a:picLocks noChangeAspect="1" noChangeArrowheads="1"/>
        </xdr:cNvPicPr>
      </xdr:nvPicPr>
      <xdr:blipFill>
        <a:blip xmlns:r="http://schemas.openxmlformats.org/officeDocument/2006/relationships" r:embed="rId2052">
          <a:extLst>
            <a:ext uri="{28A0092B-C50C-407E-A947-70E740481C1C}">
              <a14:useLocalDpi xmlns:a14="http://schemas.microsoft.com/office/drawing/2010/main" val="0"/>
            </a:ext>
          </a:extLst>
        </a:blip>
        <a:srcRect/>
        <a:stretch>
          <a:fillRect/>
        </a:stretch>
      </xdr:blipFill>
      <xdr:spPr bwMode="auto">
        <a:xfrm>
          <a:off x="1228725" y="38919816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2055</xdr:row>
      <xdr:rowOff>19050</xdr:rowOff>
    </xdr:from>
    <xdr:to>
      <xdr:col>2</xdr:col>
      <xdr:colOff>1733550</xdr:colOff>
      <xdr:row>2055</xdr:row>
      <xdr:rowOff>1685925</xdr:rowOff>
    </xdr:to>
    <xdr:pic>
      <xdr:nvPicPr>
        <xdr:cNvPr id="2055" name="Picture 2054"/>
        <xdr:cNvPicPr>
          <a:picLocks noChangeAspect="1" noChangeArrowheads="1"/>
        </xdr:cNvPicPr>
      </xdr:nvPicPr>
      <xdr:blipFill>
        <a:blip xmlns:r="http://schemas.openxmlformats.org/officeDocument/2006/relationships" r:embed="rId2053">
          <a:extLst>
            <a:ext uri="{28A0092B-C50C-407E-A947-70E740481C1C}">
              <a14:useLocalDpi xmlns:a14="http://schemas.microsoft.com/office/drawing/2010/main" val="0"/>
            </a:ext>
          </a:extLst>
        </a:blip>
        <a:srcRect/>
        <a:stretch>
          <a:fillRect/>
        </a:stretch>
      </xdr:blipFill>
      <xdr:spPr bwMode="auto">
        <a:xfrm>
          <a:off x="1228725" y="38939247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2056</xdr:row>
      <xdr:rowOff>19050</xdr:rowOff>
    </xdr:from>
    <xdr:to>
      <xdr:col>2</xdr:col>
      <xdr:colOff>1733550</xdr:colOff>
      <xdr:row>2056</xdr:row>
      <xdr:rowOff>1685925</xdr:rowOff>
    </xdr:to>
    <xdr:pic>
      <xdr:nvPicPr>
        <xdr:cNvPr id="2056" name="Picture 2055"/>
        <xdr:cNvPicPr>
          <a:picLocks noChangeAspect="1" noChangeArrowheads="1"/>
        </xdr:cNvPicPr>
      </xdr:nvPicPr>
      <xdr:blipFill>
        <a:blip xmlns:r="http://schemas.openxmlformats.org/officeDocument/2006/relationships" r:embed="rId2054">
          <a:extLst>
            <a:ext uri="{28A0092B-C50C-407E-A947-70E740481C1C}">
              <a14:useLocalDpi xmlns:a14="http://schemas.microsoft.com/office/drawing/2010/main" val="0"/>
            </a:ext>
          </a:extLst>
        </a:blip>
        <a:srcRect/>
        <a:stretch>
          <a:fillRect/>
        </a:stretch>
      </xdr:blipFill>
      <xdr:spPr bwMode="auto">
        <a:xfrm>
          <a:off x="1228725" y="38958678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2057</xdr:row>
      <xdr:rowOff>19050</xdr:rowOff>
    </xdr:from>
    <xdr:to>
      <xdr:col>2</xdr:col>
      <xdr:colOff>1733550</xdr:colOff>
      <xdr:row>2057</xdr:row>
      <xdr:rowOff>1647825</xdr:rowOff>
    </xdr:to>
    <xdr:pic>
      <xdr:nvPicPr>
        <xdr:cNvPr id="2057" name="Picture 2056"/>
        <xdr:cNvPicPr>
          <a:picLocks noChangeAspect="1" noChangeArrowheads="1"/>
        </xdr:cNvPicPr>
      </xdr:nvPicPr>
      <xdr:blipFill>
        <a:blip xmlns:r="http://schemas.openxmlformats.org/officeDocument/2006/relationships" r:embed="rId2055">
          <a:extLst>
            <a:ext uri="{28A0092B-C50C-407E-A947-70E740481C1C}">
              <a14:useLocalDpi xmlns:a14="http://schemas.microsoft.com/office/drawing/2010/main" val="0"/>
            </a:ext>
          </a:extLst>
        </a:blip>
        <a:srcRect/>
        <a:stretch>
          <a:fillRect/>
        </a:stretch>
      </xdr:blipFill>
      <xdr:spPr bwMode="auto">
        <a:xfrm>
          <a:off x="1228725" y="38978109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2058</xdr:row>
      <xdr:rowOff>19050</xdr:rowOff>
    </xdr:from>
    <xdr:to>
      <xdr:col>2</xdr:col>
      <xdr:colOff>1733550</xdr:colOff>
      <xdr:row>2058</xdr:row>
      <xdr:rowOff>1666875</xdr:rowOff>
    </xdr:to>
    <xdr:pic>
      <xdr:nvPicPr>
        <xdr:cNvPr id="2058" name="Picture 2057"/>
        <xdr:cNvPicPr>
          <a:picLocks noChangeAspect="1" noChangeArrowheads="1"/>
        </xdr:cNvPicPr>
      </xdr:nvPicPr>
      <xdr:blipFill>
        <a:blip xmlns:r="http://schemas.openxmlformats.org/officeDocument/2006/relationships" r:embed="rId2056">
          <a:extLst>
            <a:ext uri="{28A0092B-C50C-407E-A947-70E740481C1C}">
              <a14:useLocalDpi xmlns:a14="http://schemas.microsoft.com/office/drawing/2010/main" val="0"/>
            </a:ext>
          </a:extLst>
        </a:blip>
        <a:srcRect/>
        <a:stretch>
          <a:fillRect/>
        </a:stretch>
      </xdr:blipFill>
      <xdr:spPr bwMode="auto">
        <a:xfrm>
          <a:off x="1228725" y="3899706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2059</xdr:row>
      <xdr:rowOff>19050</xdr:rowOff>
    </xdr:from>
    <xdr:to>
      <xdr:col>2</xdr:col>
      <xdr:colOff>1733550</xdr:colOff>
      <xdr:row>2059</xdr:row>
      <xdr:rowOff>1666875</xdr:rowOff>
    </xdr:to>
    <xdr:pic>
      <xdr:nvPicPr>
        <xdr:cNvPr id="2059" name="Picture 2058"/>
        <xdr:cNvPicPr>
          <a:picLocks noChangeAspect="1" noChangeArrowheads="1"/>
        </xdr:cNvPicPr>
      </xdr:nvPicPr>
      <xdr:blipFill>
        <a:blip xmlns:r="http://schemas.openxmlformats.org/officeDocument/2006/relationships" r:embed="rId2057">
          <a:extLst>
            <a:ext uri="{28A0092B-C50C-407E-A947-70E740481C1C}">
              <a14:useLocalDpi xmlns:a14="http://schemas.microsoft.com/office/drawing/2010/main" val="0"/>
            </a:ext>
          </a:extLst>
        </a:blip>
        <a:srcRect/>
        <a:stretch>
          <a:fillRect/>
        </a:stretch>
      </xdr:blipFill>
      <xdr:spPr bwMode="auto">
        <a:xfrm>
          <a:off x="1228725" y="3901620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2060</xdr:row>
      <xdr:rowOff>19050</xdr:rowOff>
    </xdr:from>
    <xdr:to>
      <xdr:col>2</xdr:col>
      <xdr:colOff>1733550</xdr:colOff>
      <xdr:row>2060</xdr:row>
      <xdr:rowOff>1685925</xdr:rowOff>
    </xdr:to>
    <xdr:pic>
      <xdr:nvPicPr>
        <xdr:cNvPr id="2060" name="Picture 2059"/>
        <xdr:cNvPicPr>
          <a:picLocks noChangeAspect="1" noChangeArrowheads="1"/>
        </xdr:cNvPicPr>
      </xdr:nvPicPr>
      <xdr:blipFill>
        <a:blip xmlns:r="http://schemas.openxmlformats.org/officeDocument/2006/relationships" r:embed="rId2058">
          <a:extLst>
            <a:ext uri="{28A0092B-C50C-407E-A947-70E740481C1C}">
              <a14:useLocalDpi xmlns:a14="http://schemas.microsoft.com/office/drawing/2010/main" val="0"/>
            </a:ext>
          </a:extLst>
        </a:blip>
        <a:srcRect/>
        <a:stretch>
          <a:fillRect/>
        </a:stretch>
      </xdr:blipFill>
      <xdr:spPr bwMode="auto">
        <a:xfrm>
          <a:off x="1228725" y="39035355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2061</xdr:row>
      <xdr:rowOff>19050</xdr:rowOff>
    </xdr:from>
    <xdr:to>
      <xdr:col>2</xdr:col>
      <xdr:colOff>1733550</xdr:colOff>
      <xdr:row>2061</xdr:row>
      <xdr:rowOff>1666875</xdr:rowOff>
    </xdr:to>
    <xdr:pic>
      <xdr:nvPicPr>
        <xdr:cNvPr id="2061" name="Picture 2060"/>
        <xdr:cNvPicPr>
          <a:picLocks noChangeAspect="1" noChangeArrowheads="1"/>
        </xdr:cNvPicPr>
      </xdr:nvPicPr>
      <xdr:blipFill>
        <a:blip xmlns:r="http://schemas.openxmlformats.org/officeDocument/2006/relationships" r:embed="rId2059">
          <a:extLst>
            <a:ext uri="{28A0092B-C50C-407E-A947-70E740481C1C}">
              <a14:useLocalDpi xmlns:a14="http://schemas.microsoft.com/office/drawing/2010/main" val="0"/>
            </a:ext>
          </a:extLst>
        </a:blip>
        <a:srcRect/>
        <a:stretch>
          <a:fillRect/>
        </a:stretch>
      </xdr:blipFill>
      <xdr:spPr bwMode="auto">
        <a:xfrm>
          <a:off x="1228725" y="390547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2062</xdr:row>
      <xdr:rowOff>19050</xdr:rowOff>
    </xdr:from>
    <xdr:to>
      <xdr:col>2</xdr:col>
      <xdr:colOff>1733550</xdr:colOff>
      <xdr:row>2062</xdr:row>
      <xdr:rowOff>1685925</xdr:rowOff>
    </xdr:to>
    <xdr:pic>
      <xdr:nvPicPr>
        <xdr:cNvPr id="2062" name="Picture 2061"/>
        <xdr:cNvPicPr>
          <a:picLocks noChangeAspect="1" noChangeArrowheads="1"/>
        </xdr:cNvPicPr>
      </xdr:nvPicPr>
      <xdr:blipFill>
        <a:blip xmlns:r="http://schemas.openxmlformats.org/officeDocument/2006/relationships" r:embed="rId2060">
          <a:extLst>
            <a:ext uri="{28A0092B-C50C-407E-A947-70E740481C1C}">
              <a14:useLocalDpi xmlns:a14="http://schemas.microsoft.com/office/drawing/2010/main" val="0"/>
            </a:ext>
          </a:extLst>
        </a:blip>
        <a:srcRect/>
        <a:stretch>
          <a:fillRect/>
        </a:stretch>
      </xdr:blipFill>
      <xdr:spPr bwMode="auto">
        <a:xfrm>
          <a:off x="1228725" y="39073931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2063</xdr:row>
      <xdr:rowOff>19050</xdr:rowOff>
    </xdr:from>
    <xdr:to>
      <xdr:col>2</xdr:col>
      <xdr:colOff>1733550</xdr:colOff>
      <xdr:row>2063</xdr:row>
      <xdr:rowOff>1666875</xdr:rowOff>
    </xdr:to>
    <xdr:pic>
      <xdr:nvPicPr>
        <xdr:cNvPr id="2063" name="Picture 2062"/>
        <xdr:cNvPicPr>
          <a:picLocks noChangeAspect="1" noChangeArrowheads="1"/>
        </xdr:cNvPicPr>
      </xdr:nvPicPr>
      <xdr:blipFill>
        <a:blip xmlns:r="http://schemas.openxmlformats.org/officeDocument/2006/relationships" r:embed="rId2061">
          <a:extLst>
            <a:ext uri="{28A0092B-C50C-407E-A947-70E740481C1C}">
              <a14:useLocalDpi xmlns:a14="http://schemas.microsoft.com/office/drawing/2010/main" val="0"/>
            </a:ext>
          </a:extLst>
        </a:blip>
        <a:srcRect/>
        <a:stretch>
          <a:fillRect/>
        </a:stretch>
      </xdr:blipFill>
      <xdr:spPr bwMode="auto">
        <a:xfrm>
          <a:off x="1228725" y="390933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2064</xdr:row>
      <xdr:rowOff>9525</xdr:rowOff>
    </xdr:from>
    <xdr:to>
      <xdr:col>2</xdr:col>
      <xdr:colOff>1733550</xdr:colOff>
      <xdr:row>2064</xdr:row>
      <xdr:rowOff>1524000</xdr:rowOff>
    </xdr:to>
    <xdr:pic>
      <xdr:nvPicPr>
        <xdr:cNvPr id="2064" name="Picture 2063"/>
        <xdr:cNvPicPr>
          <a:picLocks noChangeAspect="1" noChangeArrowheads="1"/>
        </xdr:cNvPicPr>
      </xdr:nvPicPr>
      <xdr:blipFill>
        <a:blip xmlns:r="http://schemas.openxmlformats.org/officeDocument/2006/relationships" r:embed="rId2062">
          <a:extLst>
            <a:ext uri="{28A0092B-C50C-407E-A947-70E740481C1C}">
              <a14:useLocalDpi xmlns:a14="http://schemas.microsoft.com/office/drawing/2010/main" val="0"/>
            </a:ext>
          </a:extLst>
        </a:blip>
        <a:srcRect/>
        <a:stretch>
          <a:fillRect/>
        </a:stretch>
      </xdr:blipFill>
      <xdr:spPr bwMode="auto">
        <a:xfrm>
          <a:off x="1228725" y="3911241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2065</xdr:row>
      <xdr:rowOff>19050</xdr:rowOff>
    </xdr:from>
    <xdr:to>
      <xdr:col>2</xdr:col>
      <xdr:colOff>1733550</xdr:colOff>
      <xdr:row>2065</xdr:row>
      <xdr:rowOff>1647825</xdr:rowOff>
    </xdr:to>
    <xdr:pic>
      <xdr:nvPicPr>
        <xdr:cNvPr id="2065" name="Picture 2064"/>
        <xdr:cNvPicPr>
          <a:picLocks noChangeAspect="1" noChangeArrowheads="1"/>
        </xdr:cNvPicPr>
      </xdr:nvPicPr>
      <xdr:blipFill>
        <a:blip xmlns:r="http://schemas.openxmlformats.org/officeDocument/2006/relationships" r:embed="rId2063">
          <a:extLst>
            <a:ext uri="{28A0092B-C50C-407E-A947-70E740481C1C}">
              <a14:useLocalDpi xmlns:a14="http://schemas.microsoft.com/office/drawing/2010/main" val="0"/>
            </a:ext>
          </a:extLst>
        </a:blip>
        <a:srcRect/>
        <a:stretch>
          <a:fillRect/>
        </a:stretch>
      </xdr:blipFill>
      <xdr:spPr bwMode="auto">
        <a:xfrm>
          <a:off x="1228725" y="3913003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2066</xdr:row>
      <xdr:rowOff>9525</xdr:rowOff>
    </xdr:from>
    <xdr:to>
      <xdr:col>2</xdr:col>
      <xdr:colOff>1733550</xdr:colOff>
      <xdr:row>2066</xdr:row>
      <xdr:rowOff>1524000</xdr:rowOff>
    </xdr:to>
    <xdr:pic>
      <xdr:nvPicPr>
        <xdr:cNvPr id="2066" name="Picture 2065"/>
        <xdr:cNvPicPr>
          <a:picLocks noChangeAspect="1" noChangeArrowheads="1"/>
        </xdr:cNvPicPr>
      </xdr:nvPicPr>
      <xdr:blipFill>
        <a:blip xmlns:r="http://schemas.openxmlformats.org/officeDocument/2006/relationships" r:embed="rId2064">
          <a:extLst>
            <a:ext uri="{28A0092B-C50C-407E-A947-70E740481C1C}">
              <a14:useLocalDpi xmlns:a14="http://schemas.microsoft.com/office/drawing/2010/main" val="0"/>
            </a:ext>
          </a:extLst>
        </a:blip>
        <a:srcRect/>
        <a:stretch>
          <a:fillRect/>
        </a:stretch>
      </xdr:blipFill>
      <xdr:spPr bwMode="auto">
        <a:xfrm>
          <a:off x="1228725" y="3914889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2067</xdr:row>
      <xdr:rowOff>19050</xdr:rowOff>
    </xdr:from>
    <xdr:to>
      <xdr:col>2</xdr:col>
      <xdr:colOff>1733550</xdr:colOff>
      <xdr:row>2067</xdr:row>
      <xdr:rowOff>1666875</xdr:rowOff>
    </xdr:to>
    <xdr:pic>
      <xdr:nvPicPr>
        <xdr:cNvPr id="2067" name="Picture 2066"/>
        <xdr:cNvPicPr>
          <a:picLocks noChangeAspect="1" noChangeArrowheads="1"/>
        </xdr:cNvPicPr>
      </xdr:nvPicPr>
      <xdr:blipFill>
        <a:blip xmlns:r="http://schemas.openxmlformats.org/officeDocument/2006/relationships" r:embed="rId2065">
          <a:extLst>
            <a:ext uri="{28A0092B-C50C-407E-A947-70E740481C1C}">
              <a14:useLocalDpi xmlns:a14="http://schemas.microsoft.com/office/drawing/2010/main" val="0"/>
            </a:ext>
          </a:extLst>
        </a:blip>
        <a:srcRect/>
        <a:stretch>
          <a:fillRect/>
        </a:stretch>
      </xdr:blipFill>
      <xdr:spPr bwMode="auto">
        <a:xfrm>
          <a:off x="1228725" y="3916651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2068</xdr:row>
      <xdr:rowOff>19050</xdr:rowOff>
    </xdr:from>
    <xdr:to>
      <xdr:col>2</xdr:col>
      <xdr:colOff>1733550</xdr:colOff>
      <xdr:row>2068</xdr:row>
      <xdr:rowOff>1647825</xdr:rowOff>
    </xdr:to>
    <xdr:pic>
      <xdr:nvPicPr>
        <xdr:cNvPr id="2068" name="Picture 2067"/>
        <xdr:cNvPicPr>
          <a:picLocks noChangeAspect="1" noChangeArrowheads="1"/>
        </xdr:cNvPicPr>
      </xdr:nvPicPr>
      <xdr:blipFill>
        <a:blip xmlns:r="http://schemas.openxmlformats.org/officeDocument/2006/relationships" r:embed="rId2066">
          <a:extLst>
            <a:ext uri="{28A0092B-C50C-407E-A947-70E740481C1C}">
              <a14:useLocalDpi xmlns:a14="http://schemas.microsoft.com/office/drawing/2010/main" val="0"/>
            </a:ext>
          </a:extLst>
        </a:blip>
        <a:srcRect/>
        <a:stretch>
          <a:fillRect/>
        </a:stretch>
      </xdr:blipFill>
      <xdr:spPr bwMode="auto">
        <a:xfrm>
          <a:off x="1228725" y="39185659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2069</xdr:row>
      <xdr:rowOff>9525</xdr:rowOff>
    </xdr:from>
    <xdr:to>
      <xdr:col>2</xdr:col>
      <xdr:colOff>1733550</xdr:colOff>
      <xdr:row>2069</xdr:row>
      <xdr:rowOff>1524000</xdr:rowOff>
    </xdr:to>
    <xdr:pic>
      <xdr:nvPicPr>
        <xdr:cNvPr id="2069" name="Picture 2068"/>
        <xdr:cNvPicPr>
          <a:picLocks noChangeAspect="1" noChangeArrowheads="1"/>
        </xdr:cNvPicPr>
      </xdr:nvPicPr>
      <xdr:blipFill>
        <a:blip xmlns:r="http://schemas.openxmlformats.org/officeDocument/2006/relationships" r:embed="rId2067">
          <a:extLst>
            <a:ext uri="{28A0092B-C50C-407E-A947-70E740481C1C}">
              <a14:useLocalDpi xmlns:a14="http://schemas.microsoft.com/office/drawing/2010/main" val="0"/>
            </a:ext>
          </a:extLst>
        </a:blip>
        <a:srcRect/>
        <a:stretch>
          <a:fillRect/>
        </a:stretch>
      </xdr:blipFill>
      <xdr:spPr bwMode="auto">
        <a:xfrm>
          <a:off x="1228725" y="3920451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2070</xdr:row>
      <xdr:rowOff>9525</xdr:rowOff>
    </xdr:from>
    <xdr:to>
      <xdr:col>2</xdr:col>
      <xdr:colOff>1733550</xdr:colOff>
      <xdr:row>2070</xdr:row>
      <xdr:rowOff>1524000</xdr:rowOff>
    </xdr:to>
    <xdr:pic>
      <xdr:nvPicPr>
        <xdr:cNvPr id="2070" name="Picture 2069"/>
        <xdr:cNvPicPr>
          <a:picLocks noChangeAspect="1" noChangeArrowheads="1"/>
        </xdr:cNvPicPr>
      </xdr:nvPicPr>
      <xdr:blipFill>
        <a:blip xmlns:r="http://schemas.openxmlformats.org/officeDocument/2006/relationships" r:embed="rId2068">
          <a:extLst>
            <a:ext uri="{28A0092B-C50C-407E-A947-70E740481C1C}">
              <a14:useLocalDpi xmlns:a14="http://schemas.microsoft.com/office/drawing/2010/main" val="0"/>
            </a:ext>
          </a:extLst>
        </a:blip>
        <a:srcRect/>
        <a:stretch>
          <a:fillRect/>
        </a:stretch>
      </xdr:blipFill>
      <xdr:spPr bwMode="auto">
        <a:xfrm>
          <a:off x="1228725" y="3922204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2071</xdr:row>
      <xdr:rowOff>9525</xdr:rowOff>
    </xdr:from>
    <xdr:to>
      <xdr:col>2</xdr:col>
      <xdr:colOff>1733550</xdr:colOff>
      <xdr:row>2071</xdr:row>
      <xdr:rowOff>1524000</xdr:rowOff>
    </xdr:to>
    <xdr:pic>
      <xdr:nvPicPr>
        <xdr:cNvPr id="2071" name="Picture 2070"/>
        <xdr:cNvPicPr>
          <a:picLocks noChangeAspect="1" noChangeArrowheads="1"/>
        </xdr:cNvPicPr>
      </xdr:nvPicPr>
      <xdr:blipFill>
        <a:blip xmlns:r="http://schemas.openxmlformats.org/officeDocument/2006/relationships" r:embed="rId2069">
          <a:extLst>
            <a:ext uri="{28A0092B-C50C-407E-A947-70E740481C1C}">
              <a14:useLocalDpi xmlns:a14="http://schemas.microsoft.com/office/drawing/2010/main" val="0"/>
            </a:ext>
          </a:extLst>
        </a:blip>
        <a:srcRect/>
        <a:stretch>
          <a:fillRect/>
        </a:stretch>
      </xdr:blipFill>
      <xdr:spPr bwMode="auto">
        <a:xfrm>
          <a:off x="1228725" y="3923957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2072</xdr:row>
      <xdr:rowOff>9525</xdr:rowOff>
    </xdr:from>
    <xdr:to>
      <xdr:col>2</xdr:col>
      <xdr:colOff>1733550</xdr:colOff>
      <xdr:row>2072</xdr:row>
      <xdr:rowOff>1524000</xdr:rowOff>
    </xdr:to>
    <xdr:pic>
      <xdr:nvPicPr>
        <xdr:cNvPr id="2072" name="Picture 2071"/>
        <xdr:cNvPicPr>
          <a:picLocks noChangeAspect="1" noChangeArrowheads="1"/>
        </xdr:cNvPicPr>
      </xdr:nvPicPr>
      <xdr:blipFill>
        <a:blip xmlns:r="http://schemas.openxmlformats.org/officeDocument/2006/relationships" r:embed="rId2070">
          <a:extLst>
            <a:ext uri="{28A0092B-C50C-407E-A947-70E740481C1C}">
              <a14:useLocalDpi xmlns:a14="http://schemas.microsoft.com/office/drawing/2010/main" val="0"/>
            </a:ext>
          </a:extLst>
        </a:blip>
        <a:srcRect/>
        <a:stretch>
          <a:fillRect/>
        </a:stretch>
      </xdr:blipFill>
      <xdr:spPr bwMode="auto">
        <a:xfrm>
          <a:off x="1228725" y="3925709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2073</xdr:row>
      <xdr:rowOff>9525</xdr:rowOff>
    </xdr:from>
    <xdr:to>
      <xdr:col>2</xdr:col>
      <xdr:colOff>1733550</xdr:colOff>
      <xdr:row>2073</xdr:row>
      <xdr:rowOff>1524000</xdr:rowOff>
    </xdr:to>
    <xdr:pic>
      <xdr:nvPicPr>
        <xdr:cNvPr id="2073" name="Picture 2072"/>
        <xdr:cNvPicPr>
          <a:picLocks noChangeAspect="1" noChangeArrowheads="1"/>
        </xdr:cNvPicPr>
      </xdr:nvPicPr>
      <xdr:blipFill>
        <a:blip xmlns:r="http://schemas.openxmlformats.org/officeDocument/2006/relationships" r:embed="rId2071">
          <a:extLst>
            <a:ext uri="{28A0092B-C50C-407E-A947-70E740481C1C}">
              <a14:useLocalDpi xmlns:a14="http://schemas.microsoft.com/office/drawing/2010/main" val="0"/>
            </a:ext>
          </a:extLst>
        </a:blip>
        <a:srcRect/>
        <a:stretch>
          <a:fillRect/>
        </a:stretch>
      </xdr:blipFill>
      <xdr:spPr bwMode="auto">
        <a:xfrm>
          <a:off x="1228725" y="3927462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2074</xdr:row>
      <xdr:rowOff>9525</xdr:rowOff>
    </xdr:from>
    <xdr:to>
      <xdr:col>2</xdr:col>
      <xdr:colOff>1733550</xdr:colOff>
      <xdr:row>2074</xdr:row>
      <xdr:rowOff>1524000</xdr:rowOff>
    </xdr:to>
    <xdr:pic>
      <xdr:nvPicPr>
        <xdr:cNvPr id="2074" name="Picture 2073"/>
        <xdr:cNvPicPr>
          <a:picLocks noChangeAspect="1" noChangeArrowheads="1"/>
        </xdr:cNvPicPr>
      </xdr:nvPicPr>
      <xdr:blipFill>
        <a:blip xmlns:r="http://schemas.openxmlformats.org/officeDocument/2006/relationships" r:embed="rId2072">
          <a:extLst>
            <a:ext uri="{28A0092B-C50C-407E-A947-70E740481C1C}">
              <a14:useLocalDpi xmlns:a14="http://schemas.microsoft.com/office/drawing/2010/main" val="0"/>
            </a:ext>
          </a:extLst>
        </a:blip>
        <a:srcRect/>
        <a:stretch>
          <a:fillRect/>
        </a:stretch>
      </xdr:blipFill>
      <xdr:spPr bwMode="auto">
        <a:xfrm>
          <a:off x="1228725" y="3929214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2075</xdr:row>
      <xdr:rowOff>9525</xdr:rowOff>
    </xdr:from>
    <xdr:to>
      <xdr:col>2</xdr:col>
      <xdr:colOff>1733550</xdr:colOff>
      <xdr:row>2075</xdr:row>
      <xdr:rowOff>1524000</xdr:rowOff>
    </xdr:to>
    <xdr:pic>
      <xdr:nvPicPr>
        <xdr:cNvPr id="2075" name="Picture 2074"/>
        <xdr:cNvPicPr>
          <a:picLocks noChangeAspect="1" noChangeArrowheads="1"/>
        </xdr:cNvPicPr>
      </xdr:nvPicPr>
      <xdr:blipFill>
        <a:blip xmlns:r="http://schemas.openxmlformats.org/officeDocument/2006/relationships" r:embed="rId2073">
          <a:extLst>
            <a:ext uri="{28A0092B-C50C-407E-A947-70E740481C1C}">
              <a14:useLocalDpi xmlns:a14="http://schemas.microsoft.com/office/drawing/2010/main" val="0"/>
            </a:ext>
          </a:extLst>
        </a:blip>
        <a:srcRect/>
        <a:stretch>
          <a:fillRect/>
        </a:stretch>
      </xdr:blipFill>
      <xdr:spPr bwMode="auto">
        <a:xfrm>
          <a:off x="1228725" y="3930967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2076</xdr:row>
      <xdr:rowOff>9525</xdr:rowOff>
    </xdr:from>
    <xdr:to>
      <xdr:col>2</xdr:col>
      <xdr:colOff>1733550</xdr:colOff>
      <xdr:row>2076</xdr:row>
      <xdr:rowOff>1524000</xdr:rowOff>
    </xdr:to>
    <xdr:pic>
      <xdr:nvPicPr>
        <xdr:cNvPr id="2076" name="Picture 2075"/>
        <xdr:cNvPicPr>
          <a:picLocks noChangeAspect="1" noChangeArrowheads="1"/>
        </xdr:cNvPicPr>
      </xdr:nvPicPr>
      <xdr:blipFill>
        <a:blip xmlns:r="http://schemas.openxmlformats.org/officeDocument/2006/relationships" r:embed="rId2074">
          <a:extLst>
            <a:ext uri="{28A0092B-C50C-407E-A947-70E740481C1C}">
              <a14:useLocalDpi xmlns:a14="http://schemas.microsoft.com/office/drawing/2010/main" val="0"/>
            </a:ext>
          </a:extLst>
        </a:blip>
        <a:srcRect/>
        <a:stretch>
          <a:fillRect/>
        </a:stretch>
      </xdr:blipFill>
      <xdr:spPr bwMode="auto">
        <a:xfrm>
          <a:off x="1228725" y="3932720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2077</xdr:row>
      <xdr:rowOff>9525</xdr:rowOff>
    </xdr:from>
    <xdr:to>
      <xdr:col>2</xdr:col>
      <xdr:colOff>1733550</xdr:colOff>
      <xdr:row>2077</xdr:row>
      <xdr:rowOff>1524000</xdr:rowOff>
    </xdr:to>
    <xdr:pic>
      <xdr:nvPicPr>
        <xdr:cNvPr id="2077" name="Picture 2076"/>
        <xdr:cNvPicPr>
          <a:picLocks noChangeAspect="1" noChangeArrowheads="1"/>
        </xdr:cNvPicPr>
      </xdr:nvPicPr>
      <xdr:blipFill>
        <a:blip xmlns:r="http://schemas.openxmlformats.org/officeDocument/2006/relationships" r:embed="rId2075">
          <a:extLst>
            <a:ext uri="{28A0092B-C50C-407E-A947-70E740481C1C}">
              <a14:useLocalDpi xmlns:a14="http://schemas.microsoft.com/office/drawing/2010/main" val="0"/>
            </a:ext>
          </a:extLst>
        </a:blip>
        <a:srcRect/>
        <a:stretch>
          <a:fillRect/>
        </a:stretch>
      </xdr:blipFill>
      <xdr:spPr bwMode="auto">
        <a:xfrm>
          <a:off x="1228725" y="3934472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2078</xdr:row>
      <xdr:rowOff>9525</xdr:rowOff>
    </xdr:from>
    <xdr:to>
      <xdr:col>2</xdr:col>
      <xdr:colOff>1733550</xdr:colOff>
      <xdr:row>2078</xdr:row>
      <xdr:rowOff>1524000</xdr:rowOff>
    </xdr:to>
    <xdr:pic>
      <xdr:nvPicPr>
        <xdr:cNvPr id="2078" name="Picture 2077"/>
        <xdr:cNvPicPr>
          <a:picLocks noChangeAspect="1" noChangeArrowheads="1"/>
        </xdr:cNvPicPr>
      </xdr:nvPicPr>
      <xdr:blipFill>
        <a:blip xmlns:r="http://schemas.openxmlformats.org/officeDocument/2006/relationships" r:embed="rId2076">
          <a:extLst>
            <a:ext uri="{28A0092B-C50C-407E-A947-70E740481C1C}">
              <a14:useLocalDpi xmlns:a14="http://schemas.microsoft.com/office/drawing/2010/main" val="0"/>
            </a:ext>
          </a:extLst>
        </a:blip>
        <a:srcRect/>
        <a:stretch>
          <a:fillRect/>
        </a:stretch>
      </xdr:blipFill>
      <xdr:spPr bwMode="auto">
        <a:xfrm>
          <a:off x="1228725" y="39362253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2079</xdr:row>
      <xdr:rowOff>9525</xdr:rowOff>
    </xdr:from>
    <xdr:to>
      <xdr:col>2</xdr:col>
      <xdr:colOff>1733550</xdr:colOff>
      <xdr:row>2079</xdr:row>
      <xdr:rowOff>1524000</xdr:rowOff>
    </xdr:to>
    <xdr:pic>
      <xdr:nvPicPr>
        <xdr:cNvPr id="2079" name="Picture 2078"/>
        <xdr:cNvPicPr>
          <a:picLocks noChangeAspect="1" noChangeArrowheads="1"/>
        </xdr:cNvPicPr>
      </xdr:nvPicPr>
      <xdr:blipFill>
        <a:blip xmlns:r="http://schemas.openxmlformats.org/officeDocument/2006/relationships" r:embed="rId2077">
          <a:extLst>
            <a:ext uri="{28A0092B-C50C-407E-A947-70E740481C1C}">
              <a14:useLocalDpi xmlns:a14="http://schemas.microsoft.com/office/drawing/2010/main" val="0"/>
            </a:ext>
          </a:extLst>
        </a:blip>
        <a:srcRect/>
        <a:stretch>
          <a:fillRect/>
        </a:stretch>
      </xdr:blipFill>
      <xdr:spPr bwMode="auto">
        <a:xfrm>
          <a:off x="1228725" y="39379779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2080</xdr:row>
      <xdr:rowOff>9525</xdr:rowOff>
    </xdr:from>
    <xdr:to>
      <xdr:col>2</xdr:col>
      <xdr:colOff>1733550</xdr:colOff>
      <xdr:row>2080</xdr:row>
      <xdr:rowOff>1524000</xdr:rowOff>
    </xdr:to>
    <xdr:pic>
      <xdr:nvPicPr>
        <xdr:cNvPr id="2080" name="Picture 2079"/>
        <xdr:cNvPicPr>
          <a:picLocks noChangeAspect="1" noChangeArrowheads="1"/>
        </xdr:cNvPicPr>
      </xdr:nvPicPr>
      <xdr:blipFill>
        <a:blip xmlns:r="http://schemas.openxmlformats.org/officeDocument/2006/relationships" r:embed="rId2078">
          <a:extLst>
            <a:ext uri="{28A0092B-C50C-407E-A947-70E740481C1C}">
              <a14:useLocalDpi xmlns:a14="http://schemas.microsoft.com/office/drawing/2010/main" val="0"/>
            </a:ext>
          </a:extLst>
        </a:blip>
        <a:srcRect/>
        <a:stretch>
          <a:fillRect/>
        </a:stretch>
      </xdr:blipFill>
      <xdr:spPr bwMode="auto">
        <a:xfrm>
          <a:off x="1228725" y="3939730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2081</xdr:row>
      <xdr:rowOff>9525</xdr:rowOff>
    </xdr:from>
    <xdr:to>
      <xdr:col>2</xdr:col>
      <xdr:colOff>1733550</xdr:colOff>
      <xdr:row>2081</xdr:row>
      <xdr:rowOff>1524000</xdr:rowOff>
    </xdr:to>
    <xdr:pic>
      <xdr:nvPicPr>
        <xdr:cNvPr id="2081" name="Picture 2080"/>
        <xdr:cNvPicPr>
          <a:picLocks noChangeAspect="1" noChangeArrowheads="1"/>
        </xdr:cNvPicPr>
      </xdr:nvPicPr>
      <xdr:blipFill>
        <a:blip xmlns:r="http://schemas.openxmlformats.org/officeDocument/2006/relationships" r:embed="rId2079">
          <a:extLst>
            <a:ext uri="{28A0092B-C50C-407E-A947-70E740481C1C}">
              <a14:useLocalDpi xmlns:a14="http://schemas.microsoft.com/office/drawing/2010/main" val="0"/>
            </a:ext>
          </a:extLst>
        </a:blip>
        <a:srcRect/>
        <a:stretch>
          <a:fillRect/>
        </a:stretch>
      </xdr:blipFill>
      <xdr:spPr bwMode="auto">
        <a:xfrm>
          <a:off x="1228725" y="3941483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2082</xdr:row>
      <xdr:rowOff>9525</xdr:rowOff>
    </xdr:from>
    <xdr:to>
      <xdr:col>2</xdr:col>
      <xdr:colOff>1733550</xdr:colOff>
      <xdr:row>2082</xdr:row>
      <xdr:rowOff>1524000</xdr:rowOff>
    </xdr:to>
    <xdr:pic>
      <xdr:nvPicPr>
        <xdr:cNvPr id="2082" name="Picture 2081"/>
        <xdr:cNvPicPr>
          <a:picLocks noChangeAspect="1" noChangeArrowheads="1"/>
        </xdr:cNvPicPr>
      </xdr:nvPicPr>
      <xdr:blipFill>
        <a:blip xmlns:r="http://schemas.openxmlformats.org/officeDocument/2006/relationships" r:embed="rId2080">
          <a:extLst>
            <a:ext uri="{28A0092B-C50C-407E-A947-70E740481C1C}">
              <a14:useLocalDpi xmlns:a14="http://schemas.microsoft.com/office/drawing/2010/main" val="0"/>
            </a:ext>
          </a:extLst>
        </a:blip>
        <a:srcRect/>
        <a:stretch>
          <a:fillRect/>
        </a:stretch>
      </xdr:blipFill>
      <xdr:spPr bwMode="auto">
        <a:xfrm>
          <a:off x="1228725" y="3943235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2083</xdr:row>
      <xdr:rowOff>19050</xdr:rowOff>
    </xdr:from>
    <xdr:to>
      <xdr:col>2</xdr:col>
      <xdr:colOff>1733550</xdr:colOff>
      <xdr:row>2083</xdr:row>
      <xdr:rowOff>1647825</xdr:rowOff>
    </xdr:to>
    <xdr:pic>
      <xdr:nvPicPr>
        <xdr:cNvPr id="2083" name="Picture 2082"/>
        <xdr:cNvPicPr>
          <a:picLocks noChangeAspect="1" noChangeArrowheads="1"/>
        </xdr:cNvPicPr>
      </xdr:nvPicPr>
      <xdr:blipFill>
        <a:blip xmlns:r="http://schemas.openxmlformats.org/officeDocument/2006/relationships" r:embed="rId2081">
          <a:extLst>
            <a:ext uri="{28A0092B-C50C-407E-A947-70E740481C1C}">
              <a14:useLocalDpi xmlns:a14="http://schemas.microsoft.com/office/drawing/2010/main" val="0"/>
            </a:ext>
          </a:extLst>
        </a:blip>
        <a:srcRect/>
        <a:stretch>
          <a:fillRect/>
        </a:stretch>
      </xdr:blipFill>
      <xdr:spPr bwMode="auto">
        <a:xfrm>
          <a:off x="1228725" y="3944997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2084</xdr:row>
      <xdr:rowOff>9525</xdr:rowOff>
    </xdr:from>
    <xdr:to>
      <xdr:col>2</xdr:col>
      <xdr:colOff>1733550</xdr:colOff>
      <xdr:row>2084</xdr:row>
      <xdr:rowOff>1524000</xdr:rowOff>
    </xdr:to>
    <xdr:pic>
      <xdr:nvPicPr>
        <xdr:cNvPr id="2084" name="Picture 2083"/>
        <xdr:cNvPicPr>
          <a:picLocks noChangeAspect="1" noChangeArrowheads="1"/>
        </xdr:cNvPicPr>
      </xdr:nvPicPr>
      <xdr:blipFill>
        <a:blip xmlns:r="http://schemas.openxmlformats.org/officeDocument/2006/relationships" r:embed="rId2082">
          <a:extLst>
            <a:ext uri="{28A0092B-C50C-407E-A947-70E740481C1C}">
              <a14:useLocalDpi xmlns:a14="http://schemas.microsoft.com/office/drawing/2010/main" val="0"/>
            </a:ext>
          </a:extLst>
        </a:blip>
        <a:srcRect/>
        <a:stretch>
          <a:fillRect/>
        </a:stretch>
      </xdr:blipFill>
      <xdr:spPr bwMode="auto">
        <a:xfrm>
          <a:off x="1228725" y="3946883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2085</xdr:row>
      <xdr:rowOff>19050</xdr:rowOff>
    </xdr:from>
    <xdr:to>
      <xdr:col>2</xdr:col>
      <xdr:colOff>1733550</xdr:colOff>
      <xdr:row>2085</xdr:row>
      <xdr:rowOff>1647825</xdr:rowOff>
    </xdr:to>
    <xdr:pic>
      <xdr:nvPicPr>
        <xdr:cNvPr id="2085" name="Picture 2084"/>
        <xdr:cNvPicPr>
          <a:picLocks noChangeAspect="1" noChangeArrowheads="1"/>
        </xdr:cNvPicPr>
      </xdr:nvPicPr>
      <xdr:blipFill>
        <a:blip xmlns:r="http://schemas.openxmlformats.org/officeDocument/2006/relationships" r:embed="rId2083">
          <a:extLst>
            <a:ext uri="{28A0092B-C50C-407E-A947-70E740481C1C}">
              <a14:useLocalDpi xmlns:a14="http://schemas.microsoft.com/office/drawing/2010/main" val="0"/>
            </a:ext>
          </a:extLst>
        </a:blip>
        <a:srcRect/>
        <a:stretch>
          <a:fillRect/>
        </a:stretch>
      </xdr:blipFill>
      <xdr:spPr bwMode="auto">
        <a:xfrm>
          <a:off x="1228725" y="39486459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2086</xdr:row>
      <xdr:rowOff>19050</xdr:rowOff>
    </xdr:from>
    <xdr:to>
      <xdr:col>2</xdr:col>
      <xdr:colOff>1733550</xdr:colOff>
      <xdr:row>2086</xdr:row>
      <xdr:rowOff>1685925</xdr:rowOff>
    </xdr:to>
    <xdr:pic>
      <xdr:nvPicPr>
        <xdr:cNvPr id="2086" name="Picture 2085"/>
        <xdr:cNvPicPr>
          <a:picLocks noChangeAspect="1" noChangeArrowheads="1"/>
        </xdr:cNvPicPr>
      </xdr:nvPicPr>
      <xdr:blipFill>
        <a:blip xmlns:r="http://schemas.openxmlformats.org/officeDocument/2006/relationships" r:embed="rId2084">
          <a:extLst>
            <a:ext uri="{28A0092B-C50C-407E-A947-70E740481C1C}">
              <a14:useLocalDpi xmlns:a14="http://schemas.microsoft.com/office/drawing/2010/main" val="0"/>
            </a:ext>
          </a:extLst>
        </a:blip>
        <a:srcRect/>
        <a:stretch>
          <a:fillRect/>
        </a:stretch>
      </xdr:blipFill>
      <xdr:spPr bwMode="auto">
        <a:xfrm>
          <a:off x="1228725" y="39505413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2087</xdr:row>
      <xdr:rowOff>9525</xdr:rowOff>
    </xdr:from>
    <xdr:to>
      <xdr:col>2</xdr:col>
      <xdr:colOff>1733550</xdr:colOff>
      <xdr:row>2087</xdr:row>
      <xdr:rowOff>1524000</xdr:rowOff>
    </xdr:to>
    <xdr:pic>
      <xdr:nvPicPr>
        <xdr:cNvPr id="2087" name="Picture 2086"/>
        <xdr:cNvPicPr>
          <a:picLocks noChangeAspect="1" noChangeArrowheads="1"/>
        </xdr:cNvPicPr>
      </xdr:nvPicPr>
      <xdr:blipFill>
        <a:blip xmlns:r="http://schemas.openxmlformats.org/officeDocument/2006/relationships" r:embed="rId2085">
          <a:extLst>
            <a:ext uri="{28A0092B-C50C-407E-A947-70E740481C1C}">
              <a14:useLocalDpi xmlns:a14="http://schemas.microsoft.com/office/drawing/2010/main" val="0"/>
            </a:ext>
          </a:extLst>
        </a:blip>
        <a:srcRect/>
        <a:stretch>
          <a:fillRect/>
        </a:stretch>
      </xdr:blipFill>
      <xdr:spPr bwMode="auto">
        <a:xfrm>
          <a:off x="1228725" y="3952474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2088</xdr:row>
      <xdr:rowOff>19050</xdr:rowOff>
    </xdr:from>
    <xdr:to>
      <xdr:col>2</xdr:col>
      <xdr:colOff>1733550</xdr:colOff>
      <xdr:row>2088</xdr:row>
      <xdr:rowOff>1666875</xdr:rowOff>
    </xdr:to>
    <xdr:pic>
      <xdr:nvPicPr>
        <xdr:cNvPr id="2088" name="Picture 2087"/>
        <xdr:cNvPicPr>
          <a:picLocks noChangeAspect="1" noChangeArrowheads="1"/>
        </xdr:cNvPicPr>
      </xdr:nvPicPr>
      <xdr:blipFill>
        <a:blip xmlns:r="http://schemas.openxmlformats.org/officeDocument/2006/relationships" r:embed="rId2086">
          <a:extLst>
            <a:ext uri="{28A0092B-C50C-407E-A947-70E740481C1C}">
              <a14:useLocalDpi xmlns:a14="http://schemas.microsoft.com/office/drawing/2010/main" val="0"/>
            </a:ext>
          </a:extLst>
        </a:blip>
        <a:srcRect/>
        <a:stretch>
          <a:fillRect/>
        </a:stretch>
      </xdr:blipFill>
      <xdr:spPr bwMode="auto">
        <a:xfrm>
          <a:off x="1228725" y="3954237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2089</xdr:row>
      <xdr:rowOff>19050</xdr:rowOff>
    </xdr:from>
    <xdr:to>
      <xdr:col>2</xdr:col>
      <xdr:colOff>1733550</xdr:colOff>
      <xdr:row>2089</xdr:row>
      <xdr:rowOff>1647825</xdr:rowOff>
    </xdr:to>
    <xdr:pic>
      <xdr:nvPicPr>
        <xdr:cNvPr id="2089" name="Picture 2088"/>
        <xdr:cNvPicPr>
          <a:picLocks noChangeAspect="1" noChangeArrowheads="1"/>
        </xdr:cNvPicPr>
      </xdr:nvPicPr>
      <xdr:blipFill>
        <a:blip xmlns:r="http://schemas.openxmlformats.org/officeDocument/2006/relationships" r:embed="rId2087">
          <a:extLst>
            <a:ext uri="{28A0092B-C50C-407E-A947-70E740481C1C}">
              <a14:useLocalDpi xmlns:a14="http://schemas.microsoft.com/office/drawing/2010/main" val="0"/>
            </a:ext>
          </a:extLst>
        </a:blip>
        <a:srcRect/>
        <a:stretch>
          <a:fillRect/>
        </a:stretch>
      </xdr:blipFill>
      <xdr:spPr bwMode="auto">
        <a:xfrm>
          <a:off x="1228725" y="3956151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2090</xdr:row>
      <xdr:rowOff>19050</xdr:rowOff>
    </xdr:from>
    <xdr:to>
      <xdr:col>2</xdr:col>
      <xdr:colOff>1733550</xdr:colOff>
      <xdr:row>2090</xdr:row>
      <xdr:rowOff>1666875</xdr:rowOff>
    </xdr:to>
    <xdr:pic>
      <xdr:nvPicPr>
        <xdr:cNvPr id="2090" name="Picture 2089"/>
        <xdr:cNvPicPr>
          <a:picLocks noChangeAspect="1" noChangeArrowheads="1"/>
        </xdr:cNvPicPr>
      </xdr:nvPicPr>
      <xdr:blipFill>
        <a:blip xmlns:r="http://schemas.openxmlformats.org/officeDocument/2006/relationships" r:embed="rId2088">
          <a:extLst>
            <a:ext uri="{28A0092B-C50C-407E-A947-70E740481C1C}">
              <a14:useLocalDpi xmlns:a14="http://schemas.microsoft.com/office/drawing/2010/main" val="0"/>
            </a:ext>
          </a:extLst>
        </a:blip>
        <a:srcRect/>
        <a:stretch>
          <a:fillRect/>
        </a:stretch>
      </xdr:blipFill>
      <xdr:spPr bwMode="auto">
        <a:xfrm>
          <a:off x="1228725" y="3958047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2091</xdr:row>
      <xdr:rowOff>19050</xdr:rowOff>
    </xdr:from>
    <xdr:to>
      <xdr:col>2</xdr:col>
      <xdr:colOff>1733550</xdr:colOff>
      <xdr:row>2091</xdr:row>
      <xdr:rowOff>1685925</xdr:rowOff>
    </xdr:to>
    <xdr:pic>
      <xdr:nvPicPr>
        <xdr:cNvPr id="2091" name="Picture 2090"/>
        <xdr:cNvPicPr>
          <a:picLocks noChangeAspect="1" noChangeArrowheads="1"/>
        </xdr:cNvPicPr>
      </xdr:nvPicPr>
      <xdr:blipFill>
        <a:blip xmlns:r="http://schemas.openxmlformats.org/officeDocument/2006/relationships" r:embed="rId2089">
          <a:extLst>
            <a:ext uri="{28A0092B-C50C-407E-A947-70E740481C1C}">
              <a14:useLocalDpi xmlns:a14="http://schemas.microsoft.com/office/drawing/2010/main" val="0"/>
            </a:ext>
          </a:extLst>
        </a:blip>
        <a:srcRect/>
        <a:stretch>
          <a:fillRect/>
        </a:stretch>
      </xdr:blipFill>
      <xdr:spPr bwMode="auto">
        <a:xfrm>
          <a:off x="1228725" y="39599616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2092</xdr:row>
      <xdr:rowOff>19050</xdr:rowOff>
    </xdr:from>
    <xdr:to>
      <xdr:col>2</xdr:col>
      <xdr:colOff>1733550</xdr:colOff>
      <xdr:row>2092</xdr:row>
      <xdr:rowOff>1666875</xdr:rowOff>
    </xdr:to>
    <xdr:pic>
      <xdr:nvPicPr>
        <xdr:cNvPr id="2092" name="Picture 2091"/>
        <xdr:cNvPicPr>
          <a:picLocks noChangeAspect="1" noChangeArrowheads="1"/>
        </xdr:cNvPicPr>
      </xdr:nvPicPr>
      <xdr:blipFill>
        <a:blip xmlns:r="http://schemas.openxmlformats.org/officeDocument/2006/relationships" r:embed="rId2090">
          <a:extLst>
            <a:ext uri="{28A0092B-C50C-407E-A947-70E740481C1C}">
              <a14:useLocalDpi xmlns:a14="http://schemas.microsoft.com/office/drawing/2010/main" val="0"/>
            </a:ext>
          </a:extLst>
        </a:blip>
        <a:srcRect/>
        <a:stretch>
          <a:fillRect/>
        </a:stretch>
      </xdr:blipFill>
      <xdr:spPr bwMode="auto">
        <a:xfrm>
          <a:off x="1228725" y="3961904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2093</xdr:row>
      <xdr:rowOff>19050</xdr:rowOff>
    </xdr:from>
    <xdr:to>
      <xdr:col>2</xdr:col>
      <xdr:colOff>1733550</xdr:colOff>
      <xdr:row>2093</xdr:row>
      <xdr:rowOff>1666875</xdr:rowOff>
    </xdr:to>
    <xdr:pic>
      <xdr:nvPicPr>
        <xdr:cNvPr id="2093" name="Picture 2092"/>
        <xdr:cNvPicPr>
          <a:picLocks noChangeAspect="1" noChangeArrowheads="1"/>
        </xdr:cNvPicPr>
      </xdr:nvPicPr>
      <xdr:blipFill>
        <a:blip xmlns:r="http://schemas.openxmlformats.org/officeDocument/2006/relationships" r:embed="rId2091">
          <a:extLst>
            <a:ext uri="{28A0092B-C50C-407E-A947-70E740481C1C}">
              <a14:useLocalDpi xmlns:a14="http://schemas.microsoft.com/office/drawing/2010/main" val="0"/>
            </a:ext>
          </a:extLst>
        </a:blip>
        <a:srcRect/>
        <a:stretch>
          <a:fillRect/>
        </a:stretch>
      </xdr:blipFill>
      <xdr:spPr bwMode="auto">
        <a:xfrm>
          <a:off x="1228725" y="3963819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2094</xdr:row>
      <xdr:rowOff>19050</xdr:rowOff>
    </xdr:from>
    <xdr:to>
      <xdr:col>2</xdr:col>
      <xdr:colOff>1733550</xdr:colOff>
      <xdr:row>2094</xdr:row>
      <xdr:rowOff>1914525</xdr:rowOff>
    </xdr:to>
    <xdr:pic>
      <xdr:nvPicPr>
        <xdr:cNvPr id="2094" name="Picture 2093"/>
        <xdr:cNvPicPr>
          <a:picLocks noChangeAspect="1" noChangeArrowheads="1"/>
        </xdr:cNvPicPr>
      </xdr:nvPicPr>
      <xdr:blipFill>
        <a:blip xmlns:r="http://schemas.openxmlformats.org/officeDocument/2006/relationships" r:embed="rId2092">
          <a:extLst>
            <a:ext uri="{28A0092B-C50C-407E-A947-70E740481C1C}">
              <a14:useLocalDpi xmlns:a14="http://schemas.microsoft.com/office/drawing/2010/main" val="0"/>
            </a:ext>
          </a:extLst>
        </a:blip>
        <a:srcRect/>
        <a:stretch>
          <a:fillRect/>
        </a:stretch>
      </xdr:blipFill>
      <xdr:spPr bwMode="auto">
        <a:xfrm>
          <a:off x="1228725" y="3965733750"/>
          <a:ext cx="1724025" cy="1895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2095</xdr:row>
      <xdr:rowOff>19050</xdr:rowOff>
    </xdr:from>
    <xdr:to>
      <xdr:col>2</xdr:col>
      <xdr:colOff>1733550</xdr:colOff>
      <xdr:row>2095</xdr:row>
      <xdr:rowOff>1666875</xdr:rowOff>
    </xdr:to>
    <xdr:pic>
      <xdr:nvPicPr>
        <xdr:cNvPr id="2095" name="Picture 2094"/>
        <xdr:cNvPicPr>
          <a:picLocks noChangeAspect="1" noChangeArrowheads="1"/>
        </xdr:cNvPicPr>
      </xdr:nvPicPr>
      <xdr:blipFill>
        <a:blip xmlns:r="http://schemas.openxmlformats.org/officeDocument/2006/relationships" r:embed="rId2093">
          <a:extLst>
            <a:ext uri="{28A0092B-C50C-407E-A947-70E740481C1C}">
              <a14:useLocalDpi xmlns:a14="http://schemas.microsoft.com/office/drawing/2010/main" val="0"/>
            </a:ext>
          </a:extLst>
        </a:blip>
        <a:srcRect/>
        <a:stretch>
          <a:fillRect/>
        </a:stretch>
      </xdr:blipFill>
      <xdr:spPr bwMode="auto">
        <a:xfrm>
          <a:off x="1228725" y="396793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2096</xdr:row>
      <xdr:rowOff>19050</xdr:rowOff>
    </xdr:from>
    <xdr:to>
      <xdr:col>2</xdr:col>
      <xdr:colOff>1733550</xdr:colOff>
      <xdr:row>2096</xdr:row>
      <xdr:rowOff>1666875</xdr:rowOff>
    </xdr:to>
    <xdr:pic>
      <xdr:nvPicPr>
        <xdr:cNvPr id="2096" name="Picture 2095"/>
        <xdr:cNvPicPr>
          <a:picLocks noChangeAspect="1" noChangeArrowheads="1"/>
        </xdr:cNvPicPr>
      </xdr:nvPicPr>
      <xdr:blipFill>
        <a:blip xmlns:r="http://schemas.openxmlformats.org/officeDocument/2006/relationships" r:embed="rId2094">
          <a:extLst>
            <a:ext uri="{28A0092B-C50C-407E-A947-70E740481C1C}">
              <a14:useLocalDpi xmlns:a14="http://schemas.microsoft.com/office/drawing/2010/main" val="0"/>
            </a:ext>
          </a:extLst>
        </a:blip>
        <a:srcRect/>
        <a:stretch>
          <a:fillRect/>
        </a:stretch>
      </xdr:blipFill>
      <xdr:spPr bwMode="auto">
        <a:xfrm>
          <a:off x="1228725" y="396984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2097</xdr:row>
      <xdr:rowOff>19050</xdr:rowOff>
    </xdr:from>
    <xdr:to>
      <xdr:col>2</xdr:col>
      <xdr:colOff>1733550</xdr:colOff>
      <xdr:row>2097</xdr:row>
      <xdr:rowOff>1647825</xdr:rowOff>
    </xdr:to>
    <xdr:pic>
      <xdr:nvPicPr>
        <xdr:cNvPr id="2097" name="Picture 2096"/>
        <xdr:cNvPicPr>
          <a:picLocks noChangeAspect="1" noChangeArrowheads="1"/>
        </xdr:cNvPicPr>
      </xdr:nvPicPr>
      <xdr:blipFill>
        <a:blip xmlns:r="http://schemas.openxmlformats.org/officeDocument/2006/relationships" r:embed="rId2095">
          <a:extLst>
            <a:ext uri="{28A0092B-C50C-407E-A947-70E740481C1C}">
              <a14:useLocalDpi xmlns:a14="http://schemas.microsoft.com/office/drawing/2010/main" val="0"/>
            </a:ext>
          </a:extLst>
        </a:blip>
        <a:srcRect/>
        <a:stretch>
          <a:fillRect/>
        </a:stretch>
      </xdr:blipFill>
      <xdr:spPr bwMode="auto">
        <a:xfrm>
          <a:off x="1228725" y="39717630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2098</xdr:row>
      <xdr:rowOff>19050</xdr:rowOff>
    </xdr:from>
    <xdr:to>
      <xdr:col>2</xdr:col>
      <xdr:colOff>1733550</xdr:colOff>
      <xdr:row>2098</xdr:row>
      <xdr:rowOff>1666875</xdr:rowOff>
    </xdr:to>
    <xdr:pic>
      <xdr:nvPicPr>
        <xdr:cNvPr id="2098" name="Picture 2097"/>
        <xdr:cNvPicPr>
          <a:picLocks noChangeAspect="1" noChangeArrowheads="1"/>
        </xdr:cNvPicPr>
      </xdr:nvPicPr>
      <xdr:blipFill>
        <a:blip xmlns:r="http://schemas.openxmlformats.org/officeDocument/2006/relationships" r:embed="rId2096">
          <a:extLst>
            <a:ext uri="{28A0092B-C50C-407E-A947-70E740481C1C}">
              <a14:useLocalDpi xmlns:a14="http://schemas.microsoft.com/office/drawing/2010/main" val="0"/>
            </a:ext>
          </a:extLst>
        </a:blip>
        <a:srcRect/>
        <a:stretch>
          <a:fillRect/>
        </a:stretch>
      </xdr:blipFill>
      <xdr:spPr bwMode="auto">
        <a:xfrm>
          <a:off x="1228725" y="397365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2099</xdr:row>
      <xdr:rowOff>19050</xdr:rowOff>
    </xdr:from>
    <xdr:to>
      <xdr:col>2</xdr:col>
      <xdr:colOff>1733550</xdr:colOff>
      <xdr:row>2099</xdr:row>
      <xdr:rowOff>1695450</xdr:rowOff>
    </xdr:to>
    <xdr:pic>
      <xdr:nvPicPr>
        <xdr:cNvPr id="2099" name="Picture 2098"/>
        <xdr:cNvPicPr>
          <a:picLocks noChangeAspect="1" noChangeArrowheads="1"/>
        </xdr:cNvPicPr>
      </xdr:nvPicPr>
      <xdr:blipFill>
        <a:blip xmlns:r="http://schemas.openxmlformats.org/officeDocument/2006/relationships" r:embed="rId2097">
          <a:extLst>
            <a:ext uri="{28A0092B-C50C-407E-A947-70E740481C1C}">
              <a14:useLocalDpi xmlns:a14="http://schemas.microsoft.com/office/drawing/2010/main" val="0"/>
            </a:ext>
          </a:extLst>
        </a:blip>
        <a:srcRect/>
        <a:stretch>
          <a:fillRect/>
        </a:stretch>
      </xdr:blipFill>
      <xdr:spPr bwMode="auto">
        <a:xfrm>
          <a:off x="1228725" y="3975573075"/>
          <a:ext cx="1724025" cy="1676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2100</xdr:row>
      <xdr:rowOff>19050</xdr:rowOff>
    </xdr:from>
    <xdr:to>
      <xdr:col>2</xdr:col>
      <xdr:colOff>1733550</xdr:colOff>
      <xdr:row>2100</xdr:row>
      <xdr:rowOff>1695450</xdr:rowOff>
    </xdr:to>
    <xdr:pic>
      <xdr:nvPicPr>
        <xdr:cNvPr id="2100" name="Picture 2099"/>
        <xdr:cNvPicPr>
          <a:picLocks noChangeAspect="1" noChangeArrowheads="1"/>
        </xdr:cNvPicPr>
      </xdr:nvPicPr>
      <xdr:blipFill>
        <a:blip xmlns:r="http://schemas.openxmlformats.org/officeDocument/2006/relationships" r:embed="rId2098">
          <a:extLst>
            <a:ext uri="{28A0092B-C50C-407E-A947-70E740481C1C}">
              <a14:useLocalDpi xmlns:a14="http://schemas.microsoft.com/office/drawing/2010/main" val="0"/>
            </a:ext>
          </a:extLst>
        </a:blip>
        <a:srcRect/>
        <a:stretch>
          <a:fillRect/>
        </a:stretch>
      </xdr:blipFill>
      <xdr:spPr bwMode="auto">
        <a:xfrm>
          <a:off x="1228725" y="3977525700"/>
          <a:ext cx="1724025" cy="1676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2101</xdr:row>
      <xdr:rowOff>19050</xdr:rowOff>
    </xdr:from>
    <xdr:to>
      <xdr:col>2</xdr:col>
      <xdr:colOff>1733550</xdr:colOff>
      <xdr:row>2101</xdr:row>
      <xdr:rowOff>1647825</xdr:rowOff>
    </xdr:to>
    <xdr:pic>
      <xdr:nvPicPr>
        <xdr:cNvPr id="2101" name="Picture 2100"/>
        <xdr:cNvPicPr>
          <a:picLocks noChangeAspect="1" noChangeArrowheads="1"/>
        </xdr:cNvPicPr>
      </xdr:nvPicPr>
      <xdr:blipFill>
        <a:blip xmlns:r="http://schemas.openxmlformats.org/officeDocument/2006/relationships" r:embed="rId2099">
          <a:extLst>
            <a:ext uri="{28A0092B-C50C-407E-A947-70E740481C1C}">
              <a14:useLocalDpi xmlns:a14="http://schemas.microsoft.com/office/drawing/2010/main" val="0"/>
            </a:ext>
          </a:extLst>
        </a:blip>
        <a:srcRect/>
        <a:stretch>
          <a:fillRect/>
        </a:stretch>
      </xdr:blipFill>
      <xdr:spPr bwMode="auto">
        <a:xfrm>
          <a:off x="1228725" y="39794783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2102</xdr:row>
      <xdr:rowOff>19050</xdr:rowOff>
    </xdr:from>
    <xdr:to>
      <xdr:col>2</xdr:col>
      <xdr:colOff>1733550</xdr:colOff>
      <xdr:row>2102</xdr:row>
      <xdr:rowOff>1666875</xdr:rowOff>
    </xdr:to>
    <xdr:pic>
      <xdr:nvPicPr>
        <xdr:cNvPr id="2102" name="Picture 2101"/>
        <xdr:cNvPicPr>
          <a:picLocks noChangeAspect="1" noChangeArrowheads="1"/>
        </xdr:cNvPicPr>
      </xdr:nvPicPr>
      <xdr:blipFill>
        <a:blip xmlns:r="http://schemas.openxmlformats.org/officeDocument/2006/relationships" r:embed="rId2100">
          <a:extLst>
            <a:ext uri="{28A0092B-C50C-407E-A947-70E740481C1C}">
              <a14:useLocalDpi xmlns:a14="http://schemas.microsoft.com/office/drawing/2010/main" val="0"/>
            </a:ext>
          </a:extLst>
        </a:blip>
        <a:srcRect/>
        <a:stretch>
          <a:fillRect/>
        </a:stretch>
      </xdr:blipFill>
      <xdr:spPr bwMode="auto">
        <a:xfrm>
          <a:off x="1228725" y="3981373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2103</xdr:row>
      <xdr:rowOff>19050</xdr:rowOff>
    </xdr:from>
    <xdr:to>
      <xdr:col>2</xdr:col>
      <xdr:colOff>1733550</xdr:colOff>
      <xdr:row>2103</xdr:row>
      <xdr:rowOff>1666875</xdr:rowOff>
    </xdr:to>
    <xdr:pic>
      <xdr:nvPicPr>
        <xdr:cNvPr id="2103" name="Picture 2102"/>
        <xdr:cNvPicPr>
          <a:picLocks noChangeAspect="1" noChangeArrowheads="1"/>
        </xdr:cNvPicPr>
      </xdr:nvPicPr>
      <xdr:blipFill>
        <a:blip xmlns:r="http://schemas.openxmlformats.org/officeDocument/2006/relationships" r:embed="rId2101">
          <a:extLst>
            <a:ext uri="{28A0092B-C50C-407E-A947-70E740481C1C}">
              <a14:useLocalDpi xmlns:a14="http://schemas.microsoft.com/office/drawing/2010/main" val="0"/>
            </a:ext>
          </a:extLst>
        </a:blip>
        <a:srcRect/>
        <a:stretch>
          <a:fillRect/>
        </a:stretch>
      </xdr:blipFill>
      <xdr:spPr bwMode="auto">
        <a:xfrm>
          <a:off x="1228725" y="3983288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2104</xdr:row>
      <xdr:rowOff>19050</xdr:rowOff>
    </xdr:from>
    <xdr:to>
      <xdr:col>2</xdr:col>
      <xdr:colOff>1733550</xdr:colOff>
      <xdr:row>2104</xdr:row>
      <xdr:rowOff>1666875</xdr:rowOff>
    </xdr:to>
    <xdr:pic>
      <xdr:nvPicPr>
        <xdr:cNvPr id="2104" name="Picture 2103"/>
        <xdr:cNvPicPr>
          <a:picLocks noChangeAspect="1" noChangeArrowheads="1"/>
        </xdr:cNvPicPr>
      </xdr:nvPicPr>
      <xdr:blipFill>
        <a:blip xmlns:r="http://schemas.openxmlformats.org/officeDocument/2006/relationships" r:embed="rId2102">
          <a:extLst>
            <a:ext uri="{28A0092B-C50C-407E-A947-70E740481C1C}">
              <a14:useLocalDpi xmlns:a14="http://schemas.microsoft.com/office/drawing/2010/main" val="0"/>
            </a:ext>
          </a:extLst>
        </a:blip>
        <a:srcRect/>
        <a:stretch>
          <a:fillRect/>
        </a:stretch>
      </xdr:blipFill>
      <xdr:spPr bwMode="auto">
        <a:xfrm>
          <a:off x="1228725" y="3985202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2105</xdr:row>
      <xdr:rowOff>19050</xdr:rowOff>
    </xdr:from>
    <xdr:to>
      <xdr:col>2</xdr:col>
      <xdr:colOff>1733550</xdr:colOff>
      <xdr:row>2105</xdr:row>
      <xdr:rowOff>1666875</xdr:rowOff>
    </xdr:to>
    <xdr:pic>
      <xdr:nvPicPr>
        <xdr:cNvPr id="2105" name="Picture 2104"/>
        <xdr:cNvPicPr>
          <a:picLocks noChangeAspect="1" noChangeArrowheads="1"/>
        </xdr:cNvPicPr>
      </xdr:nvPicPr>
      <xdr:blipFill>
        <a:blip xmlns:r="http://schemas.openxmlformats.org/officeDocument/2006/relationships" r:embed="rId2103">
          <a:extLst>
            <a:ext uri="{28A0092B-C50C-407E-A947-70E740481C1C}">
              <a14:useLocalDpi xmlns:a14="http://schemas.microsoft.com/office/drawing/2010/main" val="0"/>
            </a:ext>
          </a:extLst>
        </a:blip>
        <a:srcRect/>
        <a:stretch>
          <a:fillRect/>
        </a:stretch>
      </xdr:blipFill>
      <xdr:spPr bwMode="auto">
        <a:xfrm>
          <a:off x="1228725" y="3987117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2106</xdr:row>
      <xdr:rowOff>19050</xdr:rowOff>
    </xdr:from>
    <xdr:to>
      <xdr:col>2</xdr:col>
      <xdr:colOff>1733550</xdr:colOff>
      <xdr:row>2106</xdr:row>
      <xdr:rowOff>1666875</xdr:rowOff>
    </xdr:to>
    <xdr:pic>
      <xdr:nvPicPr>
        <xdr:cNvPr id="2106" name="Picture 2105"/>
        <xdr:cNvPicPr>
          <a:picLocks noChangeAspect="1" noChangeArrowheads="1"/>
        </xdr:cNvPicPr>
      </xdr:nvPicPr>
      <xdr:blipFill>
        <a:blip xmlns:r="http://schemas.openxmlformats.org/officeDocument/2006/relationships" r:embed="rId2104">
          <a:extLst>
            <a:ext uri="{28A0092B-C50C-407E-A947-70E740481C1C}">
              <a14:useLocalDpi xmlns:a14="http://schemas.microsoft.com/office/drawing/2010/main" val="0"/>
            </a:ext>
          </a:extLst>
        </a:blip>
        <a:srcRect/>
        <a:stretch>
          <a:fillRect/>
        </a:stretch>
      </xdr:blipFill>
      <xdr:spPr bwMode="auto">
        <a:xfrm>
          <a:off x="1228725" y="3989031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2107</xdr:row>
      <xdr:rowOff>19050</xdr:rowOff>
    </xdr:from>
    <xdr:to>
      <xdr:col>2</xdr:col>
      <xdr:colOff>1733550</xdr:colOff>
      <xdr:row>2107</xdr:row>
      <xdr:rowOff>1685925</xdr:rowOff>
    </xdr:to>
    <xdr:pic>
      <xdr:nvPicPr>
        <xdr:cNvPr id="2107" name="Picture 2106"/>
        <xdr:cNvPicPr>
          <a:picLocks noChangeAspect="1" noChangeArrowheads="1"/>
        </xdr:cNvPicPr>
      </xdr:nvPicPr>
      <xdr:blipFill>
        <a:blip xmlns:r="http://schemas.openxmlformats.org/officeDocument/2006/relationships" r:embed="rId2105">
          <a:extLst>
            <a:ext uri="{28A0092B-C50C-407E-A947-70E740481C1C}">
              <a14:useLocalDpi xmlns:a14="http://schemas.microsoft.com/office/drawing/2010/main" val="0"/>
            </a:ext>
          </a:extLst>
        </a:blip>
        <a:srcRect/>
        <a:stretch>
          <a:fillRect/>
        </a:stretch>
      </xdr:blipFill>
      <xdr:spPr bwMode="auto">
        <a:xfrm>
          <a:off x="1228725" y="39909464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2108</xdr:row>
      <xdr:rowOff>19050</xdr:rowOff>
    </xdr:from>
    <xdr:to>
      <xdr:col>2</xdr:col>
      <xdr:colOff>1733550</xdr:colOff>
      <xdr:row>2108</xdr:row>
      <xdr:rowOff>1685925</xdr:rowOff>
    </xdr:to>
    <xdr:pic>
      <xdr:nvPicPr>
        <xdr:cNvPr id="2108" name="Picture 2107"/>
        <xdr:cNvPicPr>
          <a:picLocks noChangeAspect="1" noChangeArrowheads="1"/>
        </xdr:cNvPicPr>
      </xdr:nvPicPr>
      <xdr:blipFill>
        <a:blip xmlns:r="http://schemas.openxmlformats.org/officeDocument/2006/relationships" r:embed="rId2106">
          <a:extLst>
            <a:ext uri="{28A0092B-C50C-407E-A947-70E740481C1C}">
              <a14:useLocalDpi xmlns:a14="http://schemas.microsoft.com/office/drawing/2010/main" val="0"/>
            </a:ext>
          </a:extLst>
        </a:blip>
        <a:srcRect/>
        <a:stretch>
          <a:fillRect/>
        </a:stretch>
      </xdr:blipFill>
      <xdr:spPr bwMode="auto">
        <a:xfrm>
          <a:off x="1228725" y="39928895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2109</xdr:row>
      <xdr:rowOff>19050</xdr:rowOff>
    </xdr:from>
    <xdr:to>
      <xdr:col>2</xdr:col>
      <xdr:colOff>1733550</xdr:colOff>
      <xdr:row>2109</xdr:row>
      <xdr:rowOff>1666875</xdr:rowOff>
    </xdr:to>
    <xdr:pic>
      <xdr:nvPicPr>
        <xdr:cNvPr id="2109" name="Picture 2108"/>
        <xdr:cNvPicPr>
          <a:picLocks noChangeAspect="1" noChangeArrowheads="1"/>
        </xdr:cNvPicPr>
      </xdr:nvPicPr>
      <xdr:blipFill>
        <a:blip xmlns:r="http://schemas.openxmlformats.org/officeDocument/2006/relationships" r:embed="rId2107">
          <a:extLst>
            <a:ext uri="{28A0092B-C50C-407E-A947-70E740481C1C}">
              <a14:useLocalDpi xmlns:a14="http://schemas.microsoft.com/office/drawing/2010/main" val="0"/>
            </a:ext>
          </a:extLst>
        </a:blip>
        <a:srcRect/>
        <a:stretch>
          <a:fillRect/>
        </a:stretch>
      </xdr:blipFill>
      <xdr:spPr bwMode="auto">
        <a:xfrm>
          <a:off x="1228725" y="3994832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2110</xdr:row>
      <xdr:rowOff>19050</xdr:rowOff>
    </xdr:from>
    <xdr:to>
      <xdr:col>2</xdr:col>
      <xdr:colOff>1733550</xdr:colOff>
      <xdr:row>2110</xdr:row>
      <xdr:rowOff>1809750</xdr:rowOff>
    </xdr:to>
    <xdr:pic>
      <xdr:nvPicPr>
        <xdr:cNvPr id="2110" name="Picture 2109"/>
        <xdr:cNvPicPr>
          <a:picLocks noChangeAspect="1" noChangeArrowheads="1"/>
        </xdr:cNvPicPr>
      </xdr:nvPicPr>
      <xdr:blipFill>
        <a:blip xmlns:r="http://schemas.openxmlformats.org/officeDocument/2006/relationships" r:embed="rId2108">
          <a:extLst>
            <a:ext uri="{28A0092B-C50C-407E-A947-70E740481C1C}">
              <a14:useLocalDpi xmlns:a14="http://schemas.microsoft.com/office/drawing/2010/main" val="0"/>
            </a:ext>
          </a:extLst>
        </a:blip>
        <a:srcRect/>
        <a:stretch>
          <a:fillRect/>
        </a:stretch>
      </xdr:blipFill>
      <xdr:spPr bwMode="auto">
        <a:xfrm>
          <a:off x="1228725" y="3996747150"/>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2111</xdr:row>
      <xdr:rowOff>19050</xdr:rowOff>
    </xdr:from>
    <xdr:to>
      <xdr:col>2</xdr:col>
      <xdr:colOff>1733550</xdr:colOff>
      <xdr:row>2111</xdr:row>
      <xdr:rowOff>1647825</xdr:rowOff>
    </xdr:to>
    <xdr:pic>
      <xdr:nvPicPr>
        <xdr:cNvPr id="2111" name="Picture 2110"/>
        <xdr:cNvPicPr>
          <a:picLocks noChangeAspect="1" noChangeArrowheads="1"/>
        </xdr:cNvPicPr>
      </xdr:nvPicPr>
      <xdr:blipFill>
        <a:blip xmlns:r="http://schemas.openxmlformats.org/officeDocument/2006/relationships" r:embed="rId2109">
          <a:extLst>
            <a:ext uri="{28A0092B-C50C-407E-A947-70E740481C1C}">
              <a14:useLocalDpi xmlns:a14="http://schemas.microsoft.com/office/drawing/2010/main" val="0"/>
            </a:ext>
          </a:extLst>
        </a:blip>
        <a:srcRect/>
        <a:stretch>
          <a:fillRect/>
        </a:stretch>
      </xdr:blipFill>
      <xdr:spPr bwMode="auto">
        <a:xfrm>
          <a:off x="1228725" y="3998823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2112</xdr:row>
      <xdr:rowOff>19050</xdr:rowOff>
    </xdr:from>
    <xdr:to>
      <xdr:col>2</xdr:col>
      <xdr:colOff>1733550</xdr:colOff>
      <xdr:row>2112</xdr:row>
      <xdr:rowOff>1666875</xdr:rowOff>
    </xdr:to>
    <xdr:pic>
      <xdr:nvPicPr>
        <xdr:cNvPr id="2112" name="Picture 2111"/>
        <xdr:cNvPicPr>
          <a:picLocks noChangeAspect="1" noChangeArrowheads="1"/>
        </xdr:cNvPicPr>
      </xdr:nvPicPr>
      <xdr:blipFill>
        <a:blip xmlns:r="http://schemas.openxmlformats.org/officeDocument/2006/relationships" r:embed="rId2110">
          <a:extLst>
            <a:ext uri="{28A0092B-C50C-407E-A947-70E740481C1C}">
              <a14:useLocalDpi xmlns:a14="http://schemas.microsoft.com/office/drawing/2010/main" val="0"/>
            </a:ext>
          </a:extLst>
        </a:blip>
        <a:srcRect/>
        <a:stretch>
          <a:fillRect/>
        </a:stretch>
      </xdr:blipFill>
      <xdr:spPr bwMode="auto">
        <a:xfrm>
          <a:off x="1228725" y="4000719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2113</xdr:row>
      <xdr:rowOff>19050</xdr:rowOff>
    </xdr:from>
    <xdr:to>
      <xdr:col>2</xdr:col>
      <xdr:colOff>1733550</xdr:colOff>
      <xdr:row>2113</xdr:row>
      <xdr:rowOff>1666875</xdr:rowOff>
    </xdr:to>
    <xdr:pic>
      <xdr:nvPicPr>
        <xdr:cNvPr id="2113" name="Picture 2112"/>
        <xdr:cNvPicPr>
          <a:picLocks noChangeAspect="1" noChangeArrowheads="1"/>
        </xdr:cNvPicPr>
      </xdr:nvPicPr>
      <xdr:blipFill>
        <a:blip xmlns:r="http://schemas.openxmlformats.org/officeDocument/2006/relationships" r:embed="rId2111">
          <a:extLst>
            <a:ext uri="{28A0092B-C50C-407E-A947-70E740481C1C}">
              <a14:useLocalDpi xmlns:a14="http://schemas.microsoft.com/office/drawing/2010/main" val="0"/>
            </a:ext>
          </a:extLst>
        </a:blip>
        <a:srcRect/>
        <a:stretch>
          <a:fillRect/>
        </a:stretch>
      </xdr:blipFill>
      <xdr:spPr bwMode="auto">
        <a:xfrm>
          <a:off x="1228725" y="4002633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2114</xdr:row>
      <xdr:rowOff>19050</xdr:rowOff>
    </xdr:from>
    <xdr:to>
      <xdr:col>2</xdr:col>
      <xdr:colOff>1733550</xdr:colOff>
      <xdr:row>2114</xdr:row>
      <xdr:rowOff>1647825</xdr:rowOff>
    </xdr:to>
    <xdr:pic>
      <xdr:nvPicPr>
        <xdr:cNvPr id="2114" name="Picture 2113"/>
        <xdr:cNvPicPr>
          <a:picLocks noChangeAspect="1" noChangeArrowheads="1"/>
        </xdr:cNvPicPr>
      </xdr:nvPicPr>
      <xdr:blipFill>
        <a:blip xmlns:r="http://schemas.openxmlformats.org/officeDocument/2006/relationships" r:embed="rId2112">
          <a:extLst>
            <a:ext uri="{28A0092B-C50C-407E-A947-70E740481C1C}">
              <a14:useLocalDpi xmlns:a14="http://schemas.microsoft.com/office/drawing/2010/main" val="0"/>
            </a:ext>
          </a:extLst>
        </a:blip>
        <a:srcRect/>
        <a:stretch>
          <a:fillRect/>
        </a:stretch>
      </xdr:blipFill>
      <xdr:spPr bwMode="auto">
        <a:xfrm>
          <a:off x="1228725" y="4004548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2115</xdr:row>
      <xdr:rowOff>19050</xdr:rowOff>
    </xdr:from>
    <xdr:to>
      <xdr:col>2</xdr:col>
      <xdr:colOff>1733550</xdr:colOff>
      <xdr:row>2115</xdr:row>
      <xdr:rowOff>1685925</xdr:rowOff>
    </xdr:to>
    <xdr:pic>
      <xdr:nvPicPr>
        <xdr:cNvPr id="2115" name="Picture 2114"/>
        <xdr:cNvPicPr>
          <a:picLocks noChangeAspect="1" noChangeArrowheads="1"/>
        </xdr:cNvPicPr>
      </xdr:nvPicPr>
      <xdr:blipFill>
        <a:blip xmlns:r="http://schemas.openxmlformats.org/officeDocument/2006/relationships" r:embed="rId2113">
          <a:extLst>
            <a:ext uri="{28A0092B-C50C-407E-A947-70E740481C1C}">
              <a14:useLocalDpi xmlns:a14="http://schemas.microsoft.com/office/drawing/2010/main" val="0"/>
            </a:ext>
          </a:extLst>
        </a:blip>
        <a:srcRect/>
        <a:stretch>
          <a:fillRect/>
        </a:stretch>
      </xdr:blipFill>
      <xdr:spPr bwMode="auto">
        <a:xfrm>
          <a:off x="1228725" y="40064436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2116</xdr:row>
      <xdr:rowOff>19050</xdr:rowOff>
    </xdr:from>
    <xdr:to>
      <xdr:col>2</xdr:col>
      <xdr:colOff>1733550</xdr:colOff>
      <xdr:row>2116</xdr:row>
      <xdr:rowOff>1685925</xdr:rowOff>
    </xdr:to>
    <xdr:pic>
      <xdr:nvPicPr>
        <xdr:cNvPr id="2116" name="Picture 2115"/>
        <xdr:cNvPicPr>
          <a:picLocks noChangeAspect="1" noChangeArrowheads="1"/>
        </xdr:cNvPicPr>
      </xdr:nvPicPr>
      <xdr:blipFill>
        <a:blip xmlns:r="http://schemas.openxmlformats.org/officeDocument/2006/relationships" r:embed="rId2114">
          <a:extLst>
            <a:ext uri="{28A0092B-C50C-407E-A947-70E740481C1C}">
              <a14:useLocalDpi xmlns:a14="http://schemas.microsoft.com/office/drawing/2010/main" val="0"/>
            </a:ext>
          </a:extLst>
        </a:blip>
        <a:srcRect/>
        <a:stretch>
          <a:fillRect/>
        </a:stretch>
      </xdr:blipFill>
      <xdr:spPr bwMode="auto">
        <a:xfrm>
          <a:off x="1228725" y="40083867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2117</xdr:row>
      <xdr:rowOff>9525</xdr:rowOff>
    </xdr:from>
    <xdr:to>
      <xdr:col>2</xdr:col>
      <xdr:colOff>1733550</xdr:colOff>
      <xdr:row>2117</xdr:row>
      <xdr:rowOff>1524000</xdr:rowOff>
    </xdr:to>
    <xdr:pic>
      <xdr:nvPicPr>
        <xdr:cNvPr id="2117" name="Picture 2116"/>
        <xdr:cNvPicPr>
          <a:picLocks noChangeAspect="1" noChangeArrowheads="1"/>
        </xdr:cNvPicPr>
      </xdr:nvPicPr>
      <xdr:blipFill>
        <a:blip xmlns:r="http://schemas.openxmlformats.org/officeDocument/2006/relationships" r:embed="rId2115">
          <a:extLst>
            <a:ext uri="{28A0092B-C50C-407E-A947-70E740481C1C}">
              <a14:useLocalDpi xmlns:a14="http://schemas.microsoft.com/office/drawing/2010/main" val="0"/>
            </a:ext>
          </a:extLst>
        </a:blip>
        <a:srcRect/>
        <a:stretch>
          <a:fillRect/>
        </a:stretch>
      </xdr:blipFill>
      <xdr:spPr bwMode="auto">
        <a:xfrm>
          <a:off x="1228725" y="4010320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2118</xdr:row>
      <xdr:rowOff>9525</xdr:rowOff>
    </xdr:from>
    <xdr:to>
      <xdr:col>2</xdr:col>
      <xdr:colOff>1733550</xdr:colOff>
      <xdr:row>2118</xdr:row>
      <xdr:rowOff>1524000</xdr:rowOff>
    </xdr:to>
    <xdr:pic>
      <xdr:nvPicPr>
        <xdr:cNvPr id="2118" name="Picture 2117"/>
        <xdr:cNvPicPr>
          <a:picLocks noChangeAspect="1" noChangeArrowheads="1"/>
        </xdr:cNvPicPr>
      </xdr:nvPicPr>
      <xdr:blipFill>
        <a:blip xmlns:r="http://schemas.openxmlformats.org/officeDocument/2006/relationships" r:embed="rId2116">
          <a:extLst>
            <a:ext uri="{28A0092B-C50C-407E-A947-70E740481C1C}">
              <a14:useLocalDpi xmlns:a14="http://schemas.microsoft.com/office/drawing/2010/main" val="0"/>
            </a:ext>
          </a:extLst>
        </a:blip>
        <a:srcRect/>
        <a:stretch>
          <a:fillRect/>
        </a:stretch>
      </xdr:blipFill>
      <xdr:spPr bwMode="auto">
        <a:xfrm>
          <a:off x="1228725" y="4012072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2119</xdr:row>
      <xdr:rowOff>9525</xdr:rowOff>
    </xdr:from>
    <xdr:to>
      <xdr:col>2</xdr:col>
      <xdr:colOff>1733550</xdr:colOff>
      <xdr:row>2119</xdr:row>
      <xdr:rowOff>1524000</xdr:rowOff>
    </xdr:to>
    <xdr:pic>
      <xdr:nvPicPr>
        <xdr:cNvPr id="2119" name="Picture 2118"/>
        <xdr:cNvPicPr>
          <a:picLocks noChangeAspect="1" noChangeArrowheads="1"/>
        </xdr:cNvPicPr>
      </xdr:nvPicPr>
      <xdr:blipFill>
        <a:blip xmlns:r="http://schemas.openxmlformats.org/officeDocument/2006/relationships" r:embed="rId2117">
          <a:extLst>
            <a:ext uri="{28A0092B-C50C-407E-A947-70E740481C1C}">
              <a14:useLocalDpi xmlns:a14="http://schemas.microsoft.com/office/drawing/2010/main" val="0"/>
            </a:ext>
          </a:extLst>
        </a:blip>
        <a:srcRect/>
        <a:stretch>
          <a:fillRect/>
        </a:stretch>
      </xdr:blipFill>
      <xdr:spPr bwMode="auto">
        <a:xfrm>
          <a:off x="1228725" y="4013825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2120</xdr:row>
      <xdr:rowOff>9525</xdr:rowOff>
    </xdr:from>
    <xdr:to>
      <xdr:col>2</xdr:col>
      <xdr:colOff>1733550</xdr:colOff>
      <xdr:row>2120</xdr:row>
      <xdr:rowOff>1524000</xdr:rowOff>
    </xdr:to>
    <xdr:pic>
      <xdr:nvPicPr>
        <xdr:cNvPr id="2120" name="Picture 2119"/>
        <xdr:cNvPicPr>
          <a:picLocks noChangeAspect="1" noChangeArrowheads="1"/>
        </xdr:cNvPicPr>
      </xdr:nvPicPr>
      <xdr:blipFill>
        <a:blip xmlns:r="http://schemas.openxmlformats.org/officeDocument/2006/relationships" r:embed="rId2118">
          <a:extLst>
            <a:ext uri="{28A0092B-C50C-407E-A947-70E740481C1C}">
              <a14:useLocalDpi xmlns:a14="http://schemas.microsoft.com/office/drawing/2010/main" val="0"/>
            </a:ext>
          </a:extLst>
        </a:blip>
        <a:srcRect/>
        <a:stretch>
          <a:fillRect/>
        </a:stretch>
      </xdr:blipFill>
      <xdr:spPr bwMode="auto">
        <a:xfrm>
          <a:off x="1228725" y="4015578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2121</xdr:row>
      <xdr:rowOff>9525</xdr:rowOff>
    </xdr:from>
    <xdr:to>
      <xdr:col>2</xdr:col>
      <xdr:colOff>1733550</xdr:colOff>
      <xdr:row>2121</xdr:row>
      <xdr:rowOff>1524000</xdr:rowOff>
    </xdr:to>
    <xdr:pic>
      <xdr:nvPicPr>
        <xdr:cNvPr id="2121" name="Picture 2120"/>
        <xdr:cNvPicPr>
          <a:picLocks noChangeAspect="1" noChangeArrowheads="1"/>
        </xdr:cNvPicPr>
      </xdr:nvPicPr>
      <xdr:blipFill>
        <a:blip xmlns:r="http://schemas.openxmlformats.org/officeDocument/2006/relationships" r:embed="rId2119">
          <a:extLst>
            <a:ext uri="{28A0092B-C50C-407E-A947-70E740481C1C}">
              <a14:useLocalDpi xmlns:a14="http://schemas.microsoft.com/office/drawing/2010/main" val="0"/>
            </a:ext>
          </a:extLst>
        </a:blip>
        <a:srcRect/>
        <a:stretch>
          <a:fillRect/>
        </a:stretch>
      </xdr:blipFill>
      <xdr:spPr bwMode="auto">
        <a:xfrm>
          <a:off x="1228725" y="4017330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2122</xdr:row>
      <xdr:rowOff>9525</xdr:rowOff>
    </xdr:from>
    <xdr:to>
      <xdr:col>2</xdr:col>
      <xdr:colOff>1733550</xdr:colOff>
      <xdr:row>2122</xdr:row>
      <xdr:rowOff>1524000</xdr:rowOff>
    </xdr:to>
    <xdr:pic>
      <xdr:nvPicPr>
        <xdr:cNvPr id="2122" name="Picture 2121"/>
        <xdr:cNvPicPr>
          <a:picLocks noChangeAspect="1" noChangeArrowheads="1"/>
        </xdr:cNvPicPr>
      </xdr:nvPicPr>
      <xdr:blipFill>
        <a:blip xmlns:r="http://schemas.openxmlformats.org/officeDocument/2006/relationships" r:embed="rId2120">
          <a:extLst>
            <a:ext uri="{28A0092B-C50C-407E-A947-70E740481C1C}">
              <a14:useLocalDpi xmlns:a14="http://schemas.microsoft.com/office/drawing/2010/main" val="0"/>
            </a:ext>
          </a:extLst>
        </a:blip>
        <a:srcRect/>
        <a:stretch>
          <a:fillRect/>
        </a:stretch>
      </xdr:blipFill>
      <xdr:spPr bwMode="auto">
        <a:xfrm>
          <a:off x="1228725" y="4019083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2123</xdr:row>
      <xdr:rowOff>9525</xdr:rowOff>
    </xdr:from>
    <xdr:to>
      <xdr:col>2</xdr:col>
      <xdr:colOff>1733550</xdr:colOff>
      <xdr:row>2123</xdr:row>
      <xdr:rowOff>1524000</xdr:rowOff>
    </xdr:to>
    <xdr:pic>
      <xdr:nvPicPr>
        <xdr:cNvPr id="2123" name="Picture 2122"/>
        <xdr:cNvPicPr>
          <a:picLocks noChangeAspect="1" noChangeArrowheads="1"/>
        </xdr:cNvPicPr>
      </xdr:nvPicPr>
      <xdr:blipFill>
        <a:blip xmlns:r="http://schemas.openxmlformats.org/officeDocument/2006/relationships" r:embed="rId2121">
          <a:extLst>
            <a:ext uri="{28A0092B-C50C-407E-A947-70E740481C1C}">
              <a14:useLocalDpi xmlns:a14="http://schemas.microsoft.com/office/drawing/2010/main" val="0"/>
            </a:ext>
          </a:extLst>
        </a:blip>
        <a:srcRect/>
        <a:stretch>
          <a:fillRect/>
        </a:stretch>
      </xdr:blipFill>
      <xdr:spPr bwMode="auto">
        <a:xfrm>
          <a:off x="1228725" y="4020835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2124</xdr:row>
      <xdr:rowOff>9525</xdr:rowOff>
    </xdr:from>
    <xdr:to>
      <xdr:col>2</xdr:col>
      <xdr:colOff>1733550</xdr:colOff>
      <xdr:row>2124</xdr:row>
      <xdr:rowOff>1524000</xdr:rowOff>
    </xdr:to>
    <xdr:pic>
      <xdr:nvPicPr>
        <xdr:cNvPr id="2124" name="Picture 2123"/>
        <xdr:cNvPicPr>
          <a:picLocks noChangeAspect="1" noChangeArrowheads="1"/>
        </xdr:cNvPicPr>
      </xdr:nvPicPr>
      <xdr:blipFill>
        <a:blip xmlns:r="http://schemas.openxmlformats.org/officeDocument/2006/relationships" r:embed="rId2122">
          <a:extLst>
            <a:ext uri="{28A0092B-C50C-407E-A947-70E740481C1C}">
              <a14:useLocalDpi xmlns:a14="http://schemas.microsoft.com/office/drawing/2010/main" val="0"/>
            </a:ext>
          </a:extLst>
        </a:blip>
        <a:srcRect/>
        <a:stretch>
          <a:fillRect/>
        </a:stretch>
      </xdr:blipFill>
      <xdr:spPr bwMode="auto">
        <a:xfrm>
          <a:off x="1228725" y="40225884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2125</xdr:row>
      <xdr:rowOff>9525</xdr:rowOff>
    </xdr:from>
    <xdr:to>
      <xdr:col>2</xdr:col>
      <xdr:colOff>1733550</xdr:colOff>
      <xdr:row>2125</xdr:row>
      <xdr:rowOff>1524000</xdr:rowOff>
    </xdr:to>
    <xdr:pic>
      <xdr:nvPicPr>
        <xdr:cNvPr id="2125" name="Picture 2124"/>
        <xdr:cNvPicPr>
          <a:picLocks noChangeAspect="1" noChangeArrowheads="1"/>
        </xdr:cNvPicPr>
      </xdr:nvPicPr>
      <xdr:blipFill>
        <a:blip xmlns:r="http://schemas.openxmlformats.org/officeDocument/2006/relationships" r:embed="rId2123">
          <a:extLst>
            <a:ext uri="{28A0092B-C50C-407E-A947-70E740481C1C}">
              <a14:useLocalDpi xmlns:a14="http://schemas.microsoft.com/office/drawing/2010/main" val="0"/>
            </a:ext>
          </a:extLst>
        </a:blip>
        <a:srcRect/>
        <a:stretch>
          <a:fillRect/>
        </a:stretch>
      </xdr:blipFill>
      <xdr:spPr bwMode="auto">
        <a:xfrm>
          <a:off x="1228725" y="40243410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2126</xdr:row>
      <xdr:rowOff>19050</xdr:rowOff>
    </xdr:from>
    <xdr:to>
      <xdr:col>2</xdr:col>
      <xdr:colOff>1733550</xdr:colOff>
      <xdr:row>2126</xdr:row>
      <xdr:rowOff>1666875</xdr:rowOff>
    </xdr:to>
    <xdr:pic>
      <xdr:nvPicPr>
        <xdr:cNvPr id="2126" name="Picture 2125"/>
        <xdr:cNvPicPr>
          <a:picLocks noChangeAspect="1" noChangeArrowheads="1"/>
        </xdr:cNvPicPr>
      </xdr:nvPicPr>
      <xdr:blipFill>
        <a:blip xmlns:r="http://schemas.openxmlformats.org/officeDocument/2006/relationships" r:embed="rId2124">
          <a:extLst>
            <a:ext uri="{28A0092B-C50C-407E-A947-70E740481C1C}">
              <a14:useLocalDpi xmlns:a14="http://schemas.microsoft.com/office/drawing/2010/main" val="0"/>
            </a:ext>
          </a:extLst>
        </a:blip>
        <a:srcRect/>
        <a:stretch>
          <a:fillRect/>
        </a:stretch>
      </xdr:blipFill>
      <xdr:spPr bwMode="auto">
        <a:xfrm>
          <a:off x="1228725" y="40261032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2127</xdr:row>
      <xdr:rowOff>19050</xdr:rowOff>
    </xdr:from>
    <xdr:to>
      <xdr:col>2</xdr:col>
      <xdr:colOff>1733550</xdr:colOff>
      <xdr:row>2127</xdr:row>
      <xdr:rowOff>1666875</xdr:rowOff>
    </xdr:to>
    <xdr:pic>
      <xdr:nvPicPr>
        <xdr:cNvPr id="2127" name="Picture 2126"/>
        <xdr:cNvPicPr>
          <a:picLocks noChangeAspect="1" noChangeArrowheads="1"/>
        </xdr:cNvPicPr>
      </xdr:nvPicPr>
      <xdr:blipFill>
        <a:blip xmlns:r="http://schemas.openxmlformats.org/officeDocument/2006/relationships" r:embed="rId2125">
          <a:extLst>
            <a:ext uri="{28A0092B-C50C-407E-A947-70E740481C1C}">
              <a14:useLocalDpi xmlns:a14="http://schemas.microsoft.com/office/drawing/2010/main" val="0"/>
            </a:ext>
          </a:extLst>
        </a:blip>
        <a:srcRect/>
        <a:stretch>
          <a:fillRect/>
        </a:stretch>
      </xdr:blipFill>
      <xdr:spPr bwMode="auto">
        <a:xfrm>
          <a:off x="1228725" y="4028017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2128</xdr:row>
      <xdr:rowOff>19050</xdr:rowOff>
    </xdr:from>
    <xdr:to>
      <xdr:col>2</xdr:col>
      <xdr:colOff>1733550</xdr:colOff>
      <xdr:row>2128</xdr:row>
      <xdr:rowOff>1666875</xdr:rowOff>
    </xdr:to>
    <xdr:pic>
      <xdr:nvPicPr>
        <xdr:cNvPr id="2128" name="Picture 2127"/>
        <xdr:cNvPicPr>
          <a:picLocks noChangeAspect="1" noChangeArrowheads="1"/>
        </xdr:cNvPicPr>
      </xdr:nvPicPr>
      <xdr:blipFill>
        <a:blip xmlns:r="http://schemas.openxmlformats.org/officeDocument/2006/relationships" r:embed="rId2126">
          <a:extLst>
            <a:ext uri="{28A0092B-C50C-407E-A947-70E740481C1C}">
              <a14:useLocalDpi xmlns:a14="http://schemas.microsoft.com/office/drawing/2010/main" val="0"/>
            </a:ext>
          </a:extLst>
        </a:blip>
        <a:srcRect/>
        <a:stretch>
          <a:fillRect/>
        </a:stretch>
      </xdr:blipFill>
      <xdr:spPr bwMode="auto">
        <a:xfrm>
          <a:off x="1228725" y="4029932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2129</xdr:row>
      <xdr:rowOff>19050</xdr:rowOff>
    </xdr:from>
    <xdr:to>
      <xdr:col>2</xdr:col>
      <xdr:colOff>1733550</xdr:colOff>
      <xdr:row>2129</xdr:row>
      <xdr:rowOff>1666875</xdr:rowOff>
    </xdr:to>
    <xdr:pic>
      <xdr:nvPicPr>
        <xdr:cNvPr id="2129" name="Picture 2128"/>
        <xdr:cNvPicPr>
          <a:picLocks noChangeAspect="1" noChangeArrowheads="1"/>
        </xdr:cNvPicPr>
      </xdr:nvPicPr>
      <xdr:blipFill>
        <a:blip xmlns:r="http://schemas.openxmlformats.org/officeDocument/2006/relationships" r:embed="rId2127">
          <a:extLst>
            <a:ext uri="{28A0092B-C50C-407E-A947-70E740481C1C}">
              <a14:useLocalDpi xmlns:a14="http://schemas.microsoft.com/office/drawing/2010/main" val="0"/>
            </a:ext>
          </a:extLst>
        </a:blip>
        <a:srcRect/>
        <a:stretch>
          <a:fillRect/>
        </a:stretch>
      </xdr:blipFill>
      <xdr:spPr bwMode="auto">
        <a:xfrm>
          <a:off x="1228725" y="4031846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2130</xdr:row>
      <xdr:rowOff>19050</xdr:rowOff>
    </xdr:from>
    <xdr:to>
      <xdr:col>2</xdr:col>
      <xdr:colOff>1733550</xdr:colOff>
      <xdr:row>2130</xdr:row>
      <xdr:rowOff>1666875</xdr:rowOff>
    </xdr:to>
    <xdr:pic>
      <xdr:nvPicPr>
        <xdr:cNvPr id="2130" name="Picture 2129"/>
        <xdr:cNvPicPr>
          <a:picLocks noChangeAspect="1" noChangeArrowheads="1"/>
        </xdr:cNvPicPr>
      </xdr:nvPicPr>
      <xdr:blipFill>
        <a:blip xmlns:r="http://schemas.openxmlformats.org/officeDocument/2006/relationships" r:embed="rId2128">
          <a:extLst>
            <a:ext uri="{28A0092B-C50C-407E-A947-70E740481C1C}">
              <a14:useLocalDpi xmlns:a14="http://schemas.microsoft.com/office/drawing/2010/main" val="0"/>
            </a:ext>
          </a:extLst>
        </a:blip>
        <a:srcRect/>
        <a:stretch>
          <a:fillRect/>
        </a:stretch>
      </xdr:blipFill>
      <xdr:spPr bwMode="auto">
        <a:xfrm>
          <a:off x="1228725" y="4033761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2131</xdr:row>
      <xdr:rowOff>19050</xdr:rowOff>
    </xdr:from>
    <xdr:to>
      <xdr:col>2</xdr:col>
      <xdr:colOff>1733550</xdr:colOff>
      <xdr:row>2131</xdr:row>
      <xdr:rowOff>1666875</xdr:rowOff>
    </xdr:to>
    <xdr:pic>
      <xdr:nvPicPr>
        <xdr:cNvPr id="2131" name="Picture 2130"/>
        <xdr:cNvPicPr>
          <a:picLocks noChangeAspect="1" noChangeArrowheads="1"/>
        </xdr:cNvPicPr>
      </xdr:nvPicPr>
      <xdr:blipFill>
        <a:blip xmlns:r="http://schemas.openxmlformats.org/officeDocument/2006/relationships" r:embed="rId2129">
          <a:extLst>
            <a:ext uri="{28A0092B-C50C-407E-A947-70E740481C1C}">
              <a14:useLocalDpi xmlns:a14="http://schemas.microsoft.com/office/drawing/2010/main" val="0"/>
            </a:ext>
          </a:extLst>
        </a:blip>
        <a:srcRect/>
        <a:stretch>
          <a:fillRect/>
        </a:stretch>
      </xdr:blipFill>
      <xdr:spPr bwMode="auto">
        <a:xfrm>
          <a:off x="1228725" y="4035675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2132</xdr:row>
      <xdr:rowOff>9525</xdr:rowOff>
    </xdr:from>
    <xdr:to>
      <xdr:col>2</xdr:col>
      <xdr:colOff>1733550</xdr:colOff>
      <xdr:row>2132</xdr:row>
      <xdr:rowOff>1524000</xdr:rowOff>
    </xdr:to>
    <xdr:pic>
      <xdr:nvPicPr>
        <xdr:cNvPr id="2132" name="Picture 2131"/>
        <xdr:cNvPicPr>
          <a:picLocks noChangeAspect="1" noChangeArrowheads="1"/>
        </xdr:cNvPicPr>
      </xdr:nvPicPr>
      <xdr:blipFill>
        <a:blip xmlns:r="http://schemas.openxmlformats.org/officeDocument/2006/relationships" r:embed="rId2130">
          <a:extLst>
            <a:ext uri="{28A0092B-C50C-407E-A947-70E740481C1C}">
              <a14:useLocalDpi xmlns:a14="http://schemas.microsoft.com/office/drawing/2010/main" val="0"/>
            </a:ext>
          </a:extLst>
        </a:blip>
        <a:srcRect/>
        <a:stretch>
          <a:fillRect/>
        </a:stretch>
      </xdr:blipFill>
      <xdr:spPr bwMode="auto">
        <a:xfrm>
          <a:off x="1228725" y="4037580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2133</xdr:row>
      <xdr:rowOff>9525</xdr:rowOff>
    </xdr:from>
    <xdr:to>
      <xdr:col>2</xdr:col>
      <xdr:colOff>1733550</xdr:colOff>
      <xdr:row>2133</xdr:row>
      <xdr:rowOff>1524000</xdr:rowOff>
    </xdr:to>
    <xdr:pic>
      <xdr:nvPicPr>
        <xdr:cNvPr id="2133" name="Picture 2132"/>
        <xdr:cNvPicPr>
          <a:picLocks noChangeAspect="1" noChangeArrowheads="1"/>
        </xdr:cNvPicPr>
      </xdr:nvPicPr>
      <xdr:blipFill>
        <a:blip xmlns:r="http://schemas.openxmlformats.org/officeDocument/2006/relationships" r:embed="rId2131">
          <a:extLst>
            <a:ext uri="{28A0092B-C50C-407E-A947-70E740481C1C}">
              <a14:useLocalDpi xmlns:a14="http://schemas.microsoft.com/office/drawing/2010/main" val="0"/>
            </a:ext>
          </a:extLst>
        </a:blip>
        <a:srcRect/>
        <a:stretch>
          <a:fillRect/>
        </a:stretch>
      </xdr:blipFill>
      <xdr:spPr bwMode="auto">
        <a:xfrm>
          <a:off x="1228725" y="4039333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2134</xdr:row>
      <xdr:rowOff>9525</xdr:rowOff>
    </xdr:from>
    <xdr:to>
      <xdr:col>2</xdr:col>
      <xdr:colOff>1733550</xdr:colOff>
      <xdr:row>2134</xdr:row>
      <xdr:rowOff>1524000</xdr:rowOff>
    </xdr:to>
    <xdr:pic>
      <xdr:nvPicPr>
        <xdr:cNvPr id="2134" name="Picture 2133"/>
        <xdr:cNvPicPr>
          <a:picLocks noChangeAspect="1" noChangeArrowheads="1"/>
        </xdr:cNvPicPr>
      </xdr:nvPicPr>
      <xdr:blipFill>
        <a:blip xmlns:r="http://schemas.openxmlformats.org/officeDocument/2006/relationships" r:embed="rId2132">
          <a:extLst>
            <a:ext uri="{28A0092B-C50C-407E-A947-70E740481C1C}">
              <a14:useLocalDpi xmlns:a14="http://schemas.microsoft.com/office/drawing/2010/main" val="0"/>
            </a:ext>
          </a:extLst>
        </a:blip>
        <a:srcRect/>
        <a:stretch>
          <a:fillRect/>
        </a:stretch>
      </xdr:blipFill>
      <xdr:spPr bwMode="auto">
        <a:xfrm>
          <a:off x="1228725" y="4041086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2135</xdr:row>
      <xdr:rowOff>9525</xdr:rowOff>
    </xdr:from>
    <xdr:to>
      <xdr:col>2</xdr:col>
      <xdr:colOff>1733550</xdr:colOff>
      <xdr:row>2135</xdr:row>
      <xdr:rowOff>1524000</xdr:rowOff>
    </xdr:to>
    <xdr:pic>
      <xdr:nvPicPr>
        <xdr:cNvPr id="2135" name="Picture 2134"/>
        <xdr:cNvPicPr>
          <a:picLocks noChangeAspect="1" noChangeArrowheads="1"/>
        </xdr:cNvPicPr>
      </xdr:nvPicPr>
      <xdr:blipFill>
        <a:blip xmlns:r="http://schemas.openxmlformats.org/officeDocument/2006/relationships" r:embed="rId2133">
          <a:extLst>
            <a:ext uri="{28A0092B-C50C-407E-A947-70E740481C1C}">
              <a14:useLocalDpi xmlns:a14="http://schemas.microsoft.com/office/drawing/2010/main" val="0"/>
            </a:ext>
          </a:extLst>
        </a:blip>
        <a:srcRect/>
        <a:stretch>
          <a:fillRect/>
        </a:stretch>
      </xdr:blipFill>
      <xdr:spPr bwMode="auto">
        <a:xfrm>
          <a:off x="1228725" y="4042838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2136</xdr:row>
      <xdr:rowOff>9525</xdr:rowOff>
    </xdr:from>
    <xdr:to>
      <xdr:col>2</xdr:col>
      <xdr:colOff>1733550</xdr:colOff>
      <xdr:row>2136</xdr:row>
      <xdr:rowOff>1524000</xdr:rowOff>
    </xdr:to>
    <xdr:pic>
      <xdr:nvPicPr>
        <xdr:cNvPr id="2136" name="Picture 2135"/>
        <xdr:cNvPicPr>
          <a:picLocks noChangeAspect="1" noChangeArrowheads="1"/>
        </xdr:cNvPicPr>
      </xdr:nvPicPr>
      <xdr:blipFill>
        <a:blip xmlns:r="http://schemas.openxmlformats.org/officeDocument/2006/relationships" r:embed="rId2134">
          <a:extLst>
            <a:ext uri="{28A0092B-C50C-407E-A947-70E740481C1C}">
              <a14:useLocalDpi xmlns:a14="http://schemas.microsoft.com/office/drawing/2010/main" val="0"/>
            </a:ext>
          </a:extLst>
        </a:blip>
        <a:srcRect/>
        <a:stretch>
          <a:fillRect/>
        </a:stretch>
      </xdr:blipFill>
      <xdr:spPr bwMode="auto">
        <a:xfrm>
          <a:off x="1228725" y="4044591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2137</xdr:row>
      <xdr:rowOff>9525</xdr:rowOff>
    </xdr:from>
    <xdr:to>
      <xdr:col>2</xdr:col>
      <xdr:colOff>1733550</xdr:colOff>
      <xdr:row>2137</xdr:row>
      <xdr:rowOff>1524000</xdr:rowOff>
    </xdr:to>
    <xdr:pic>
      <xdr:nvPicPr>
        <xdr:cNvPr id="2137" name="Picture 2136"/>
        <xdr:cNvPicPr>
          <a:picLocks noChangeAspect="1" noChangeArrowheads="1"/>
        </xdr:cNvPicPr>
      </xdr:nvPicPr>
      <xdr:blipFill>
        <a:blip xmlns:r="http://schemas.openxmlformats.org/officeDocument/2006/relationships" r:embed="rId2135">
          <a:extLst>
            <a:ext uri="{28A0092B-C50C-407E-A947-70E740481C1C}">
              <a14:useLocalDpi xmlns:a14="http://schemas.microsoft.com/office/drawing/2010/main" val="0"/>
            </a:ext>
          </a:extLst>
        </a:blip>
        <a:srcRect/>
        <a:stretch>
          <a:fillRect/>
        </a:stretch>
      </xdr:blipFill>
      <xdr:spPr bwMode="auto">
        <a:xfrm>
          <a:off x="1228725" y="4046343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2138</xdr:row>
      <xdr:rowOff>9525</xdr:rowOff>
    </xdr:from>
    <xdr:to>
      <xdr:col>2</xdr:col>
      <xdr:colOff>1733550</xdr:colOff>
      <xdr:row>2138</xdr:row>
      <xdr:rowOff>1524000</xdr:rowOff>
    </xdr:to>
    <xdr:pic>
      <xdr:nvPicPr>
        <xdr:cNvPr id="2138" name="Picture 2137"/>
        <xdr:cNvPicPr>
          <a:picLocks noChangeAspect="1" noChangeArrowheads="1"/>
        </xdr:cNvPicPr>
      </xdr:nvPicPr>
      <xdr:blipFill>
        <a:blip xmlns:r="http://schemas.openxmlformats.org/officeDocument/2006/relationships" r:embed="rId2136">
          <a:extLst>
            <a:ext uri="{28A0092B-C50C-407E-A947-70E740481C1C}">
              <a14:useLocalDpi xmlns:a14="http://schemas.microsoft.com/office/drawing/2010/main" val="0"/>
            </a:ext>
          </a:extLst>
        </a:blip>
        <a:srcRect/>
        <a:stretch>
          <a:fillRect/>
        </a:stretch>
      </xdr:blipFill>
      <xdr:spPr bwMode="auto">
        <a:xfrm>
          <a:off x="1228725" y="4048096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2139</xdr:row>
      <xdr:rowOff>9525</xdr:rowOff>
    </xdr:from>
    <xdr:to>
      <xdr:col>2</xdr:col>
      <xdr:colOff>1733550</xdr:colOff>
      <xdr:row>2139</xdr:row>
      <xdr:rowOff>1524000</xdr:rowOff>
    </xdr:to>
    <xdr:pic>
      <xdr:nvPicPr>
        <xdr:cNvPr id="2139" name="Picture 2138"/>
        <xdr:cNvPicPr>
          <a:picLocks noChangeAspect="1" noChangeArrowheads="1"/>
        </xdr:cNvPicPr>
      </xdr:nvPicPr>
      <xdr:blipFill>
        <a:blip xmlns:r="http://schemas.openxmlformats.org/officeDocument/2006/relationships" r:embed="rId2137">
          <a:extLst>
            <a:ext uri="{28A0092B-C50C-407E-A947-70E740481C1C}">
              <a14:useLocalDpi xmlns:a14="http://schemas.microsoft.com/office/drawing/2010/main" val="0"/>
            </a:ext>
          </a:extLst>
        </a:blip>
        <a:srcRect/>
        <a:stretch>
          <a:fillRect/>
        </a:stretch>
      </xdr:blipFill>
      <xdr:spPr bwMode="auto">
        <a:xfrm>
          <a:off x="1228725" y="4049849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2140</xdr:row>
      <xdr:rowOff>19050</xdr:rowOff>
    </xdr:from>
    <xdr:to>
      <xdr:col>2</xdr:col>
      <xdr:colOff>1733550</xdr:colOff>
      <xdr:row>2140</xdr:row>
      <xdr:rowOff>1666875</xdr:rowOff>
    </xdr:to>
    <xdr:pic>
      <xdr:nvPicPr>
        <xdr:cNvPr id="2140" name="Picture 2139"/>
        <xdr:cNvPicPr>
          <a:picLocks noChangeAspect="1" noChangeArrowheads="1"/>
        </xdr:cNvPicPr>
      </xdr:nvPicPr>
      <xdr:blipFill>
        <a:blip xmlns:r="http://schemas.openxmlformats.org/officeDocument/2006/relationships" r:embed="rId2138">
          <a:extLst>
            <a:ext uri="{28A0092B-C50C-407E-A947-70E740481C1C}">
              <a14:useLocalDpi xmlns:a14="http://schemas.microsoft.com/office/drawing/2010/main" val="0"/>
            </a:ext>
          </a:extLst>
        </a:blip>
        <a:srcRect/>
        <a:stretch>
          <a:fillRect/>
        </a:stretch>
      </xdr:blipFill>
      <xdr:spPr bwMode="auto">
        <a:xfrm>
          <a:off x="1228725" y="4051611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2141</xdr:row>
      <xdr:rowOff>9525</xdr:rowOff>
    </xdr:from>
    <xdr:to>
      <xdr:col>2</xdr:col>
      <xdr:colOff>1733550</xdr:colOff>
      <xdr:row>2141</xdr:row>
      <xdr:rowOff>1524000</xdr:rowOff>
    </xdr:to>
    <xdr:pic>
      <xdr:nvPicPr>
        <xdr:cNvPr id="2141" name="Picture 2140"/>
        <xdr:cNvPicPr>
          <a:picLocks noChangeAspect="1" noChangeArrowheads="1"/>
        </xdr:cNvPicPr>
      </xdr:nvPicPr>
      <xdr:blipFill>
        <a:blip xmlns:r="http://schemas.openxmlformats.org/officeDocument/2006/relationships" r:embed="rId2139">
          <a:extLst>
            <a:ext uri="{28A0092B-C50C-407E-A947-70E740481C1C}">
              <a14:useLocalDpi xmlns:a14="http://schemas.microsoft.com/office/drawing/2010/main" val="0"/>
            </a:ext>
          </a:extLst>
        </a:blip>
        <a:srcRect/>
        <a:stretch>
          <a:fillRect/>
        </a:stretch>
      </xdr:blipFill>
      <xdr:spPr bwMode="auto">
        <a:xfrm>
          <a:off x="1228725" y="4053516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2142</xdr:row>
      <xdr:rowOff>9525</xdr:rowOff>
    </xdr:from>
    <xdr:to>
      <xdr:col>2</xdr:col>
      <xdr:colOff>1733550</xdr:colOff>
      <xdr:row>2142</xdr:row>
      <xdr:rowOff>1524000</xdr:rowOff>
    </xdr:to>
    <xdr:pic>
      <xdr:nvPicPr>
        <xdr:cNvPr id="2142" name="Picture 2141"/>
        <xdr:cNvPicPr>
          <a:picLocks noChangeAspect="1" noChangeArrowheads="1"/>
        </xdr:cNvPicPr>
      </xdr:nvPicPr>
      <xdr:blipFill>
        <a:blip xmlns:r="http://schemas.openxmlformats.org/officeDocument/2006/relationships" r:embed="rId2140">
          <a:extLst>
            <a:ext uri="{28A0092B-C50C-407E-A947-70E740481C1C}">
              <a14:useLocalDpi xmlns:a14="http://schemas.microsoft.com/office/drawing/2010/main" val="0"/>
            </a:ext>
          </a:extLst>
        </a:blip>
        <a:srcRect/>
        <a:stretch>
          <a:fillRect/>
        </a:stretch>
      </xdr:blipFill>
      <xdr:spPr bwMode="auto">
        <a:xfrm>
          <a:off x="1228725" y="4055268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2143</xdr:row>
      <xdr:rowOff>9525</xdr:rowOff>
    </xdr:from>
    <xdr:to>
      <xdr:col>2</xdr:col>
      <xdr:colOff>1733550</xdr:colOff>
      <xdr:row>2143</xdr:row>
      <xdr:rowOff>1524000</xdr:rowOff>
    </xdr:to>
    <xdr:pic>
      <xdr:nvPicPr>
        <xdr:cNvPr id="2143" name="Picture 2142"/>
        <xdr:cNvPicPr>
          <a:picLocks noChangeAspect="1" noChangeArrowheads="1"/>
        </xdr:cNvPicPr>
      </xdr:nvPicPr>
      <xdr:blipFill>
        <a:blip xmlns:r="http://schemas.openxmlformats.org/officeDocument/2006/relationships" r:embed="rId2141">
          <a:extLst>
            <a:ext uri="{28A0092B-C50C-407E-A947-70E740481C1C}">
              <a14:useLocalDpi xmlns:a14="http://schemas.microsoft.com/office/drawing/2010/main" val="0"/>
            </a:ext>
          </a:extLst>
        </a:blip>
        <a:srcRect/>
        <a:stretch>
          <a:fillRect/>
        </a:stretch>
      </xdr:blipFill>
      <xdr:spPr bwMode="auto">
        <a:xfrm>
          <a:off x="1228725" y="4057021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2144</xdr:row>
      <xdr:rowOff>9525</xdr:rowOff>
    </xdr:from>
    <xdr:to>
      <xdr:col>2</xdr:col>
      <xdr:colOff>1733550</xdr:colOff>
      <xdr:row>2144</xdr:row>
      <xdr:rowOff>1524000</xdr:rowOff>
    </xdr:to>
    <xdr:pic>
      <xdr:nvPicPr>
        <xdr:cNvPr id="2144" name="Picture 2143"/>
        <xdr:cNvPicPr>
          <a:picLocks noChangeAspect="1" noChangeArrowheads="1"/>
        </xdr:cNvPicPr>
      </xdr:nvPicPr>
      <xdr:blipFill>
        <a:blip xmlns:r="http://schemas.openxmlformats.org/officeDocument/2006/relationships" r:embed="rId2142">
          <a:extLst>
            <a:ext uri="{28A0092B-C50C-407E-A947-70E740481C1C}">
              <a14:useLocalDpi xmlns:a14="http://schemas.microsoft.com/office/drawing/2010/main" val="0"/>
            </a:ext>
          </a:extLst>
        </a:blip>
        <a:srcRect/>
        <a:stretch>
          <a:fillRect/>
        </a:stretch>
      </xdr:blipFill>
      <xdr:spPr bwMode="auto">
        <a:xfrm>
          <a:off x="1228725" y="4058773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2145</xdr:row>
      <xdr:rowOff>9525</xdr:rowOff>
    </xdr:from>
    <xdr:to>
      <xdr:col>2</xdr:col>
      <xdr:colOff>1733550</xdr:colOff>
      <xdr:row>2145</xdr:row>
      <xdr:rowOff>1524000</xdr:rowOff>
    </xdr:to>
    <xdr:pic>
      <xdr:nvPicPr>
        <xdr:cNvPr id="2145" name="Picture 2144"/>
        <xdr:cNvPicPr>
          <a:picLocks noChangeAspect="1" noChangeArrowheads="1"/>
        </xdr:cNvPicPr>
      </xdr:nvPicPr>
      <xdr:blipFill>
        <a:blip xmlns:r="http://schemas.openxmlformats.org/officeDocument/2006/relationships" r:embed="rId2143">
          <a:extLst>
            <a:ext uri="{28A0092B-C50C-407E-A947-70E740481C1C}">
              <a14:useLocalDpi xmlns:a14="http://schemas.microsoft.com/office/drawing/2010/main" val="0"/>
            </a:ext>
          </a:extLst>
        </a:blip>
        <a:srcRect/>
        <a:stretch>
          <a:fillRect/>
        </a:stretch>
      </xdr:blipFill>
      <xdr:spPr bwMode="auto">
        <a:xfrm>
          <a:off x="1228725" y="4060526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2146</xdr:row>
      <xdr:rowOff>9525</xdr:rowOff>
    </xdr:from>
    <xdr:to>
      <xdr:col>2</xdr:col>
      <xdr:colOff>1733550</xdr:colOff>
      <xdr:row>2146</xdr:row>
      <xdr:rowOff>1524000</xdr:rowOff>
    </xdr:to>
    <xdr:pic>
      <xdr:nvPicPr>
        <xdr:cNvPr id="2146" name="Picture 2145"/>
        <xdr:cNvPicPr>
          <a:picLocks noChangeAspect="1" noChangeArrowheads="1"/>
        </xdr:cNvPicPr>
      </xdr:nvPicPr>
      <xdr:blipFill>
        <a:blip xmlns:r="http://schemas.openxmlformats.org/officeDocument/2006/relationships" r:embed="rId2144">
          <a:extLst>
            <a:ext uri="{28A0092B-C50C-407E-A947-70E740481C1C}">
              <a14:useLocalDpi xmlns:a14="http://schemas.microsoft.com/office/drawing/2010/main" val="0"/>
            </a:ext>
          </a:extLst>
        </a:blip>
        <a:srcRect/>
        <a:stretch>
          <a:fillRect/>
        </a:stretch>
      </xdr:blipFill>
      <xdr:spPr bwMode="auto">
        <a:xfrm>
          <a:off x="1228725" y="4062279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2147</xdr:row>
      <xdr:rowOff>9525</xdr:rowOff>
    </xdr:from>
    <xdr:to>
      <xdr:col>2</xdr:col>
      <xdr:colOff>1733550</xdr:colOff>
      <xdr:row>2147</xdr:row>
      <xdr:rowOff>1524000</xdr:rowOff>
    </xdr:to>
    <xdr:pic>
      <xdr:nvPicPr>
        <xdr:cNvPr id="2147" name="Picture 2146"/>
        <xdr:cNvPicPr>
          <a:picLocks noChangeAspect="1" noChangeArrowheads="1"/>
        </xdr:cNvPicPr>
      </xdr:nvPicPr>
      <xdr:blipFill>
        <a:blip xmlns:r="http://schemas.openxmlformats.org/officeDocument/2006/relationships" r:embed="rId2145">
          <a:extLst>
            <a:ext uri="{28A0092B-C50C-407E-A947-70E740481C1C}">
              <a14:useLocalDpi xmlns:a14="http://schemas.microsoft.com/office/drawing/2010/main" val="0"/>
            </a:ext>
          </a:extLst>
        </a:blip>
        <a:srcRect/>
        <a:stretch>
          <a:fillRect/>
        </a:stretch>
      </xdr:blipFill>
      <xdr:spPr bwMode="auto">
        <a:xfrm>
          <a:off x="1228725" y="4064031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2148</xdr:row>
      <xdr:rowOff>9525</xdr:rowOff>
    </xdr:from>
    <xdr:to>
      <xdr:col>2</xdr:col>
      <xdr:colOff>1733550</xdr:colOff>
      <xdr:row>2148</xdr:row>
      <xdr:rowOff>1524000</xdr:rowOff>
    </xdr:to>
    <xdr:pic>
      <xdr:nvPicPr>
        <xdr:cNvPr id="2148" name="Picture 2147"/>
        <xdr:cNvPicPr>
          <a:picLocks noChangeAspect="1" noChangeArrowheads="1"/>
        </xdr:cNvPicPr>
      </xdr:nvPicPr>
      <xdr:blipFill>
        <a:blip xmlns:r="http://schemas.openxmlformats.org/officeDocument/2006/relationships" r:embed="rId2146">
          <a:extLst>
            <a:ext uri="{28A0092B-C50C-407E-A947-70E740481C1C}">
              <a14:useLocalDpi xmlns:a14="http://schemas.microsoft.com/office/drawing/2010/main" val="0"/>
            </a:ext>
          </a:extLst>
        </a:blip>
        <a:srcRect/>
        <a:stretch>
          <a:fillRect/>
        </a:stretch>
      </xdr:blipFill>
      <xdr:spPr bwMode="auto">
        <a:xfrm>
          <a:off x="1228725" y="4065784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2149</xdr:row>
      <xdr:rowOff>9525</xdr:rowOff>
    </xdr:from>
    <xdr:to>
      <xdr:col>2</xdr:col>
      <xdr:colOff>1733550</xdr:colOff>
      <xdr:row>2149</xdr:row>
      <xdr:rowOff>1524000</xdr:rowOff>
    </xdr:to>
    <xdr:pic>
      <xdr:nvPicPr>
        <xdr:cNvPr id="2149" name="Picture 2148"/>
        <xdr:cNvPicPr>
          <a:picLocks noChangeAspect="1" noChangeArrowheads="1"/>
        </xdr:cNvPicPr>
      </xdr:nvPicPr>
      <xdr:blipFill>
        <a:blip xmlns:r="http://schemas.openxmlformats.org/officeDocument/2006/relationships" r:embed="rId2147">
          <a:extLst>
            <a:ext uri="{28A0092B-C50C-407E-A947-70E740481C1C}">
              <a14:useLocalDpi xmlns:a14="http://schemas.microsoft.com/office/drawing/2010/main" val="0"/>
            </a:ext>
          </a:extLst>
        </a:blip>
        <a:srcRect/>
        <a:stretch>
          <a:fillRect/>
        </a:stretch>
      </xdr:blipFill>
      <xdr:spPr bwMode="auto">
        <a:xfrm>
          <a:off x="1228725" y="4067536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2150</xdr:row>
      <xdr:rowOff>9525</xdr:rowOff>
    </xdr:from>
    <xdr:to>
      <xdr:col>2</xdr:col>
      <xdr:colOff>1733550</xdr:colOff>
      <xdr:row>2150</xdr:row>
      <xdr:rowOff>1524000</xdr:rowOff>
    </xdr:to>
    <xdr:pic>
      <xdr:nvPicPr>
        <xdr:cNvPr id="2150" name="Picture 2149"/>
        <xdr:cNvPicPr>
          <a:picLocks noChangeAspect="1" noChangeArrowheads="1"/>
        </xdr:cNvPicPr>
      </xdr:nvPicPr>
      <xdr:blipFill>
        <a:blip xmlns:r="http://schemas.openxmlformats.org/officeDocument/2006/relationships" r:embed="rId2148">
          <a:extLst>
            <a:ext uri="{28A0092B-C50C-407E-A947-70E740481C1C}">
              <a14:useLocalDpi xmlns:a14="http://schemas.microsoft.com/office/drawing/2010/main" val="0"/>
            </a:ext>
          </a:extLst>
        </a:blip>
        <a:srcRect/>
        <a:stretch>
          <a:fillRect/>
        </a:stretch>
      </xdr:blipFill>
      <xdr:spPr bwMode="auto">
        <a:xfrm>
          <a:off x="1228725" y="4069289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2151</xdr:row>
      <xdr:rowOff>9525</xdr:rowOff>
    </xdr:from>
    <xdr:to>
      <xdr:col>2</xdr:col>
      <xdr:colOff>1733550</xdr:colOff>
      <xdr:row>2151</xdr:row>
      <xdr:rowOff>1524000</xdr:rowOff>
    </xdr:to>
    <xdr:pic>
      <xdr:nvPicPr>
        <xdr:cNvPr id="2151" name="Picture 2150"/>
        <xdr:cNvPicPr>
          <a:picLocks noChangeAspect="1" noChangeArrowheads="1"/>
        </xdr:cNvPicPr>
      </xdr:nvPicPr>
      <xdr:blipFill>
        <a:blip xmlns:r="http://schemas.openxmlformats.org/officeDocument/2006/relationships" r:embed="rId2149">
          <a:extLst>
            <a:ext uri="{28A0092B-C50C-407E-A947-70E740481C1C}">
              <a14:useLocalDpi xmlns:a14="http://schemas.microsoft.com/office/drawing/2010/main" val="0"/>
            </a:ext>
          </a:extLst>
        </a:blip>
        <a:srcRect/>
        <a:stretch>
          <a:fillRect/>
        </a:stretch>
      </xdr:blipFill>
      <xdr:spPr bwMode="auto">
        <a:xfrm>
          <a:off x="1228725" y="4071042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2152</xdr:row>
      <xdr:rowOff>9525</xdr:rowOff>
    </xdr:from>
    <xdr:to>
      <xdr:col>2</xdr:col>
      <xdr:colOff>1733550</xdr:colOff>
      <xdr:row>2152</xdr:row>
      <xdr:rowOff>1524000</xdr:rowOff>
    </xdr:to>
    <xdr:pic>
      <xdr:nvPicPr>
        <xdr:cNvPr id="2152" name="Picture 2151"/>
        <xdr:cNvPicPr>
          <a:picLocks noChangeAspect="1" noChangeArrowheads="1"/>
        </xdr:cNvPicPr>
      </xdr:nvPicPr>
      <xdr:blipFill>
        <a:blip xmlns:r="http://schemas.openxmlformats.org/officeDocument/2006/relationships" r:embed="rId2150">
          <a:extLst>
            <a:ext uri="{28A0092B-C50C-407E-A947-70E740481C1C}">
              <a14:useLocalDpi xmlns:a14="http://schemas.microsoft.com/office/drawing/2010/main" val="0"/>
            </a:ext>
          </a:extLst>
        </a:blip>
        <a:srcRect/>
        <a:stretch>
          <a:fillRect/>
        </a:stretch>
      </xdr:blipFill>
      <xdr:spPr bwMode="auto">
        <a:xfrm>
          <a:off x="1228725" y="4072794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2153</xdr:row>
      <xdr:rowOff>9525</xdr:rowOff>
    </xdr:from>
    <xdr:to>
      <xdr:col>2</xdr:col>
      <xdr:colOff>1733550</xdr:colOff>
      <xdr:row>2153</xdr:row>
      <xdr:rowOff>1524000</xdr:rowOff>
    </xdr:to>
    <xdr:pic>
      <xdr:nvPicPr>
        <xdr:cNvPr id="2153" name="Picture 2152"/>
        <xdr:cNvPicPr>
          <a:picLocks noChangeAspect="1" noChangeArrowheads="1"/>
        </xdr:cNvPicPr>
      </xdr:nvPicPr>
      <xdr:blipFill>
        <a:blip xmlns:r="http://schemas.openxmlformats.org/officeDocument/2006/relationships" r:embed="rId2151">
          <a:extLst>
            <a:ext uri="{28A0092B-C50C-407E-A947-70E740481C1C}">
              <a14:useLocalDpi xmlns:a14="http://schemas.microsoft.com/office/drawing/2010/main" val="0"/>
            </a:ext>
          </a:extLst>
        </a:blip>
        <a:srcRect/>
        <a:stretch>
          <a:fillRect/>
        </a:stretch>
      </xdr:blipFill>
      <xdr:spPr bwMode="auto">
        <a:xfrm>
          <a:off x="1228725" y="4074547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2154</xdr:row>
      <xdr:rowOff>9525</xdr:rowOff>
    </xdr:from>
    <xdr:to>
      <xdr:col>2</xdr:col>
      <xdr:colOff>1733550</xdr:colOff>
      <xdr:row>2154</xdr:row>
      <xdr:rowOff>1524000</xdr:rowOff>
    </xdr:to>
    <xdr:pic>
      <xdr:nvPicPr>
        <xdr:cNvPr id="2154" name="Picture 2153"/>
        <xdr:cNvPicPr>
          <a:picLocks noChangeAspect="1" noChangeArrowheads="1"/>
        </xdr:cNvPicPr>
      </xdr:nvPicPr>
      <xdr:blipFill>
        <a:blip xmlns:r="http://schemas.openxmlformats.org/officeDocument/2006/relationships" r:embed="rId2152">
          <a:extLst>
            <a:ext uri="{28A0092B-C50C-407E-A947-70E740481C1C}">
              <a14:useLocalDpi xmlns:a14="http://schemas.microsoft.com/office/drawing/2010/main" val="0"/>
            </a:ext>
          </a:extLst>
        </a:blip>
        <a:srcRect/>
        <a:stretch>
          <a:fillRect/>
        </a:stretch>
      </xdr:blipFill>
      <xdr:spPr bwMode="auto">
        <a:xfrm>
          <a:off x="1228725" y="4076299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2155</xdr:row>
      <xdr:rowOff>9525</xdr:rowOff>
    </xdr:from>
    <xdr:to>
      <xdr:col>2</xdr:col>
      <xdr:colOff>1733550</xdr:colOff>
      <xdr:row>2155</xdr:row>
      <xdr:rowOff>1524000</xdr:rowOff>
    </xdr:to>
    <xdr:pic>
      <xdr:nvPicPr>
        <xdr:cNvPr id="2155" name="Picture 2154"/>
        <xdr:cNvPicPr>
          <a:picLocks noChangeAspect="1" noChangeArrowheads="1"/>
        </xdr:cNvPicPr>
      </xdr:nvPicPr>
      <xdr:blipFill>
        <a:blip xmlns:r="http://schemas.openxmlformats.org/officeDocument/2006/relationships" r:embed="rId2153">
          <a:extLst>
            <a:ext uri="{28A0092B-C50C-407E-A947-70E740481C1C}">
              <a14:useLocalDpi xmlns:a14="http://schemas.microsoft.com/office/drawing/2010/main" val="0"/>
            </a:ext>
          </a:extLst>
        </a:blip>
        <a:srcRect/>
        <a:stretch>
          <a:fillRect/>
        </a:stretch>
      </xdr:blipFill>
      <xdr:spPr bwMode="auto">
        <a:xfrm>
          <a:off x="1228725" y="4078052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2156</xdr:row>
      <xdr:rowOff>9525</xdr:rowOff>
    </xdr:from>
    <xdr:to>
      <xdr:col>2</xdr:col>
      <xdr:colOff>1733550</xdr:colOff>
      <xdr:row>2156</xdr:row>
      <xdr:rowOff>1524000</xdr:rowOff>
    </xdr:to>
    <xdr:pic>
      <xdr:nvPicPr>
        <xdr:cNvPr id="2156" name="Picture 2155"/>
        <xdr:cNvPicPr>
          <a:picLocks noChangeAspect="1" noChangeArrowheads="1"/>
        </xdr:cNvPicPr>
      </xdr:nvPicPr>
      <xdr:blipFill>
        <a:blip xmlns:r="http://schemas.openxmlformats.org/officeDocument/2006/relationships" r:embed="rId2154">
          <a:extLst>
            <a:ext uri="{28A0092B-C50C-407E-A947-70E740481C1C}">
              <a14:useLocalDpi xmlns:a14="http://schemas.microsoft.com/office/drawing/2010/main" val="0"/>
            </a:ext>
          </a:extLst>
        </a:blip>
        <a:srcRect/>
        <a:stretch>
          <a:fillRect/>
        </a:stretch>
      </xdr:blipFill>
      <xdr:spPr bwMode="auto">
        <a:xfrm>
          <a:off x="1228725" y="4079805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2157</xdr:row>
      <xdr:rowOff>9525</xdr:rowOff>
    </xdr:from>
    <xdr:to>
      <xdr:col>2</xdr:col>
      <xdr:colOff>1733550</xdr:colOff>
      <xdr:row>2157</xdr:row>
      <xdr:rowOff>1524000</xdr:rowOff>
    </xdr:to>
    <xdr:pic>
      <xdr:nvPicPr>
        <xdr:cNvPr id="2157" name="Picture 2156"/>
        <xdr:cNvPicPr>
          <a:picLocks noChangeAspect="1" noChangeArrowheads="1"/>
        </xdr:cNvPicPr>
      </xdr:nvPicPr>
      <xdr:blipFill>
        <a:blip xmlns:r="http://schemas.openxmlformats.org/officeDocument/2006/relationships" r:embed="rId2155">
          <a:extLst>
            <a:ext uri="{28A0092B-C50C-407E-A947-70E740481C1C}">
              <a14:useLocalDpi xmlns:a14="http://schemas.microsoft.com/office/drawing/2010/main" val="0"/>
            </a:ext>
          </a:extLst>
        </a:blip>
        <a:srcRect/>
        <a:stretch>
          <a:fillRect/>
        </a:stretch>
      </xdr:blipFill>
      <xdr:spPr bwMode="auto">
        <a:xfrm>
          <a:off x="1228725" y="4081557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2158</xdr:row>
      <xdr:rowOff>9525</xdr:rowOff>
    </xdr:from>
    <xdr:to>
      <xdr:col>2</xdr:col>
      <xdr:colOff>1733550</xdr:colOff>
      <xdr:row>2158</xdr:row>
      <xdr:rowOff>1524000</xdr:rowOff>
    </xdr:to>
    <xdr:pic>
      <xdr:nvPicPr>
        <xdr:cNvPr id="2158" name="Picture 2157"/>
        <xdr:cNvPicPr>
          <a:picLocks noChangeAspect="1" noChangeArrowheads="1"/>
        </xdr:cNvPicPr>
      </xdr:nvPicPr>
      <xdr:blipFill>
        <a:blip xmlns:r="http://schemas.openxmlformats.org/officeDocument/2006/relationships" r:embed="rId2156">
          <a:extLst>
            <a:ext uri="{28A0092B-C50C-407E-A947-70E740481C1C}">
              <a14:useLocalDpi xmlns:a14="http://schemas.microsoft.com/office/drawing/2010/main" val="0"/>
            </a:ext>
          </a:extLst>
        </a:blip>
        <a:srcRect/>
        <a:stretch>
          <a:fillRect/>
        </a:stretch>
      </xdr:blipFill>
      <xdr:spPr bwMode="auto">
        <a:xfrm>
          <a:off x="1228725" y="4083310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2159</xdr:row>
      <xdr:rowOff>9525</xdr:rowOff>
    </xdr:from>
    <xdr:to>
      <xdr:col>2</xdr:col>
      <xdr:colOff>1733550</xdr:colOff>
      <xdr:row>2159</xdr:row>
      <xdr:rowOff>1524000</xdr:rowOff>
    </xdr:to>
    <xdr:pic>
      <xdr:nvPicPr>
        <xdr:cNvPr id="2159" name="Picture 2158"/>
        <xdr:cNvPicPr>
          <a:picLocks noChangeAspect="1" noChangeArrowheads="1"/>
        </xdr:cNvPicPr>
      </xdr:nvPicPr>
      <xdr:blipFill>
        <a:blip xmlns:r="http://schemas.openxmlformats.org/officeDocument/2006/relationships" r:embed="rId2157">
          <a:extLst>
            <a:ext uri="{28A0092B-C50C-407E-A947-70E740481C1C}">
              <a14:useLocalDpi xmlns:a14="http://schemas.microsoft.com/office/drawing/2010/main" val="0"/>
            </a:ext>
          </a:extLst>
        </a:blip>
        <a:srcRect/>
        <a:stretch>
          <a:fillRect/>
        </a:stretch>
      </xdr:blipFill>
      <xdr:spPr bwMode="auto">
        <a:xfrm>
          <a:off x="1228725" y="4085062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2160</xdr:row>
      <xdr:rowOff>9525</xdr:rowOff>
    </xdr:from>
    <xdr:to>
      <xdr:col>2</xdr:col>
      <xdr:colOff>1733550</xdr:colOff>
      <xdr:row>2160</xdr:row>
      <xdr:rowOff>1524000</xdr:rowOff>
    </xdr:to>
    <xdr:pic>
      <xdr:nvPicPr>
        <xdr:cNvPr id="2160" name="Picture 2159"/>
        <xdr:cNvPicPr>
          <a:picLocks noChangeAspect="1" noChangeArrowheads="1"/>
        </xdr:cNvPicPr>
      </xdr:nvPicPr>
      <xdr:blipFill>
        <a:blip xmlns:r="http://schemas.openxmlformats.org/officeDocument/2006/relationships" r:embed="rId2158">
          <a:extLst>
            <a:ext uri="{28A0092B-C50C-407E-A947-70E740481C1C}">
              <a14:useLocalDpi xmlns:a14="http://schemas.microsoft.com/office/drawing/2010/main" val="0"/>
            </a:ext>
          </a:extLst>
        </a:blip>
        <a:srcRect/>
        <a:stretch>
          <a:fillRect/>
        </a:stretch>
      </xdr:blipFill>
      <xdr:spPr bwMode="auto">
        <a:xfrm>
          <a:off x="1228725" y="4086815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2161</xdr:row>
      <xdr:rowOff>9525</xdr:rowOff>
    </xdr:from>
    <xdr:to>
      <xdr:col>2</xdr:col>
      <xdr:colOff>1733550</xdr:colOff>
      <xdr:row>2161</xdr:row>
      <xdr:rowOff>1524000</xdr:rowOff>
    </xdr:to>
    <xdr:pic>
      <xdr:nvPicPr>
        <xdr:cNvPr id="2161" name="Picture 2160"/>
        <xdr:cNvPicPr>
          <a:picLocks noChangeAspect="1" noChangeArrowheads="1"/>
        </xdr:cNvPicPr>
      </xdr:nvPicPr>
      <xdr:blipFill>
        <a:blip xmlns:r="http://schemas.openxmlformats.org/officeDocument/2006/relationships" r:embed="rId2159">
          <a:extLst>
            <a:ext uri="{28A0092B-C50C-407E-A947-70E740481C1C}">
              <a14:useLocalDpi xmlns:a14="http://schemas.microsoft.com/office/drawing/2010/main" val="0"/>
            </a:ext>
          </a:extLst>
        </a:blip>
        <a:srcRect/>
        <a:stretch>
          <a:fillRect/>
        </a:stretch>
      </xdr:blipFill>
      <xdr:spPr bwMode="auto">
        <a:xfrm>
          <a:off x="1228725" y="4088568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2162</xdr:row>
      <xdr:rowOff>9525</xdr:rowOff>
    </xdr:from>
    <xdr:to>
      <xdr:col>2</xdr:col>
      <xdr:colOff>1733550</xdr:colOff>
      <xdr:row>2162</xdr:row>
      <xdr:rowOff>1524000</xdr:rowOff>
    </xdr:to>
    <xdr:pic>
      <xdr:nvPicPr>
        <xdr:cNvPr id="2162" name="Picture 2161"/>
        <xdr:cNvPicPr>
          <a:picLocks noChangeAspect="1" noChangeArrowheads="1"/>
        </xdr:cNvPicPr>
      </xdr:nvPicPr>
      <xdr:blipFill>
        <a:blip xmlns:r="http://schemas.openxmlformats.org/officeDocument/2006/relationships" r:embed="rId2160">
          <a:extLst>
            <a:ext uri="{28A0092B-C50C-407E-A947-70E740481C1C}">
              <a14:useLocalDpi xmlns:a14="http://schemas.microsoft.com/office/drawing/2010/main" val="0"/>
            </a:ext>
          </a:extLst>
        </a:blip>
        <a:srcRect/>
        <a:stretch>
          <a:fillRect/>
        </a:stretch>
      </xdr:blipFill>
      <xdr:spPr bwMode="auto">
        <a:xfrm>
          <a:off x="1228725" y="4090320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2163</xdr:row>
      <xdr:rowOff>19050</xdr:rowOff>
    </xdr:from>
    <xdr:to>
      <xdr:col>2</xdr:col>
      <xdr:colOff>1733550</xdr:colOff>
      <xdr:row>2163</xdr:row>
      <xdr:rowOff>1647825</xdr:rowOff>
    </xdr:to>
    <xdr:pic>
      <xdr:nvPicPr>
        <xdr:cNvPr id="2163" name="Picture 2162"/>
        <xdr:cNvPicPr>
          <a:picLocks noChangeAspect="1" noChangeArrowheads="1"/>
        </xdr:cNvPicPr>
      </xdr:nvPicPr>
      <xdr:blipFill>
        <a:blip xmlns:r="http://schemas.openxmlformats.org/officeDocument/2006/relationships" r:embed="rId2161">
          <a:extLst>
            <a:ext uri="{28A0092B-C50C-407E-A947-70E740481C1C}">
              <a14:useLocalDpi xmlns:a14="http://schemas.microsoft.com/office/drawing/2010/main" val="0"/>
            </a:ext>
          </a:extLst>
        </a:blip>
        <a:srcRect/>
        <a:stretch>
          <a:fillRect/>
        </a:stretch>
      </xdr:blipFill>
      <xdr:spPr bwMode="auto">
        <a:xfrm>
          <a:off x="1228725" y="40920828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2164</xdr:row>
      <xdr:rowOff>19050</xdr:rowOff>
    </xdr:from>
    <xdr:to>
      <xdr:col>2</xdr:col>
      <xdr:colOff>1733550</xdr:colOff>
      <xdr:row>2164</xdr:row>
      <xdr:rowOff>1666875</xdr:rowOff>
    </xdr:to>
    <xdr:pic>
      <xdr:nvPicPr>
        <xdr:cNvPr id="2164" name="Picture 2163"/>
        <xdr:cNvPicPr>
          <a:picLocks noChangeAspect="1" noChangeArrowheads="1"/>
        </xdr:cNvPicPr>
      </xdr:nvPicPr>
      <xdr:blipFill>
        <a:blip xmlns:r="http://schemas.openxmlformats.org/officeDocument/2006/relationships" r:embed="rId2162">
          <a:extLst>
            <a:ext uri="{28A0092B-C50C-407E-A947-70E740481C1C}">
              <a14:useLocalDpi xmlns:a14="http://schemas.microsoft.com/office/drawing/2010/main" val="0"/>
            </a:ext>
          </a:extLst>
        </a:blip>
        <a:srcRect/>
        <a:stretch>
          <a:fillRect/>
        </a:stretch>
      </xdr:blipFill>
      <xdr:spPr bwMode="auto">
        <a:xfrm>
          <a:off x="1228725" y="4093978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2165</xdr:row>
      <xdr:rowOff>9525</xdr:rowOff>
    </xdr:from>
    <xdr:to>
      <xdr:col>2</xdr:col>
      <xdr:colOff>1733550</xdr:colOff>
      <xdr:row>2165</xdr:row>
      <xdr:rowOff>1524000</xdr:rowOff>
    </xdr:to>
    <xdr:pic>
      <xdr:nvPicPr>
        <xdr:cNvPr id="2165" name="Picture 2164"/>
        <xdr:cNvPicPr>
          <a:picLocks noChangeAspect="1" noChangeArrowheads="1"/>
        </xdr:cNvPicPr>
      </xdr:nvPicPr>
      <xdr:blipFill>
        <a:blip xmlns:r="http://schemas.openxmlformats.org/officeDocument/2006/relationships" r:embed="rId2163">
          <a:extLst>
            <a:ext uri="{28A0092B-C50C-407E-A947-70E740481C1C}">
              <a14:useLocalDpi xmlns:a14="http://schemas.microsoft.com/office/drawing/2010/main" val="0"/>
            </a:ext>
          </a:extLst>
        </a:blip>
        <a:srcRect/>
        <a:stretch>
          <a:fillRect/>
        </a:stretch>
      </xdr:blipFill>
      <xdr:spPr bwMode="auto">
        <a:xfrm>
          <a:off x="1228725" y="4095883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2166</xdr:row>
      <xdr:rowOff>9525</xdr:rowOff>
    </xdr:from>
    <xdr:to>
      <xdr:col>2</xdr:col>
      <xdr:colOff>1733550</xdr:colOff>
      <xdr:row>2166</xdr:row>
      <xdr:rowOff>1524000</xdr:rowOff>
    </xdr:to>
    <xdr:pic>
      <xdr:nvPicPr>
        <xdr:cNvPr id="2166" name="Picture 2165"/>
        <xdr:cNvPicPr>
          <a:picLocks noChangeAspect="1" noChangeArrowheads="1"/>
        </xdr:cNvPicPr>
      </xdr:nvPicPr>
      <xdr:blipFill>
        <a:blip xmlns:r="http://schemas.openxmlformats.org/officeDocument/2006/relationships" r:embed="rId2160">
          <a:extLst>
            <a:ext uri="{28A0092B-C50C-407E-A947-70E740481C1C}">
              <a14:useLocalDpi xmlns:a14="http://schemas.microsoft.com/office/drawing/2010/main" val="0"/>
            </a:ext>
          </a:extLst>
        </a:blip>
        <a:srcRect/>
        <a:stretch>
          <a:fillRect/>
        </a:stretch>
      </xdr:blipFill>
      <xdr:spPr bwMode="auto">
        <a:xfrm>
          <a:off x="1228725" y="4097635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2167</xdr:row>
      <xdr:rowOff>9525</xdr:rowOff>
    </xdr:from>
    <xdr:to>
      <xdr:col>2</xdr:col>
      <xdr:colOff>1733550</xdr:colOff>
      <xdr:row>2167</xdr:row>
      <xdr:rowOff>1524000</xdr:rowOff>
    </xdr:to>
    <xdr:pic>
      <xdr:nvPicPr>
        <xdr:cNvPr id="2167" name="Picture 2166"/>
        <xdr:cNvPicPr>
          <a:picLocks noChangeAspect="1" noChangeArrowheads="1"/>
        </xdr:cNvPicPr>
      </xdr:nvPicPr>
      <xdr:blipFill>
        <a:blip xmlns:r="http://schemas.openxmlformats.org/officeDocument/2006/relationships" r:embed="rId2164">
          <a:extLst>
            <a:ext uri="{28A0092B-C50C-407E-A947-70E740481C1C}">
              <a14:useLocalDpi xmlns:a14="http://schemas.microsoft.com/office/drawing/2010/main" val="0"/>
            </a:ext>
          </a:extLst>
        </a:blip>
        <a:srcRect/>
        <a:stretch>
          <a:fillRect/>
        </a:stretch>
      </xdr:blipFill>
      <xdr:spPr bwMode="auto">
        <a:xfrm>
          <a:off x="1228725" y="4099388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2168</xdr:row>
      <xdr:rowOff>19050</xdr:rowOff>
    </xdr:from>
    <xdr:to>
      <xdr:col>2</xdr:col>
      <xdr:colOff>1733550</xdr:colOff>
      <xdr:row>2168</xdr:row>
      <xdr:rowOff>1666875</xdr:rowOff>
    </xdr:to>
    <xdr:pic>
      <xdr:nvPicPr>
        <xdr:cNvPr id="2168" name="Picture 2167"/>
        <xdr:cNvPicPr>
          <a:picLocks noChangeAspect="1" noChangeArrowheads="1"/>
        </xdr:cNvPicPr>
      </xdr:nvPicPr>
      <xdr:blipFill>
        <a:blip xmlns:r="http://schemas.openxmlformats.org/officeDocument/2006/relationships" r:embed="rId2165">
          <a:extLst>
            <a:ext uri="{28A0092B-C50C-407E-A947-70E740481C1C}">
              <a14:useLocalDpi xmlns:a14="http://schemas.microsoft.com/office/drawing/2010/main" val="0"/>
            </a:ext>
          </a:extLst>
        </a:blip>
        <a:srcRect/>
        <a:stretch>
          <a:fillRect/>
        </a:stretch>
      </xdr:blipFill>
      <xdr:spPr bwMode="auto">
        <a:xfrm>
          <a:off x="1228725" y="4101150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2169</xdr:row>
      <xdr:rowOff>9525</xdr:rowOff>
    </xdr:from>
    <xdr:to>
      <xdr:col>2</xdr:col>
      <xdr:colOff>1733550</xdr:colOff>
      <xdr:row>2169</xdr:row>
      <xdr:rowOff>1524000</xdr:rowOff>
    </xdr:to>
    <xdr:pic>
      <xdr:nvPicPr>
        <xdr:cNvPr id="2169" name="Picture 2168"/>
        <xdr:cNvPicPr>
          <a:picLocks noChangeAspect="1" noChangeArrowheads="1"/>
        </xdr:cNvPicPr>
      </xdr:nvPicPr>
      <xdr:blipFill>
        <a:blip xmlns:r="http://schemas.openxmlformats.org/officeDocument/2006/relationships" r:embed="rId2166">
          <a:extLst>
            <a:ext uri="{28A0092B-C50C-407E-A947-70E740481C1C}">
              <a14:useLocalDpi xmlns:a14="http://schemas.microsoft.com/office/drawing/2010/main" val="0"/>
            </a:ext>
          </a:extLst>
        </a:blip>
        <a:srcRect/>
        <a:stretch>
          <a:fillRect/>
        </a:stretch>
      </xdr:blipFill>
      <xdr:spPr bwMode="auto">
        <a:xfrm>
          <a:off x="1228725" y="4103055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2170</xdr:row>
      <xdr:rowOff>9525</xdr:rowOff>
    </xdr:from>
    <xdr:to>
      <xdr:col>2</xdr:col>
      <xdr:colOff>1733550</xdr:colOff>
      <xdr:row>2170</xdr:row>
      <xdr:rowOff>1524000</xdr:rowOff>
    </xdr:to>
    <xdr:pic>
      <xdr:nvPicPr>
        <xdr:cNvPr id="2170" name="Picture 2169"/>
        <xdr:cNvPicPr>
          <a:picLocks noChangeAspect="1" noChangeArrowheads="1"/>
        </xdr:cNvPicPr>
      </xdr:nvPicPr>
      <xdr:blipFill>
        <a:blip xmlns:r="http://schemas.openxmlformats.org/officeDocument/2006/relationships" r:embed="rId2167">
          <a:extLst>
            <a:ext uri="{28A0092B-C50C-407E-A947-70E740481C1C}">
              <a14:useLocalDpi xmlns:a14="http://schemas.microsoft.com/office/drawing/2010/main" val="0"/>
            </a:ext>
          </a:extLst>
        </a:blip>
        <a:srcRect/>
        <a:stretch>
          <a:fillRect/>
        </a:stretch>
      </xdr:blipFill>
      <xdr:spPr bwMode="auto">
        <a:xfrm>
          <a:off x="1228725" y="4104808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2171</xdr:row>
      <xdr:rowOff>19050</xdr:rowOff>
    </xdr:from>
    <xdr:to>
      <xdr:col>2</xdr:col>
      <xdr:colOff>1733550</xdr:colOff>
      <xdr:row>2171</xdr:row>
      <xdr:rowOff>1666875</xdr:rowOff>
    </xdr:to>
    <xdr:pic>
      <xdr:nvPicPr>
        <xdr:cNvPr id="2171" name="Picture 2170"/>
        <xdr:cNvPicPr>
          <a:picLocks noChangeAspect="1" noChangeArrowheads="1"/>
        </xdr:cNvPicPr>
      </xdr:nvPicPr>
      <xdr:blipFill>
        <a:blip xmlns:r="http://schemas.openxmlformats.org/officeDocument/2006/relationships" r:embed="rId2168">
          <a:extLst>
            <a:ext uri="{28A0092B-C50C-407E-A947-70E740481C1C}">
              <a14:useLocalDpi xmlns:a14="http://schemas.microsoft.com/office/drawing/2010/main" val="0"/>
            </a:ext>
          </a:extLst>
        </a:blip>
        <a:srcRect/>
        <a:stretch>
          <a:fillRect/>
        </a:stretch>
      </xdr:blipFill>
      <xdr:spPr bwMode="auto">
        <a:xfrm>
          <a:off x="1228725" y="4106570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2172</xdr:row>
      <xdr:rowOff>19050</xdr:rowOff>
    </xdr:from>
    <xdr:to>
      <xdr:col>2</xdr:col>
      <xdr:colOff>1733550</xdr:colOff>
      <xdr:row>2172</xdr:row>
      <xdr:rowOff>1666875</xdr:rowOff>
    </xdr:to>
    <xdr:pic>
      <xdr:nvPicPr>
        <xdr:cNvPr id="2172" name="Picture 2171"/>
        <xdr:cNvPicPr>
          <a:picLocks noChangeAspect="1" noChangeArrowheads="1"/>
        </xdr:cNvPicPr>
      </xdr:nvPicPr>
      <xdr:blipFill>
        <a:blip xmlns:r="http://schemas.openxmlformats.org/officeDocument/2006/relationships" r:embed="rId2169">
          <a:extLst>
            <a:ext uri="{28A0092B-C50C-407E-A947-70E740481C1C}">
              <a14:useLocalDpi xmlns:a14="http://schemas.microsoft.com/office/drawing/2010/main" val="0"/>
            </a:ext>
          </a:extLst>
        </a:blip>
        <a:srcRect/>
        <a:stretch>
          <a:fillRect/>
        </a:stretch>
      </xdr:blipFill>
      <xdr:spPr bwMode="auto">
        <a:xfrm>
          <a:off x="1228725" y="4108484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2173</xdr:row>
      <xdr:rowOff>19050</xdr:rowOff>
    </xdr:from>
    <xdr:to>
      <xdr:col>2</xdr:col>
      <xdr:colOff>1733550</xdr:colOff>
      <xdr:row>2173</xdr:row>
      <xdr:rowOff>1666875</xdr:rowOff>
    </xdr:to>
    <xdr:pic>
      <xdr:nvPicPr>
        <xdr:cNvPr id="2173" name="Picture 2172"/>
        <xdr:cNvPicPr>
          <a:picLocks noChangeAspect="1" noChangeArrowheads="1"/>
        </xdr:cNvPicPr>
      </xdr:nvPicPr>
      <xdr:blipFill>
        <a:blip xmlns:r="http://schemas.openxmlformats.org/officeDocument/2006/relationships" r:embed="rId2170">
          <a:extLst>
            <a:ext uri="{28A0092B-C50C-407E-A947-70E740481C1C}">
              <a14:useLocalDpi xmlns:a14="http://schemas.microsoft.com/office/drawing/2010/main" val="0"/>
            </a:ext>
          </a:extLst>
        </a:blip>
        <a:srcRect/>
        <a:stretch>
          <a:fillRect/>
        </a:stretch>
      </xdr:blipFill>
      <xdr:spPr bwMode="auto">
        <a:xfrm>
          <a:off x="1228725" y="4110399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2174</xdr:row>
      <xdr:rowOff>19050</xdr:rowOff>
    </xdr:from>
    <xdr:to>
      <xdr:col>2</xdr:col>
      <xdr:colOff>1733550</xdr:colOff>
      <xdr:row>2174</xdr:row>
      <xdr:rowOff>1666875</xdr:rowOff>
    </xdr:to>
    <xdr:pic>
      <xdr:nvPicPr>
        <xdr:cNvPr id="2174" name="Picture 2173"/>
        <xdr:cNvPicPr>
          <a:picLocks noChangeAspect="1" noChangeArrowheads="1"/>
        </xdr:cNvPicPr>
      </xdr:nvPicPr>
      <xdr:blipFill>
        <a:blip xmlns:r="http://schemas.openxmlformats.org/officeDocument/2006/relationships" r:embed="rId2171">
          <a:extLst>
            <a:ext uri="{28A0092B-C50C-407E-A947-70E740481C1C}">
              <a14:useLocalDpi xmlns:a14="http://schemas.microsoft.com/office/drawing/2010/main" val="0"/>
            </a:ext>
          </a:extLst>
        </a:blip>
        <a:srcRect/>
        <a:stretch>
          <a:fillRect/>
        </a:stretch>
      </xdr:blipFill>
      <xdr:spPr bwMode="auto">
        <a:xfrm>
          <a:off x="1228725" y="4112313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2175</xdr:row>
      <xdr:rowOff>19050</xdr:rowOff>
    </xdr:from>
    <xdr:to>
      <xdr:col>2</xdr:col>
      <xdr:colOff>1733550</xdr:colOff>
      <xdr:row>2175</xdr:row>
      <xdr:rowOff>1666875</xdr:rowOff>
    </xdr:to>
    <xdr:pic>
      <xdr:nvPicPr>
        <xdr:cNvPr id="2175" name="Picture 2174"/>
        <xdr:cNvPicPr>
          <a:picLocks noChangeAspect="1" noChangeArrowheads="1"/>
        </xdr:cNvPicPr>
      </xdr:nvPicPr>
      <xdr:blipFill>
        <a:blip xmlns:r="http://schemas.openxmlformats.org/officeDocument/2006/relationships" r:embed="rId2172">
          <a:extLst>
            <a:ext uri="{28A0092B-C50C-407E-A947-70E740481C1C}">
              <a14:useLocalDpi xmlns:a14="http://schemas.microsoft.com/office/drawing/2010/main" val="0"/>
            </a:ext>
          </a:extLst>
        </a:blip>
        <a:srcRect/>
        <a:stretch>
          <a:fillRect/>
        </a:stretch>
      </xdr:blipFill>
      <xdr:spPr bwMode="auto">
        <a:xfrm>
          <a:off x="1228725" y="4114228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2176</xdr:row>
      <xdr:rowOff>19050</xdr:rowOff>
    </xdr:from>
    <xdr:to>
      <xdr:col>2</xdr:col>
      <xdr:colOff>1733550</xdr:colOff>
      <xdr:row>2176</xdr:row>
      <xdr:rowOff>1666875</xdr:rowOff>
    </xdr:to>
    <xdr:pic>
      <xdr:nvPicPr>
        <xdr:cNvPr id="2176" name="Picture 2175"/>
        <xdr:cNvPicPr>
          <a:picLocks noChangeAspect="1" noChangeArrowheads="1"/>
        </xdr:cNvPicPr>
      </xdr:nvPicPr>
      <xdr:blipFill>
        <a:blip xmlns:r="http://schemas.openxmlformats.org/officeDocument/2006/relationships" r:embed="rId2173">
          <a:extLst>
            <a:ext uri="{28A0092B-C50C-407E-A947-70E740481C1C}">
              <a14:useLocalDpi xmlns:a14="http://schemas.microsoft.com/office/drawing/2010/main" val="0"/>
            </a:ext>
          </a:extLst>
        </a:blip>
        <a:srcRect/>
        <a:stretch>
          <a:fillRect/>
        </a:stretch>
      </xdr:blipFill>
      <xdr:spPr bwMode="auto">
        <a:xfrm>
          <a:off x="1228725" y="4116143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2177</xdr:row>
      <xdr:rowOff>9525</xdr:rowOff>
    </xdr:from>
    <xdr:to>
      <xdr:col>2</xdr:col>
      <xdr:colOff>1733550</xdr:colOff>
      <xdr:row>2177</xdr:row>
      <xdr:rowOff>1524000</xdr:rowOff>
    </xdr:to>
    <xdr:pic>
      <xdr:nvPicPr>
        <xdr:cNvPr id="2177" name="Picture 2176"/>
        <xdr:cNvPicPr>
          <a:picLocks noChangeAspect="1" noChangeArrowheads="1"/>
        </xdr:cNvPicPr>
      </xdr:nvPicPr>
      <xdr:blipFill>
        <a:blip xmlns:r="http://schemas.openxmlformats.org/officeDocument/2006/relationships" r:embed="rId2174">
          <a:extLst>
            <a:ext uri="{28A0092B-C50C-407E-A947-70E740481C1C}">
              <a14:useLocalDpi xmlns:a14="http://schemas.microsoft.com/office/drawing/2010/main" val="0"/>
            </a:ext>
          </a:extLst>
        </a:blip>
        <a:srcRect/>
        <a:stretch>
          <a:fillRect/>
        </a:stretch>
      </xdr:blipFill>
      <xdr:spPr bwMode="auto">
        <a:xfrm>
          <a:off x="1228725" y="4118048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2178</xdr:row>
      <xdr:rowOff>19050</xdr:rowOff>
    </xdr:from>
    <xdr:to>
      <xdr:col>2</xdr:col>
      <xdr:colOff>1733550</xdr:colOff>
      <xdr:row>2178</xdr:row>
      <xdr:rowOff>1685925</xdr:rowOff>
    </xdr:to>
    <xdr:pic>
      <xdr:nvPicPr>
        <xdr:cNvPr id="2178" name="Picture 2177"/>
        <xdr:cNvPicPr>
          <a:picLocks noChangeAspect="1" noChangeArrowheads="1"/>
        </xdr:cNvPicPr>
      </xdr:nvPicPr>
      <xdr:blipFill>
        <a:blip xmlns:r="http://schemas.openxmlformats.org/officeDocument/2006/relationships" r:embed="rId2175">
          <a:extLst>
            <a:ext uri="{28A0092B-C50C-407E-A947-70E740481C1C}">
              <a14:useLocalDpi xmlns:a14="http://schemas.microsoft.com/office/drawing/2010/main" val="0"/>
            </a:ext>
          </a:extLst>
        </a:blip>
        <a:srcRect/>
        <a:stretch>
          <a:fillRect/>
        </a:stretch>
      </xdr:blipFill>
      <xdr:spPr bwMode="auto">
        <a:xfrm>
          <a:off x="1228725" y="41198101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2179</xdr:row>
      <xdr:rowOff>19050</xdr:rowOff>
    </xdr:from>
    <xdr:to>
      <xdr:col>2</xdr:col>
      <xdr:colOff>1733550</xdr:colOff>
      <xdr:row>2179</xdr:row>
      <xdr:rowOff>1685925</xdr:rowOff>
    </xdr:to>
    <xdr:pic>
      <xdr:nvPicPr>
        <xdr:cNvPr id="2179" name="Picture 2178"/>
        <xdr:cNvPicPr>
          <a:picLocks noChangeAspect="1" noChangeArrowheads="1"/>
        </xdr:cNvPicPr>
      </xdr:nvPicPr>
      <xdr:blipFill>
        <a:blip xmlns:r="http://schemas.openxmlformats.org/officeDocument/2006/relationships" r:embed="rId2176">
          <a:extLst>
            <a:ext uri="{28A0092B-C50C-407E-A947-70E740481C1C}">
              <a14:useLocalDpi xmlns:a14="http://schemas.microsoft.com/office/drawing/2010/main" val="0"/>
            </a:ext>
          </a:extLst>
        </a:blip>
        <a:srcRect/>
        <a:stretch>
          <a:fillRect/>
        </a:stretch>
      </xdr:blipFill>
      <xdr:spPr bwMode="auto">
        <a:xfrm>
          <a:off x="1228725" y="41217532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2180</xdr:row>
      <xdr:rowOff>19050</xdr:rowOff>
    </xdr:from>
    <xdr:to>
      <xdr:col>2</xdr:col>
      <xdr:colOff>1733550</xdr:colOff>
      <xdr:row>2180</xdr:row>
      <xdr:rowOff>1666875</xdr:rowOff>
    </xdr:to>
    <xdr:pic>
      <xdr:nvPicPr>
        <xdr:cNvPr id="2180" name="Picture 2179"/>
        <xdr:cNvPicPr>
          <a:picLocks noChangeAspect="1" noChangeArrowheads="1"/>
        </xdr:cNvPicPr>
      </xdr:nvPicPr>
      <xdr:blipFill>
        <a:blip xmlns:r="http://schemas.openxmlformats.org/officeDocument/2006/relationships" r:embed="rId2177">
          <a:extLst>
            <a:ext uri="{28A0092B-C50C-407E-A947-70E740481C1C}">
              <a14:useLocalDpi xmlns:a14="http://schemas.microsoft.com/office/drawing/2010/main" val="0"/>
            </a:ext>
          </a:extLst>
        </a:blip>
        <a:srcRect/>
        <a:stretch>
          <a:fillRect/>
        </a:stretch>
      </xdr:blipFill>
      <xdr:spPr bwMode="auto">
        <a:xfrm>
          <a:off x="1228725" y="4123696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2181</xdr:row>
      <xdr:rowOff>9525</xdr:rowOff>
    </xdr:from>
    <xdr:to>
      <xdr:col>2</xdr:col>
      <xdr:colOff>1733550</xdr:colOff>
      <xdr:row>2181</xdr:row>
      <xdr:rowOff>1524000</xdr:rowOff>
    </xdr:to>
    <xdr:pic>
      <xdr:nvPicPr>
        <xdr:cNvPr id="2181" name="Picture 2180"/>
        <xdr:cNvPicPr>
          <a:picLocks noChangeAspect="1" noChangeArrowheads="1"/>
        </xdr:cNvPicPr>
      </xdr:nvPicPr>
      <xdr:blipFill>
        <a:blip xmlns:r="http://schemas.openxmlformats.org/officeDocument/2006/relationships" r:embed="rId2178">
          <a:extLst>
            <a:ext uri="{28A0092B-C50C-407E-A947-70E740481C1C}">
              <a14:useLocalDpi xmlns:a14="http://schemas.microsoft.com/office/drawing/2010/main" val="0"/>
            </a:ext>
          </a:extLst>
        </a:blip>
        <a:srcRect/>
        <a:stretch>
          <a:fillRect/>
        </a:stretch>
      </xdr:blipFill>
      <xdr:spPr bwMode="auto">
        <a:xfrm>
          <a:off x="1228725" y="4125601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2182</xdr:row>
      <xdr:rowOff>9525</xdr:rowOff>
    </xdr:from>
    <xdr:to>
      <xdr:col>2</xdr:col>
      <xdr:colOff>1733550</xdr:colOff>
      <xdr:row>2182</xdr:row>
      <xdr:rowOff>1524000</xdr:rowOff>
    </xdr:to>
    <xdr:pic>
      <xdr:nvPicPr>
        <xdr:cNvPr id="2182" name="Picture 2181"/>
        <xdr:cNvPicPr>
          <a:picLocks noChangeAspect="1" noChangeArrowheads="1"/>
        </xdr:cNvPicPr>
      </xdr:nvPicPr>
      <xdr:blipFill>
        <a:blip xmlns:r="http://schemas.openxmlformats.org/officeDocument/2006/relationships" r:embed="rId2179">
          <a:extLst>
            <a:ext uri="{28A0092B-C50C-407E-A947-70E740481C1C}">
              <a14:useLocalDpi xmlns:a14="http://schemas.microsoft.com/office/drawing/2010/main" val="0"/>
            </a:ext>
          </a:extLst>
        </a:blip>
        <a:srcRect/>
        <a:stretch>
          <a:fillRect/>
        </a:stretch>
      </xdr:blipFill>
      <xdr:spPr bwMode="auto">
        <a:xfrm>
          <a:off x="1228725" y="4127353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2183</xdr:row>
      <xdr:rowOff>9525</xdr:rowOff>
    </xdr:from>
    <xdr:to>
      <xdr:col>2</xdr:col>
      <xdr:colOff>1733550</xdr:colOff>
      <xdr:row>2183</xdr:row>
      <xdr:rowOff>1524000</xdr:rowOff>
    </xdr:to>
    <xdr:pic>
      <xdr:nvPicPr>
        <xdr:cNvPr id="2183" name="Picture 2182"/>
        <xdr:cNvPicPr>
          <a:picLocks noChangeAspect="1" noChangeArrowheads="1"/>
        </xdr:cNvPicPr>
      </xdr:nvPicPr>
      <xdr:blipFill>
        <a:blip xmlns:r="http://schemas.openxmlformats.org/officeDocument/2006/relationships" r:embed="rId2180">
          <a:extLst>
            <a:ext uri="{28A0092B-C50C-407E-A947-70E740481C1C}">
              <a14:useLocalDpi xmlns:a14="http://schemas.microsoft.com/office/drawing/2010/main" val="0"/>
            </a:ext>
          </a:extLst>
        </a:blip>
        <a:srcRect/>
        <a:stretch>
          <a:fillRect/>
        </a:stretch>
      </xdr:blipFill>
      <xdr:spPr bwMode="auto">
        <a:xfrm>
          <a:off x="1228725" y="4129106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2184</xdr:row>
      <xdr:rowOff>9525</xdr:rowOff>
    </xdr:from>
    <xdr:to>
      <xdr:col>2</xdr:col>
      <xdr:colOff>1733550</xdr:colOff>
      <xdr:row>2184</xdr:row>
      <xdr:rowOff>1524000</xdr:rowOff>
    </xdr:to>
    <xdr:pic>
      <xdr:nvPicPr>
        <xdr:cNvPr id="2184" name="Picture 2183"/>
        <xdr:cNvPicPr>
          <a:picLocks noChangeAspect="1" noChangeArrowheads="1"/>
        </xdr:cNvPicPr>
      </xdr:nvPicPr>
      <xdr:blipFill>
        <a:blip xmlns:r="http://schemas.openxmlformats.org/officeDocument/2006/relationships" r:embed="rId2181">
          <a:extLst>
            <a:ext uri="{28A0092B-C50C-407E-A947-70E740481C1C}">
              <a14:useLocalDpi xmlns:a14="http://schemas.microsoft.com/office/drawing/2010/main" val="0"/>
            </a:ext>
          </a:extLst>
        </a:blip>
        <a:srcRect/>
        <a:stretch>
          <a:fillRect/>
        </a:stretch>
      </xdr:blipFill>
      <xdr:spPr bwMode="auto">
        <a:xfrm>
          <a:off x="1228725" y="4130859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2185</xdr:row>
      <xdr:rowOff>9525</xdr:rowOff>
    </xdr:from>
    <xdr:to>
      <xdr:col>2</xdr:col>
      <xdr:colOff>1733550</xdr:colOff>
      <xdr:row>2185</xdr:row>
      <xdr:rowOff>1524000</xdr:rowOff>
    </xdr:to>
    <xdr:pic>
      <xdr:nvPicPr>
        <xdr:cNvPr id="2185" name="Picture 2184"/>
        <xdr:cNvPicPr>
          <a:picLocks noChangeAspect="1" noChangeArrowheads="1"/>
        </xdr:cNvPicPr>
      </xdr:nvPicPr>
      <xdr:blipFill>
        <a:blip xmlns:r="http://schemas.openxmlformats.org/officeDocument/2006/relationships" r:embed="rId2182">
          <a:extLst>
            <a:ext uri="{28A0092B-C50C-407E-A947-70E740481C1C}">
              <a14:useLocalDpi xmlns:a14="http://schemas.microsoft.com/office/drawing/2010/main" val="0"/>
            </a:ext>
          </a:extLst>
        </a:blip>
        <a:srcRect/>
        <a:stretch>
          <a:fillRect/>
        </a:stretch>
      </xdr:blipFill>
      <xdr:spPr bwMode="auto">
        <a:xfrm>
          <a:off x="1228725" y="4132611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2186</xdr:row>
      <xdr:rowOff>9525</xdr:rowOff>
    </xdr:from>
    <xdr:to>
      <xdr:col>2</xdr:col>
      <xdr:colOff>1733550</xdr:colOff>
      <xdr:row>2186</xdr:row>
      <xdr:rowOff>1524000</xdr:rowOff>
    </xdr:to>
    <xdr:pic>
      <xdr:nvPicPr>
        <xdr:cNvPr id="2186" name="Picture 2185"/>
        <xdr:cNvPicPr>
          <a:picLocks noChangeAspect="1" noChangeArrowheads="1"/>
        </xdr:cNvPicPr>
      </xdr:nvPicPr>
      <xdr:blipFill>
        <a:blip xmlns:r="http://schemas.openxmlformats.org/officeDocument/2006/relationships" r:embed="rId2183">
          <a:extLst>
            <a:ext uri="{28A0092B-C50C-407E-A947-70E740481C1C}">
              <a14:useLocalDpi xmlns:a14="http://schemas.microsoft.com/office/drawing/2010/main" val="0"/>
            </a:ext>
          </a:extLst>
        </a:blip>
        <a:srcRect/>
        <a:stretch>
          <a:fillRect/>
        </a:stretch>
      </xdr:blipFill>
      <xdr:spPr bwMode="auto">
        <a:xfrm>
          <a:off x="1228725" y="4134364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2187</xdr:row>
      <xdr:rowOff>9525</xdr:rowOff>
    </xdr:from>
    <xdr:to>
      <xdr:col>2</xdr:col>
      <xdr:colOff>1733550</xdr:colOff>
      <xdr:row>2187</xdr:row>
      <xdr:rowOff>1524000</xdr:rowOff>
    </xdr:to>
    <xdr:pic>
      <xdr:nvPicPr>
        <xdr:cNvPr id="2187" name="Picture 2186"/>
        <xdr:cNvPicPr>
          <a:picLocks noChangeAspect="1" noChangeArrowheads="1"/>
        </xdr:cNvPicPr>
      </xdr:nvPicPr>
      <xdr:blipFill>
        <a:blip xmlns:r="http://schemas.openxmlformats.org/officeDocument/2006/relationships" r:embed="rId2184">
          <a:extLst>
            <a:ext uri="{28A0092B-C50C-407E-A947-70E740481C1C}">
              <a14:useLocalDpi xmlns:a14="http://schemas.microsoft.com/office/drawing/2010/main" val="0"/>
            </a:ext>
          </a:extLst>
        </a:blip>
        <a:srcRect/>
        <a:stretch>
          <a:fillRect/>
        </a:stretch>
      </xdr:blipFill>
      <xdr:spPr bwMode="auto">
        <a:xfrm>
          <a:off x="1228725" y="4136116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2188</xdr:row>
      <xdr:rowOff>9525</xdr:rowOff>
    </xdr:from>
    <xdr:to>
      <xdr:col>2</xdr:col>
      <xdr:colOff>1733550</xdr:colOff>
      <xdr:row>2188</xdr:row>
      <xdr:rowOff>1524000</xdr:rowOff>
    </xdr:to>
    <xdr:pic>
      <xdr:nvPicPr>
        <xdr:cNvPr id="2188" name="Picture 2187"/>
        <xdr:cNvPicPr>
          <a:picLocks noChangeAspect="1" noChangeArrowheads="1"/>
        </xdr:cNvPicPr>
      </xdr:nvPicPr>
      <xdr:blipFill>
        <a:blip xmlns:r="http://schemas.openxmlformats.org/officeDocument/2006/relationships" r:embed="rId2185">
          <a:extLst>
            <a:ext uri="{28A0092B-C50C-407E-A947-70E740481C1C}">
              <a14:useLocalDpi xmlns:a14="http://schemas.microsoft.com/office/drawing/2010/main" val="0"/>
            </a:ext>
          </a:extLst>
        </a:blip>
        <a:srcRect/>
        <a:stretch>
          <a:fillRect/>
        </a:stretch>
      </xdr:blipFill>
      <xdr:spPr bwMode="auto">
        <a:xfrm>
          <a:off x="1228725" y="4137869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2189</xdr:row>
      <xdr:rowOff>19050</xdr:rowOff>
    </xdr:from>
    <xdr:to>
      <xdr:col>2</xdr:col>
      <xdr:colOff>1733550</xdr:colOff>
      <xdr:row>2189</xdr:row>
      <xdr:rowOff>1647825</xdr:rowOff>
    </xdr:to>
    <xdr:pic>
      <xdr:nvPicPr>
        <xdr:cNvPr id="2189" name="Picture 2188"/>
        <xdr:cNvPicPr>
          <a:picLocks noChangeAspect="1" noChangeArrowheads="1"/>
        </xdr:cNvPicPr>
      </xdr:nvPicPr>
      <xdr:blipFill>
        <a:blip xmlns:r="http://schemas.openxmlformats.org/officeDocument/2006/relationships" r:embed="rId2186">
          <a:extLst>
            <a:ext uri="{28A0092B-C50C-407E-A947-70E740481C1C}">
              <a14:useLocalDpi xmlns:a14="http://schemas.microsoft.com/office/drawing/2010/main" val="0"/>
            </a:ext>
          </a:extLst>
        </a:blip>
        <a:srcRect/>
        <a:stretch>
          <a:fillRect/>
        </a:stretch>
      </xdr:blipFill>
      <xdr:spPr bwMode="auto">
        <a:xfrm>
          <a:off x="1228725" y="41396316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2190</xdr:row>
      <xdr:rowOff>19050</xdr:rowOff>
    </xdr:from>
    <xdr:to>
      <xdr:col>2</xdr:col>
      <xdr:colOff>1733550</xdr:colOff>
      <xdr:row>2190</xdr:row>
      <xdr:rowOff>1647825</xdr:rowOff>
    </xdr:to>
    <xdr:pic>
      <xdr:nvPicPr>
        <xdr:cNvPr id="2190" name="Picture 2189"/>
        <xdr:cNvPicPr>
          <a:picLocks noChangeAspect="1" noChangeArrowheads="1"/>
        </xdr:cNvPicPr>
      </xdr:nvPicPr>
      <xdr:blipFill>
        <a:blip xmlns:r="http://schemas.openxmlformats.org/officeDocument/2006/relationships" r:embed="rId2187">
          <a:extLst>
            <a:ext uri="{28A0092B-C50C-407E-A947-70E740481C1C}">
              <a14:useLocalDpi xmlns:a14="http://schemas.microsoft.com/office/drawing/2010/main" val="0"/>
            </a:ext>
          </a:extLst>
        </a:blip>
        <a:srcRect/>
        <a:stretch>
          <a:fillRect/>
        </a:stretch>
      </xdr:blipFill>
      <xdr:spPr bwMode="auto">
        <a:xfrm>
          <a:off x="1228725" y="41415271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2191</xdr:row>
      <xdr:rowOff>9525</xdr:rowOff>
    </xdr:from>
    <xdr:to>
      <xdr:col>2</xdr:col>
      <xdr:colOff>1733550</xdr:colOff>
      <xdr:row>2191</xdr:row>
      <xdr:rowOff>1524000</xdr:rowOff>
    </xdr:to>
    <xdr:pic>
      <xdr:nvPicPr>
        <xdr:cNvPr id="2191" name="Picture 2190"/>
        <xdr:cNvPicPr>
          <a:picLocks noChangeAspect="1" noChangeArrowheads="1"/>
        </xdr:cNvPicPr>
      </xdr:nvPicPr>
      <xdr:blipFill>
        <a:blip xmlns:r="http://schemas.openxmlformats.org/officeDocument/2006/relationships" r:embed="rId2188">
          <a:extLst>
            <a:ext uri="{28A0092B-C50C-407E-A947-70E740481C1C}">
              <a14:useLocalDpi xmlns:a14="http://schemas.microsoft.com/office/drawing/2010/main" val="0"/>
            </a:ext>
          </a:extLst>
        </a:blip>
        <a:srcRect/>
        <a:stretch>
          <a:fillRect/>
        </a:stretch>
      </xdr:blipFill>
      <xdr:spPr bwMode="auto">
        <a:xfrm>
          <a:off x="1228725" y="4143413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2192</xdr:row>
      <xdr:rowOff>9525</xdr:rowOff>
    </xdr:from>
    <xdr:to>
      <xdr:col>2</xdr:col>
      <xdr:colOff>1733550</xdr:colOff>
      <xdr:row>2192</xdr:row>
      <xdr:rowOff>1524000</xdr:rowOff>
    </xdr:to>
    <xdr:pic>
      <xdr:nvPicPr>
        <xdr:cNvPr id="2192" name="Picture 2191"/>
        <xdr:cNvPicPr>
          <a:picLocks noChangeAspect="1" noChangeArrowheads="1"/>
        </xdr:cNvPicPr>
      </xdr:nvPicPr>
      <xdr:blipFill>
        <a:blip xmlns:r="http://schemas.openxmlformats.org/officeDocument/2006/relationships" r:embed="rId2189">
          <a:extLst>
            <a:ext uri="{28A0092B-C50C-407E-A947-70E740481C1C}">
              <a14:useLocalDpi xmlns:a14="http://schemas.microsoft.com/office/drawing/2010/main" val="0"/>
            </a:ext>
          </a:extLst>
        </a:blip>
        <a:srcRect/>
        <a:stretch>
          <a:fillRect/>
        </a:stretch>
      </xdr:blipFill>
      <xdr:spPr bwMode="auto">
        <a:xfrm>
          <a:off x="1228725" y="4145165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2193</xdr:row>
      <xdr:rowOff>9525</xdr:rowOff>
    </xdr:from>
    <xdr:to>
      <xdr:col>2</xdr:col>
      <xdr:colOff>1733550</xdr:colOff>
      <xdr:row>2193</xdr:row>
      <xdr:rowOff>1247775</xdr:rowOff>
    </xdr:to>
    <xdr:pic>
      <xdr:nvPicPr>
        <xdr:cNvPr id="2193" name="Picture 2192"/>
        <xdr:cNvPicPr>
          <a:picLocks noChangeAspect="1" noChangeArrowheads="1"/>
        </xdr:cNvPicPr>
      </xdr:nvPicPr>
      <xdr:blipFill>
        <a:blip xmlns:r="http://schemas.openxmlformats.org/officeDocument/2006/relationships" r:embed="rId2190">
          <a:extLst>
            <a:ext uri="{28A0092B-C50C-407E-A947-70E740481C1C}">
              <a14:useLocalDpi xmlns:a14="http://schemas.microsoft.com/office/drawing/2010/main" val="0"/>
            </a:ext>
          </a:extLst>
        </a:blip>
        <a:srcRect/>
        <a:stretch>
          <a:fillRect/>
        </a:stretch>
      </xdr:blipFill>
      <xdr:spPr bwMode="auto">
        <a:xfrm>
          <a:off x="1228725" y="4146918300"/>
          <a:ext cx="1724025" cy="1238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2194</xdr:row>
      <xdr:rowOff>19050</xdr:rowOff>
    </xdr:from>
    <xdr:to>
      <xdr:col>2</xdr:col>
      <xdr:colOff>1733550</xdr:colOff>
      <xdr:row>2194</xdr:row>
      <xdr:rowOff>1619250</xdr:rowOff>
    </xdr:to>
    <xdr:pic>
      <xdr:nvPicPr>
        <xdr:cNvPr id="2194" name="Picture 2193"/>
        <xdr:cNvPicPr>
          <a:picLocks noChangeAspect="1" noChangeArrowheads="1"/>
        </xdr:cNvPicPr>
      </xdr:nvPicPr>
      <xdr:blipFill>
        <a:blip xmlns:r="http://schemas.openxmlformats.org/officeDocument/2006/relationships" r:embed="rId2191">
          <a:extLst>
            <a:ext uri="{28A0092B-C50C-407E-A947-70E740481C1C}">
              <a14:useLocalDpi xmlns:a14="http://schemas.microsoft.com/office/drawing/2010/main" val="0"/>
            </a:ext>
          </a:extLst>
        </a:blip>
        <a:srcRect/>
        <a:stretch>
          <a:fillRect/>
        </a:stretch>
      </xdr:blipFill>
      <xdr:spPr bwMode="auto">
        <a:xfrm>
          <a:off x="1228725" y="41483661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2195</xdr:row>
      <xdr:rowOff>19050</xdr:rowOff>
    </xdr:from>
    <xdr:to>
      <xdr:col>2</xdr:col>
      <xdr:colOff>1733550</xdr:colOff>
      <xdr:row>2195</xdr:row>
      <xdr:rowOff>1619250</xdr:rowOff>
    </xdr:to>
    <xdr:pic>
      <xdr:nvPicPr>
        <xdr:cNvPr id="2195" name="Picture 2194"/>
        <xdr:cNvPicPr>
          <a:picLocks noChangeAspect="1" noChangeArrowheads="1"/>
        </xdr:cNvPicPr>
      </xdr:nvPicPr>
      <xdr:blipFill>
        <a:blip xmlns:r="http://schemas.openxmlformats.org/officeDocument/2006/relationships" r:embed="rId2192">
          <a:extLst>
            <a:ext uri="{28A0092B-C50C-407E-A947-70E740481C1C}">
              <a14:useLocalDpi xmlns:a14="http://schemas.microsoft.com/office/drawing/2010/main" val="0"/>
            </a:ext>
          </a:extLst>
        </a:blip>
        <a:srcRect/>
        <a:stretch>
          <a:fillRect/>
        </a:stretch>
      </xdr:blipFill>
      <xdr:spPr bwMode="auto">
        <a:xfrm>
          <a:off x="1228725" y="41502234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2196</xdr:row>
      <xdr:rowOff>19050</xdr:rowOff>
    </xdr:from>
    <xdr:to>
      <xdr:col>2</xdr:col>
      <xdr:colOff>1733550</xdr:colOff>
      <xdr:row>2196</xdr:row>
      <xdr:rowOff>1619250</xdr:rowOff>
    </xdr:to>
    <xdr:pic>
      <xdr:nvPicPr>
        <xdr:cNvPr id="2196" name="Picture 2195"/>
        <xdr:cNvPicPr>
          <a:picLocks noChangeAspect="1" noChangeArrowheads="1"/>
        </xdr:cNvPicPr>
      </xdr:nvPicPr>
      <xdr:blipFill>
        <a:blip xmlns:r="http://schemas.openxmlformats.org/officeDocument/2006/relationships" r:embed="rId2193">
          <a:extLst>
            <a:ext uri="{28A0092B-C50C-407E-A947-70E740481C1C}">
              <a14:useLocalDpi xmlns:a14="http://schemas.microsoft.com/office/drawing/2010/main" val="0"/>
            </a:ext>
          </a:extLst>
        </a:blip>
        <a:srcRect/>
        <a:stretch>
          <a:fillRect/>
        </a:stretch>
      </xdr:blipFill>
      <xdr:spPr bwMode="auto">
        <a:xfrm>
          <a:off x="1228725" y="41520808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2197</xdr:row>
      <xdr:rowOff>19050</xdr:rowOff>
    </xdr:from>
    <xdr:to>
      <xdr:col>2</xdr:col>
      <xdr:colOff>1733550</xdr:colOff>
      <xdr:row>2197</xdr:row>
      <xdr:rowOff>1619250</xdr:rowOff>
    </xdr:to>
    <xdr:pic>
      <xdr:nvPicPr>
        <xdr:cNvPr id="2197" name="Picture 2196"/>
        <xdr:cNvPicPr>
          <a:picLocks noChangeAspect="1" noChangeArrowheads="1"/>
        </xdr:cNvPicPr>
      </xdr:nvPicPr>
      <xdr:blipFill>
        <a:blip xmlns:r="http://schemas.openxmlformats.org/officeDocument/2006/relationships" r:embed="rId2194">
          <a:extLst>
            <a:ext uri="{28A0092B-C50C-407E-A947-70E740481C1C}">
              <a14:useLocalDpi xmlns:a14="http://schemas.microsoft.com/office/drawing/2010/main" val="0"/>
            </a:ext>
          </a:extLst>
        </a:blip>
        <a:srcRect/>
        <a:stretch>
          <a:fillRect/>
        </a:stretch>
      </xdr:blipFill>
      <xdr:spPr bwMode="auto">
        <a:xfrm>
          <a:off x="1228725" y="41539382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2198</xdr:row>
      <xdr:rowOff>19050</xdr:rowOff>
    </xdr:from>
    <xdr:to>
      <xdr:col>2</xdr:col>
      <xdr:colOff>1733550</xdr:colOff>
      <xdr:row>2198</xdr:row>
      <xdr:rowOff>1619250</xdr:rowOff>
    </xdr:to>
    <xdr:pic>
      <xdr:nvPicPr>
        <xdr:cNvPr id="2198" name="Picture 2197"/>
        <xdr:cNvPicPr>
          <a:picLocks noChangeAspect="1" noChangeArrowheads="1"/>
        </xdr:cNvPicPr>
      </xdr:nvPicPr>
      <xdr:blipFill>
        <a:blip xmlns:r="http://schemas.openxmlformats.org/officeDocument/2006/relationships" r:embed="rId2195">
          <a:extLst>
            <a:ext uri="{28A0092B-C50C-407E-A947-70E740481C1C}">
              <a14:useLocalDpi xmlns:a14="http://schemas.microsoft.com/office/drawing/2010/main" val="0"/>
            </a:ext>
          </a:extLst>
        </a:blip>
        <a:srcRect/>
        <a:stretch>
          <a:fillRect/>
        </a:stretch>
      </xdr:blipFill>
      <xdr:spPr bwMode="auto">
        <a:xfrm>
          <a:off x="1228725" y="41557956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2199</xdr:row>
      <xdr:rowOff>19050</xdr:rowOff>
    </xdr:from>
    <xdr:to>
      <xdr:col>2</xdr:col>
      <xdr:colOff>1733550</xdr:colOff>
      <xdr:row>2199</xdr:row>
      <xdr:rowOff>1619250</xdr:rowOff>
    </xdr:to>
    <xdr:pic>
      <xdr:nvPicPr>
        <xdr:cNvPr id="2199" name="Picture 2198"/>
        <xdr:cNvPicPr>
          <a:picLocks noChangeAspect="1" noChangeArrowheads="1"/>
        </xdr:cNvPicPr>
      </xdr:nvPicPr>
      <xdr:blipFill>
        <a:blip xmlns:r="http://schemas.openxmlformats.org/officeDocument/2006/relationships" r:embed="rId2196">
          <a:extLst>
            <a:ext uri="{28A0092B-C50C-407E-A947-70E740481C1C}">
              <a14:useLocalDpi xmlns:a14="http://schemas.microsoft.com/office/drawing/2010/main" val="0"/>
            </a:ext>
          </a:extLst>
        </a:blip>
        <a:srcRect/>
        <a:stretch>
          <a:fillRect/>
        </a:stretch>
      </xdr:blipFill>
      <xdr:spPr bwMode="auto">
        <a:xfrm>
          <a:off x="1228725" y="41576529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2200</xdr:row>
      <xdr:rowOff>19050</xdr:rowOff>
    </xdr:from>
    <xdr:to>
      <xdr:col>2</xdr:col>
      <xdr:colOff>1733550</xdr:colOff>
      <xdr:row>2200</xdr:row>
      <xdr:rowOff>1619250</xdr:rowOff>
    </xdr:to>
    <xdr:pic>
      <xdr:nvPicPr>
        <xdr:cNvPr id="2200" name="Picture 2199"/>
        <xdr:cNvPicPr>
          <a:picLocks noChangeAspect="1" noChangeArrowheads="1"/>
        </xdr:cNvPicPr>
      </xdr:nvPicPr>
      <xdr:blipFill>
        <a:blip xmlns:r="http://schemas.openxmlformats.org/officeDocument/2006/relationships" r:embed="rId2197">
          <a:extLst>
            <a:ext uri="{28A0092B-C50C-407E-A947-70E740481C1C}">
              <a14:useLocalDpi xmlns:a14="http://schemas.microsoft.com/office/drawing/2010/main" val="0"/>
            </a:ext>
          </a:extLst>
        </a:blip>
        <a:srcRect/>
        <a:stretch>
          <a:fillRect/>
        </a:stretch>
      </xdr:blipFill>
      <xdr:spPr bwMode="auto">
        <a:xfrm>
          <a:off x="1228725" y="415951035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2201</xdr:row>
      <xdr:rowOff>9525</xdr:rowOff>
    </xdr:from>
    <xdr:to>
      <xdr:col>2</xdr:col>
      <xdr:colOff>1733550</xdr:colOff>
      <xdr:row>2201</xdr:row>
      <xdr:rowOff>1524000</xdr:rowOff>
    </xdr:to>
    <xdr:pic>
      <xdr:nvPicPr>
        <xdr:cNvPr id="2201" name="Picture 2200"/>
        <xdr:cNvPicPr>
          <a:picLocks noChangeAspect="1" noChangeArrowheads="1"/>
        </xdr:cNvPicPr>
      </xdr:nvPicPr>
      <xdr:blipFill>
        <a:blip xmlns:r="http://schemas.openxmlformats.org/officeDocument/2006/relationships" r:embed="rId2198">
          <a:extLst>
            <a:ext uri="{28A0092B-C50C-407E-A947-70E740481C1C}">
              <a14:useLocalDpi xmlns:a14="http://schemas.microsoft.com/office/drawing/2010/main" val="0"/>
            </a:ext>
          </a:extLst>
        </a:blip>
        <a:srcRect/>
        <a:stretch>
          <a:fillRect/>
        </a:stretch>
      </xdr:blipFill>
      <xdr:spPr bwMode="auto">
        <a:xfrm>
          <a:off x="1228725" y="4161358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2202</xdr:row>
      <xdr:rowOff>19050</xdr:rowOff>
    </xdr:from>
    <xdr:to>
      <xdr:col>2</xdr:col>
      <xdr:colOff>1733550</xdr:colOff>
      <xdr:row>2202</xdr:row>
      <xdr:rowOff>1619250</xdr:rowOff>
    </xdr:to>
    <xdr:pic>
      <xdr:nvPicPr>
        <xdr:cNvPr id="2202" name="Picture 2201"/>
        <xdr:cNvPicPr>
          <a:picLocks noChangeAspect="1" noChangeArrowheads="1"/>
        </xdr:cNvPicPr>
      </xdr:nvPicPr>
      <xdr:blipFill>
        <a:blip xmlns:r="http://schemas.openxmlformats.org/officeDocument/2006/relationships" r:embed="rId2199">
          <a:extLst>
            <a:ext uri="{28A0092B-C50C-407E-A947-70E740481C1C}">
              <a14:useLocalDpi xmlns:a14="http://schemas.microsoft.com/office/drawing/2010/main" val="0"/>
            </a:ext>
          </a:extLst>
        </a:blip>
        <a:srcRect/>
        <a:stretch>
          <a:fillRect/>
        </a:stretch>
      </xdr:blipFill>
      <xdr:spPr bwMode="auto">
        <a:xfrm>
          <a:off x="1228725" y="416312032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2203</xdr:row>
      <xdr:rowOff>19050</xdr:rowOff>
    </xdr:from>
    <xdr:to>
      <xdr:col>2</xdr:col>
      <xdr:colOff>1733550</xdr:colOff>
      <xdr:row>2203</xdr:row>
      <xdr:rowOff>1666875</xdr:rowOff>
    </xdr:to>
    <xdr:pic>
      <xdr:nvPicPr>
        <xdr:cNvPr id="2203" name="Picture 2202"/>
        <xdr:cNvPicPr>
          <a:picLocks noChangeAspect="1" noChangeArrowheads="1"/>
        </xdr:cNvPicPr>
      </xdr:nvPicPr>
      <xdr:blipFill>
        <a:blip xmlns:r="http://schemas.openxmlformats.org/officeDocument/2006/relationships" r:embed="rId2200">
          <a:extLst>
            <a:ext uri="{28A0092B-C50C-407E-A947-70E740481C1C}">
              <a14:useLocalDpi xmlns:a14="http://schemas.microsoft.com/office/drawing/2010/main" val="0"/>
            </a:ext>
          </a:extLst>
        </a:blip>
        <a:srcRect/>
        <a:stretch>
          <a:fillRect/>
        </a:stretch>
      </xdr:blipFill>
      <xdr:spPr bwMode="auto">
        <a:xfrm>
          <a:off x="1228725" y="4164977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2204</xdr:row>
      <xdr:rowOff>9525</xdr:rowOff>
    </xdr:from>
    <xdr:to>
      <xdr:col>2</xdr:col>
      <xdr:colOff>1733550</xdr:colOff>
      <xdr:row>2204</xdr:row>
      <xdr:rowOff>1524000</xdr:rowOff>
    </xdr:to>
    <xdr:pic>
      <xdr:nvPicPr>
        <xdr:cNvPr id="2204" name="Picture 2203"/>
        <xdr:cNvPicPr>
          <a:picLocks noChangeAspect="1" noChangeArrowheads="1"/>
        </xdr:cNvPicPr>
      </xdr:nvPicPr>
      <xdr:blipFill>
        <a:blip xmlns:r="http://schemas.openxmlformats.org/officeDocument/2006/relationships" r:embed="rId2201">
          <a:extLst>
            <a:ext uri="{28A0092B-C50C-407E-A947-70E740481C1C}">
              <a14:useLocalDpi xmlns:a14="http://schemas.microsoft.com/office/drawing/2010/main" val="0"/>
            </a:ext>
          </a:extLst>
        </a:blip>
        <a:srcRect/>
        <a:stretch>
          <a:fillRect/>
        </a:stretch>
      </xdr:blipFill>
      <xdr:spPr bwMode="auto">
        <a:xfrm>
          <a:off x="1228725" y="4166882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2205</xdr:row>
      <xdr:rowOff>19050</xdr:rowOff>
    </xdr:from>
    <xdr:to>
      <xdr:col>2</xdr:col>
      <xdr:colOff>1733550</xdr:colOff>
      <xdr:row>2205</xdr:row>
      <xdr:rowOff>1666875</xdr:rowOff>
    </xdr:to>
    <xdr:pic>
      <xdr:nvPicPr>
        <xdr:cNvPr id="2205" name="Picture 2204"/>
        <xdr:cNvPicPr>
          <a:picLocks noChangeAspect="1" noChangeArrowheads="1"/>
        </xdr:cNvPicPr>
      </xdr:nvPicPr>
      <xdr:blipFill>
        <a:blip xmlns:r="http://schemas.openxmlformats.org/officeDocument/2006/relationships" r:embed="rId2202">
          <a:extLst>
            <a:ext uri="{28A0092B-C50C-407E-A947-70E740481C1C}">
              <a14:useLocalDpi xmlns:a14="http://schemas.microsoft.com/office/drawing/2010/main" val="0"/>
            </a:ext>
          </a:extLst>
        </a:blip>
        <a:srcRect/>
        <a:stretch>
          <a:fillRect/>
        </a:stretch>
      </xdr:blipFill>
      <xdr:spPr bwMode="auto">
        <a:xfrm>
          <a:off x="1228725" y="416864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2206</xdr:row>
      <xdr:rowOff>19050</xdr:rowOff>
    </xdr:from>
    <xdr:to>
      <xdr:col>2</xdr:col>
      <xdr:colOff>1733550</xdr:colOff>
      <xdr:row>2206</xdr:row>
      <xdr:rowOff>1647825</xdr:rowOff>
    </xdr:to>
    <xdr:pic>
      <xdr:nvPicPr>
        <xdr:cNvPr id="2206" name="Picture 2205"/>
        <xdr:cNvPicPr>
          <a:picLocks noChangeAspect="1" noChangeArrowheads="1"/>
        </xdr:cNvPicPr>
      </xdr:nvPicPr>
      <xdr:blipFill>
        <a:blip xmlns:r="http://schemas.openxmlformats.org/officeDocument/2006/relationships" r:embed="rId2203">
          <a:extLst>
            <a:ext uri="{28A0092B-C50C-407E-A947-70E740481C1C}">
              <a14:useLocalDpi xmlns:a14="http://schemas.microsoft.com/office/drawing/2010/main" val="0"/>
            </a:ext>
          </a:extLst>
        </a:blip>
        <a:srcRect/>
        <a:stretch>
          <a:fillRect/>
        </a:stretch>
      </xdr:blipFill>
      <xdr:spPr bwMode="auto">
        <a:xfrm>
          <a:off x="1228725" y="4170559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2207</xdr:row>
      <xdr:rowOff>19050</xdr:rowOff>
    </xdr:from>
    <xdr:to>
      <xdr:col>2</xdr:col>
      <xdr:colOff>1733550</xdr:colOff>
      <xdr:row>2207</xdr:row>
      <xdr:rowOff>1647825</xdr:rowOff>
    </xdr:to>
    <xdr:pic>
      <xdr:nvPicPr>
        <xdr:cNvPr id="2207" name="Picture 2206"/>
        <xdr:cNvPicPr>
          <a:picLocks noChangeAspect="1" noChangeArrowheads="1"/>
        </xdr:cNvPicPr>
      </xdr:nvPicPr>
      <xdr:blipFill>
        <a:blip xmlns:r="http://schemas.openxmlformats.org/officeDocument/2006/relationships" r:embed="rId2204">
          <a:extLst>
            <a:ext uri="{28A0092B-C50C-407E-A947-70E740481C1C}">
              <a14:useLocalDpi xmlns:a14="http://schemas.microsoft.com/office/drawing/2010/main" val="0"/>
            </a:ext>
          </a:extLst>
        </a:blip>
        <a:srcRect/>
        <a:stretch>
          <a:fillRect/>
        </a:stretch>
      </xdr:blipFill>
      <xdr:spPr bwMode="auto">
        <a:xfrm>
          <a:off x="1228725" y="41724548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2208</xdr:row>
      <xdr:rowOff>19050</xdr:rowOff>
    </xdr:from>
    <xdr:to>
      <xdr:col>2</xdr:col>
      <xdr:colOff>1733550</xdr:colOff>
      <xdr:row>2208</xdr:row>
      <xdr:rowOff>1647825</xdr:rowOff>
    </xdr:to>
    <xdr:pic>
      <xdr:nvPicPr>
        <xdr:cNvPr id="2208" name="Picture 2207"/>
        <xdr:cNvPicPr>
          <a:picLocks noChangeAspect="1" noChangeArrowheads="1"/>
        </xdr:cNvPicPr>
      </xdr:nvPicPr>
      <xdr:blipFill>
        <a:blip xmlns:r="http://schemas.openxmlformats.org/officeDocument/2006/relationships" r:embed="rId2205">
          <a:extLst>
            <a:ext uri="{28A0092B-C50C-407E-A947-70E740481C1C}">
              <a14:useLocalDpi xmlns:a14="http://schemas.microsoft.com/office/drawing/2010/main" val="0"/>
            </a:ext>
          </a:extLst>
        </a:blip>
        <a:srcRect/>
        <a:stretch>
          <a:fillRect/>
        </a:stretch>
      </xdr:blipFill>
      <xdr:spPr bwMode="auto">
        <a:xfrm>
          <a:off x="1228725" y="41743503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2209</xdr:row>
      <xdr:rowOff>19050</xdr:rowOff>
    </xdr:from>
    <xdr:to>
      <xdr:col>2</xdr:col>
      <xdr:colOff>1733550</xdr:colOff>
      <xdr:row>2209</xdr:row>
      <xdr:rowOff>1647825</xdr:rowOff>
    </xdr:to>
    <xdr:pic>
      <xdr:nvPicPr>
        <xdr:cNvPr id="2209" name="Picture 2208"/>
        <xdr:cNvPicPr>
          <a:picLocks noChangeAspect="1" noChangeArrowheads="1"/>
        </xdr:cNvPicPr>
      </xdr:nvPicPr>
      <xdr:blipFill>
        <a:blip xmlns:r="http://schemas.openxmlformats.org/officeDocument/2006/relationships" r:embed="rId2206">
          <a:extLst>
            <a:ext uri="{28A0092B-C50C-407E-A947-70E740481C1C}">
              <a14:useLocalDpi xmlns:a14="http://schemas.microsoft.com/office/drawing/2010/main" val="0"/>
            </a:ext>
          </a:extLst>
        </a:blip>
        <a:srcRect/>
        <a:stretch>
          <a:fillRect/>
        </a:stretch>
      </xdr:blipFill>
      <xdr:spPr bwMode="auto">
        <a:xfrm>
          <a:off x="1228725" y="41762457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2210</xdr:row>
      <xdr:rowOff>19050</xdr:rowOff>
    </xdr:from>
    <xdr:to>
      <xdr:col>2</xdr:col>
      <xdr:colOff>1733550</xdr:colOff>
      <xdr:row>2210</xdr:row>
      <xdr:rowOff>1647825</xdr:rowOff>
    </xdr:to>
    <xdr:pic>
      <xdr:nvPicPr>
        <xdr:cNvPr id="2210" name="Picture 2209"/>
        <xdr:cNvPicPr>
          <a:picLocks noChangeAspect="1" noChangeArrowheads="1"/>
        </xdr:cNvPicPr>
      </xdr:nvPicPr>
      <xdr:blipFill>
        <a:blip xmlns:r="http://schemas.openxmlformats.org/officeDocument/2006/relationships" r:embed="rId2207">
          <a:extLst>
            <a:ext uri="{28A0092B-C50C-407E-A947-70E740481C1C}">
              <a14:useLocalDpi xmlns:a14="http://schemas.microsoft.com/office/drawing/2010/main" val="0"/>
            </a:ext>
          </a:extLst>
        </a:blip>
        <a:srcRect/>
        <a:stretch>
          <a:fillRect/>
        </a:stretch>
      </xdr:blipFill>
      <xdr:spPr bwMode="auto">
        <a:xfrm>
          <a:off x="1228725" y="41781412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2211</xdr:row>
      <xdr:rowOff>19050</xdr:rowOff>
    </xdr:from>
    <xdr:to>
      <xdr:col>2</xdr:col>
      <xdr:colOff>1733550</xdr:colOff>
      <xdr:row>2211</xdr:row>
      <xdr:rowOff>1647825</xdr:rowOff>
    </xdr:to>
    <xdr:pic>
      <xdr:nvPicPr>
        <xdr:cNvPr id="2211" name="Picture 2210"/>
        <xdr:cNvPicPr>
          <a:picLocks noChangeAspect="1" noChangeArrowheads="1"/>
        </xdr:cNvPicPr>
      </xdr:nvPicPr>
      <xdr:blipFill>
        <a:blip xmlns:r="http://schemas.openxmlformats.org/officeDocument/2006/relationships" r:embed="rId2208">
          <a:extLst>
            <a:ext uri="{28A0092B-C50C-407E-A947-70E740481C1C}">
              <a14:useLocalDpi xmlns:a14="http://schemas.microsoft.com/office/drawing/2010/main" val="0"/>
            </a:ext>
          </a:extLst>
        </a:blip>
        <a:srcRect/>
        <a:stretch>
          <a:fillRect/>
        </a:stretch>
      </xdr:blipFill>
      <xdr:spPr bwMode="auto">
        <a:xfrm>
          <a:off x="1228725" y="41800367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2212</xdr:row>
      <xdr:rowOff>9525</xdr:rowOff>
    </xdr:from>
    <xdr:to>
      <xdr:col>2</xdr:col>
      <xdr:colOff>1733550</xdr:colOff>
      <xdr:row>2212</xdr:row>
      <xdr:rowOff>1524000</xdr:rowOff>
    </xdr:to>
    <xdr:pic>
      <xdr:nvPicPr>
        <xdr:cNvPr id="2212" name="Picture 2211"/>
        <xdr:cNvPicPr>
          <a:picLocks noChangeAspect="1" noChangeArrowheads="1"/>
        </xdr:cNvPicPr>
      </xdr:nvPicPr>
      <xdr:blipFill>
        <a:blip xmlns:r="http://schemas.openxmlformats.org/officeDocument/2006/relationships" r:embed="rId2209">
          <a:extLst>
            <a:ext uri="{28A0092B-C50C-407E-A947-70E740481C1C}">
              <a14:useLocalDpi xmlns:a14="http://schemas.microsoft.com/office/drawing/2010/main" val="0"/>
            </a:ext>
          </a:extLst>
        </a:blip>
        <a:srcRect/>
        <a:stretch>
          <a:fillRect/>
        </a:stretch>
      </xdr:blipFill>
      <xdr:spPr bwMode="auto">
        <a:xfrm>
          <a:off x="1228725" y="41819226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2213</xdr:row>
      <xdr:rowOff>19050</xdr:rowOff>
    </xdr:from>
    <xdr:to>
      <xdr:col>2</xdr:col>
      <xdr:colOff>1733550</xdr:colOff>
      <xdr:row>2213</xdr:row>
      <xdr:rowOff>1666875</xdr:rowOff>
    </xdr:to>
    <xdr:pic>
      <xdr:nvPicPr>
        <xdr:cNvPr id="2213" name="Picture 2212"/>
        <xdr:cNvPicPr>
          <a:picLocks noChangeAspect="1" noChangeArrowheads="1"/>
        </xdr:cNvPicPr>
      </xdr:nvPicPr>
      <xdr:blipFill>
        <a:blip xmlns:r="http://schemas.openxmlformats.org/officeDocument/2006/relationships" r:embed="rId2210">
          <a:extLst>
            <a:ext uri="{28A0092B-C50C-407E-A947-70E740481C1C}">
              <a14:useLocalDpi xmlns:a14="http://schemas.microsoft.com/office/drawing/2010/main" val="0"/>
            </a:ext>
          </a:extLst>
        </a:blip>
        <a:srcRect/>
        <a:stretch>
          <a:fillRect/>
        </a:stretch>
      </xdr:blipFill>
      <xdr:spPr bwMode="auto">
        <a:xfrm>
          <a:off x="1228725" y="4183684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2214</xdr:row>
      <xdr:rowOff>19050</xdr:rowOff>
    </xdr:from>
    <xdr:to>
      <xdr:col>2</xdr:col>
      <xdr:colOff>1733550</xdr:colOff>
      <xdr:row>2214</xdr:row>
      <xdr:rowOff>1666875</xdr:rowOff>
    </xdr:to>
    <xdr:pic>
      <xdr:nvPicPr>
        <xdr:cNvPr id="2214" name="Picture 2213"/>
        <xdr:cNvPicPr>
          <a:picLocks noChangeAspect="1" noChangeArrowheads="1"/>
        </xdr:cNvPicPr>
      </xdr:nvPicPr>
      <xdr:blipFill>
        <a:blip xmlns:r="http://schemas.openxmlformats.org/officeDocument/2006/relationships" r:embed="rId2211">
          <a:extLst>
            <a:ext uri="{28A0092B-C50C-407E-A947-70E740481C1C}">
              <a14:useLocalDpi xmlns:a14="http://schemas.microsoft.com/office/drawing/2010/main" val="0"/>
            </a:ext>
          </a:extLst>
        </a:blip>
        <a:srcRect/>
        <a:stretch>
          <a:fillRect/>
        </a:stretch>
      </xdr:blipFill>
      <xdr:spPr bwMode="auto">
        <a:xfrm>
          <a:off x="1228725" y="4185599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2215</xdr:row>
      <xdr:rowOff>9525</xdr:rowOff>
    </xdr:from>
    <xdr:to>
      <xdr:col>2</xdr:col>
      <xdr:colOff>1733550</xdr:colOff>
      <xdr:row>2215</xdr:row>
      <xdr:rowOff>1524000</xdr:rowOff>
    </xdr:to>
    <xdr:pic>
      <xdr:nvPicPr>
        <xdr:cNvPr id="2215" name="Picture 2214"/>
        <xdr:cNvPicPr>
          <a:picLocks noChangeAspect="1" noChangeArrowheads="1"/>
        </xdr:cNvPicPr>
      </xdr:nvPicPr>
      <xdr:blipFill>
        <a:blip xmlns:r="http://schemas.openxmlformats.org/officeDocument/2006/relationships" r:embed="rId2212">
          <a:extLst>
            <a:ext uri="{28A0092B-C50C-407E-A947-70E740481C1C}">
              <a14:useLocalDpi xmlns:a14="http://schemas.microsoft.com/office/drawing/2010/main" val="0"/>
            </a:ext>
          </a:extLst>
        </a:blip>
        <a:srcRect/>
        <a:stretch>
          <a:fillRect/>
        </a:stretch>
      </xdr:blipFill>
      <xdr:spPr bwMode="auto">
        <a:xfrm>
          <a:off x="1228725" y="41875043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2216</xdr:row>
      <xdr:rowOff>19050</xdr:rowOff>
    </xdr:from>
    <xdr:to>
      <xdr:col>2</xdr:col>
      <xdr:colOff>1733550</xdr:colOff>
      <xdr:row>2216</xdr:row>
      <xdr:rowOff>1666875</xdr:rowOff>
    </xdr:to>
    <xdr:pic>
      <xdr:nvPicPr>
        <xdr:cNvPr id="2216" name="Picture 2215"/>
        <xdr:cNvPicPr>
          <a:picLocks noChangeAspect="1" noChangeArrowheads="1"/>
        </xdr:cNvPicPr>
      </xdr:nvPicPr>
      <xdr:blipFill>
        <a:blip xmlns:r="http://schemas.openxmlformats.org/officeDocument/2006/relationships" r:embed="rId2213">
          <a:extLst>
            <a:ext uri="{28A0092B-C50C-407E-A947-70E740481C1C}">
              <a14:useLocalDpi xmlns:a14="http://schemas.microsoft.com/office/drawing/2010/main" val="0"/>
            </a:ext>
          </a:extLst>
        </a:blip>
        <a:srcRect/>
        <a:stretch>
          <a:fillRect/>
        </a:stretch>
      </xdr:blipFill>
      <xdr:spPr bwMode="auto">
        <a:xfrm>
          <a:off x="1228725" y="4189266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2217</xdr:row>
      <xdr:rowOff>19050</xdr:rowOff>
    </xdr:from>
    <xdr:to>
      <xdr:col>2</xdr:col>
      <xdr:colOff>1733550</xdr:colOff>
      <xdr:row>2217</xdr:row>
      <xdr:rowOff>1666875</xdr:rowOff>
    </xdr:to>
    <xdr:pic>
      <xdr:nvPicPr>
        <xdr:cNvPr id="2217" name="Picture 2216"/>
        <xdr:cNvPicPr>
          <a:picLocks noChangeAspect="1" noChangeArrowheads="1"/>
        </xdr:cNvPicPr>
      </xdr:nvPicPr>
      <xdr:blipFill>
        <a:blip xmlns:r="http://schemas.openxmlformats.org/officeDocument/2006/relationships" r:embed="rId2214">
          <a:extLst>
            <a:ext uri="{28A0092B-C50C-407E-A947-70E740481C1C}">
              <a14:useLocalDpi xmlns:a14="http://schemas.microsoft.com/office/drawing/2010/main" val="0"/>
            </a:ext>
          </a:extLst>
        </a:blip>
        <a:srcRect/>
        <a:stretch>
          <a:fillRect/>
        </a:stretch>
      </xdr:blipFill>
      <xdr:spPr bwMode="auto">
        <a:xfrm>
          <a:off x="1228725" y="41911809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2218</xdr:row>
      <xdr:rowOff>19050</xdr:rowOff>
    </xdr:from>
    <xdr:to>
      <xdr:col>2</xdr:col>
      <xdr:colOff>1733550</xdr:colOff>
      <xdr:row>2218</xdr:row>
      <xdr:rowOff>1666875</xdr:rowOff>
    </xdr:to>
    <xdr:pic>
      <xdr:nvPicPr>
        <xdr:cNvPr id="2218" name="Picture 2217"/>
        <xdr:cNvPicPr>
          <a:picLocks noChangeAspect="1" noChangeArrowheads="1"/>
        </xdr:cNvPicPr>
      </xdr:nvPicPr>
      <xdr:blipFill>
        <a:blip xmlns:r="http://schemas.openxmlformats.org/officeDocument/2006/relationships" r:embed="rId2215">
          <a:extLst>
            <a:ext uri="{28A0092B-C50C-407E-A947-70E740481C1C}">
              <a14:useLocalDpi xmlns:a14="http://schemas.microsoft.com/office/drawing/2010/main" val="0"/>
            </a:ext>
          </a:extLst>
        </a:blip>
        <a:srcRect/>
        <a:stretch>
          <a:fillRect/>
        </a:stretch>
      </xdr:blipFill>
      <xdr:spPr bwMode="auto">
        <a:xfrm>
          <a:off x="1228725" y="4193095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2219</xdr:row>
      <xdr:rowOff>19050</xdr:rowOff>
    </xdr:from>
    <xdr:to>
      <xdr:col>2</xdr:col>
      <xdr:colOff>1733550</xdr:colOff>
      <xdr:row>2219</xdr:row>
      <xdr:rowOff>1666875</xdr:rowOff>
    </xdr:to>
    <xdr:pic>
      <xdr:nvPicPr>
        <xdr:cNvPr id="2219" name="Picture 2218"/>
        <xdr:cNvPicPr>
          <a:picLocks noChangeAspect="1" noChangeArrowheads="1"/>
        </xdr:cNvPicPr>
      </xdr:nvPicPr>
      <xdr:blipFill>
        <a:blip xmlns:r="http://schemas.openxmlformats.org/officeDocument/2006/relationships" r:embed="rId2216">
          <a:extLst>
            <a:ext uri="{28A0092B-C50C-407E-A947-70E740481C1C}">
              <a14:useLocalDpi xmlns:a14="http://schemas.microsoft.com/office/drawing/2010/main" val="0"/>
            </a:ext>
          </a:extLst>
        </a:blip>
        <a:srcRect/>
        <a:stretch>
          <a:fillRect/>
        </a:stretch>
      </xdr:blipFill>
      <xdr:spPr bwMode="auto">
        <a:xfrm>
          <a:off x="1228725" y="4195010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2220</xdr:row>
      <xdr:rowOff>19050</xdr:rowOff>
    </xdr:from>
    <xdr:to>
      <xdr:col>2</xdr:col>
      <xdr:colOff>1733550</xdr:colOff>
      <xdr:row>2220</xdr:row>
      <xdr:rowOff>1666875</xdr:rowOff>
    </xdr:to>
    <xdr:pic>
      <xdr:nvPicPr>
        <xdr:cNvPr id="2220" name="Picture 2219"/>
        <xdr:cNvPicPr>
          <a:picLocks noChangeAspect="1" noChangeArrowheads="1"/>
        </xdr:cNvPicPr>
      </xdr:nvPicPr>
      <xdr:blipFill>
        <a:blip xmlns:r="http://schemas.openxmlformats.org/officeDocument/2006/relationships" r:embed="rId2217">
          <a:extLst>
            <a:ext uri="{28A0092B-C50C-407E-A947-70E740481C1C}">
              <a14:useLocalDpi xmlns:a14="http://schemas.microsoft.com/office/drawing/2010/main" val="0"/>
            </a:ext>
          </a:extLst>
        </a:blip>
        <a:srcRect/>
        <a:stretch>
          <a:fillRect/>
        </a:stretch>
      </xdr:blipFill>
      <xdr:spPr bwMode="auto">
        <a:xfrm>
          <a:off x="1228725" y="4196924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2221</xdr:row>
      <xdr:rowOff>19050</xdr:rowOff>
    </xdr:from>
    <xdr:to>
      <xdr:col>2</xdr:col>
      <xdr:colOff>1733550</xdr:colOff>
      <xdr:row>2221</xdr:row>
      <xdr:rowOff>1666875</xdr:rowOff>
    </xdr:to>
    <xdr:pic>
      <xdr:nvPicPr>
        <xdr:cNvPr id="2221" name="Picture 2220"/>
        <xdr:cNvPicPr>
          <a:picLocks noChangeAspect="1" noChangeArrowheads="1"/>
        </xdr:cNvPicPr>
      </xdr:nvPicPr>
      <xdr:blipFill>
        <a:blip xmlns:r="http://schemas.openxmlformats.org/officeDocument/2006/relationships" r:embed="rId2218">
          <a:extLst>
            <a:ext uri="{28A0092B-C50C-407E-A947-70E740481C1C}">
              <a14:useLocalDpi xmlns:a14="http://schemas.microsoft.com/office/drawing/2010/main" val="0"/>
            </a:ext>
          </a:extLst>
        </a:blip>
        <a:srcRect/>
        <a:stretch>
          <a:fillRect/>
        </a:stretch>
      </xdr:blipFill>
      <xdr:spPr bwMode="auto">
        <a:xfrm>
          <a:off x="1228725" y="4198839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2222</xdr:row>
      <xdr:rowOff>19050</xdr:rowOff>
    </xdr:from>
    <xdr:to>
      <xdr:col>2</xdr:col>
      <xdr:colOff>1733550</xdr:colOff>
      <xdr:row>2222</xdr:row>
      <xdr:rowOff>1666875</xdr:rowOff>
    </xdr:to>
    <xdr:pic>
      <xdr:nvPicPr>
        <xdr:cNvPr id="2222" name="Picture 2221"/>
        <xdr:cNvPicPr>
          <a:picLocks noChangeAspect="1" noChangeArrowheads="1"/>
        </xdr:cNvPicPr>
      </xdr:nvPicPr>
      <xdr:blipFill>
        <a:blip xmlns:r="http://schemas.openxmlformats.org/officeDocument/2006/relationships" r:embed="rId2219">
          <a:extLst>
            <a:ext uri="{28A0092B-C50C-407E-A947-70E740481C1C}">
              <a14:useLocalDpi xmlns:a14="http://schemas.microsoft.com/office/drawing/2010/main" val="0"/>
            </a:ext>
          </a:extLst>
        </a:blip>
        <a:srcRect/>
        <a:stretch>
          <a:fillRect/>
        </a:stretch>
      </xdr:blipFill>
      <xdr:spPr bwMode="auto">
        <a:xfrm>
          <a:off x="1228725" y="4200753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2223</xdr:row>
      <xdr:rowOff>19050</xdr:rowOff>
    </xdr:from>
    <xdr:to>
      <xdr:col>2</xdr:col>
      <xdr:colOff>1733550</xdr:colOff>
      <xdr:row>2223</xdr:row>
      <xdr:rowOff>1666875</xdr:rowOff>
    </xdr:to>
    <xdr:pic>
      <xdr:nvPicPr>
        <xdr:cNvPr id="2223" name="Picture 2222"/>
        <xdr:cNvPicPr>
          <a:picLocks noChangeAspect="1" noChangeArrowheads="1"/>
        </xdr:cNvPicPr>
      </xdr:nvPicPr>
      <xdr:blipFill>
        <a:blip xmlns:r="http://schemas.openxmlformats.org/officeDocument/2006/relationships" r:embed="rId2220">
          <a:extLst>
            <a:ext uri="{28A0092B-C50C-407E-A947-70E740481C1C}">
              <a14:useLocalDpi xmlns:a14="http://schemas.microsoft.com/office/drawing/2010/main" val="0"/>
            </a:ext>
          </a:extLst>
        </a:blip>
        <a:srcRect/>
        <a:stretch>
          <a:fillRect/>
        </a:stretch>
      </xdr:blipFill>
      <xdr:spPr bwMode="auto">
        <a:xfrm>
          <a:off x="1228725" y="4202668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2224</xdr:row>
      <xdr:rowOff>19050</xdr:rowOff>
    </xdr:from>
    <xdr:to>
      <xdr:col>2</xdr:col>
      <xdr:colOff>1733550</xdr:colOff>
      <xdr:row>2224</xdr:row>
      <xdr:rowOff>1666875</xdr:rowOff>
    </xdr:to>
    <xdr:pic>
      <xdr:nvPicPr>
        <xdr:cNvPr id="2224" name="Picture 2223"/>
        <xdr:cNvPicPr>
          <a:picLocks noChangeAspect="1" noChangeArrowheads="1"/>
        </xdr:cNvPicPr>
      </xdr:nvPicPr>
      <xdr:blipFill>
        <a:blip xmlns:r="http://schemas.openxmlformats.org/officeDocument/2006/relationships" r:embed="rId2221">
          <a:extLst>
            <a:ext uri="{28A0092B-C50C-407E-A947-70E740481C1C}">
              <a14:useLocalDpi xmlns:a14="http://schemas.microsoft.com/office/drawing/2010/main" val="0"/>
            </a:ext>
          </a:extLst>
        </a:blip>
        <a:srcRect/>
        <a:stretch>
          <a:fillRect/>
        </a:stretch>
      </xdr:blipFill>
      <xdr:spPr bwMode="auto">
        <a:xfrm>
          <a:off x="1228725" y="4204582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2225</xdr:row>
      <xdr:rowOff>9525</xdr:rowOff>
    </xdr:from>
    <xdr:to>
      <xdr:col>2</xdr:col>
      <xdr:colOff>1733550</xdr:colOff>
      <xdr:row>2225</xdr:row>
      <xdr:rowOff>1200150</xdr:rowOff>
    </xdr:to>
    <xdr:pic>
      <xdr:nvPicPr>
        <xdr:cNvPr id="2225" name="Picture 2224"/>
        <xdr:cNvPicPr>
          <a:picLocks noChangeAspect="1" noChangeArrowheads="1"/>
        </xdr:cNvPicPr>
      </xdr:nvPicPr>
      <xdr:blipFill>
        <a:blip xmlns:r="http://schemas.openxmlformats.org/officeDocument/2006/relationships" r:embed="rId2222">
          <a:extLst>
            <a:ext uri="{28A0092B-C50C-407E-A947-70E740481C1C}">
              <a14:useLocalDpi xmlns:a14="http://schemas.microsoft.com/office/drawing/2010/main" val="0"/>
            </a:ext>
          </a:extLst>
        </a:blip>
        <a:srcRect/>
        <a:stretch>
          <a:fillRect/>
        </a:stretch>
      </xdr:blipFill>
      <xdr:spPr bwMode="auto">
        <a:xfrm>
          <a:off x="1228725" y="4206487650"/>
          <a:ext cx="1724025" cy="1190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2226</xdr:row>
      <xdr:rowOff>9525</xdr:rowOff>
    </xdr:from>
    <xdr:to>
      <xdr:col>2</xdr:col>
      <xdr:colOff>1733550</xdr:colOff>
      <xdr:row>2226</xdr:row>
      <xdr:rowOff>1524000</xdr:rowOff>
    </xdr:to>
    <xdr:pic>
      <xdr:nvPicPr>
        <xdr:cNvPr id="2226" name="Picture 2225"/>
        <xdr:cNvPicPr>
          <a:picLocks noChangeAspect="1" noChangeArrowheads="1"/>
        </xdr:cNvPicPr>
      </xdr:nvPicPr>
      <xdr:blipFill>
        <a:blip xmlns:r="http://schemas.openxmlformats.org/officeDocument/2006/relationships" r:embed="rId2223">
          <a:extLst>
            <a:ext uri="{28A0092B-C50C-407E-A947-70E740481C1C}">
              <a14:useLocalDpi xmlns:a14="http://schemas.microsoft.com/office/drawing/2010/main" val="0"/>
            </a:ext>
          </a:extLst>
        </a:blip>
        <a:srcRect/>
        <a:stretch>
          <a:fillRect/>
        </a:stretch>
      </xdr:blipFill>
      <xdr:spPr bwMode="auto">
        <a:xfrm>
          <a:off x="1228725" y="4207868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2227</xdr:row>
      <xdr:rowOff>9525</xdr:rowOff>
    </xdr:from>
    <xdr:to>
      <xdr:col>2</xdr:col>
      <xdr:colOff>1733550</xdr:colOff>
      <xdr:row>2227</xdr:row>
      <xdr:rowOff>1524000</xdr:rowOff>
    </xdr:to>
    <xdr:pic>
      <xdr:nvPicPr>
        <xdr:cNvPr id="2227" name="Picture 2226"/>
        <xdr:cNvPicPr>
          <a:picLocks noChangeAspect="1" noChangeArrowheads="1"/>
        </xdr:cNvPicPr>
      </xdr:nvPicPr>
      <xdr:blipFill>
        <a:blip xmlns:r="http://schemas.openxmlformats.org/officeDocument/2006/relationships" r:embed="rId2224">
          <a:extLst>
            <a:ext uri="{28A0092B-C50C-407E-A947-70E740481C1C}">
              <a14:useLocalDpi xmlns:a14="http://schemas.microsoft.com/office/drawing/2010/main" val="0"/>
            </a:ext>
          </a:extLst>
        </a:blip>
        <a:srcRect/>
        <a:stretch>
          <a:fillRect/>
        </a:stretch>
      </xdr:blipFill>
      <xdr:spPr bwMode="auto">
        <a:xfrm>
          <a:off x="1228725" y="4209621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2228</xdr:row>
      <xdr:rowOff>9525</xdr:rowOff>
    </xdr:from>
    <xdr:to>
      <xdr:col>2</xdr:col>
      <xdr:colOff>1733550</xdr:colOff>
      <xdr:row>2228</xdr:row>
      <xdr:rowOff>1524000</xdr:rowOff>
    </xdr:to>
    <xdr:pic>
      <xdr:nvPicPr>
        <xdr:cNvPr id="2228" name="Picture 2227"/>
        <xdr:cNvPicPr>
          <a:picLocks noChangeAspect="1" noChangeArrowheads="1"/>
        </xdr:cNvPicPr>
      </xdr:nvPicPr>
      <xdr:blipFill>
        <a:blip xmlns:r="http://schemas.openxmlformats.org/officeDocument/2006/relationships" r:embed="rId2225">
          <a:extLst>
            <a:ext uri="{28A0092B-C50C-407E-A947-70E740481C1C}">
              <a14:useLocalDpi xmlns:a14="http://schemas.microsoft.com/office/drawing/2010/main" val="0"/>
            </a:ext>
          </a:extLst>
        </a:blip>
        <a:srcRect/>
        <a:stretch>
          <a:fillRect/>
        </a:stretch>
      </xdr:blipFill>
      <xdr:spPr bwMode="auto">
        <a:xfrm>
          <a:off x="1228725" y="4211373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2229</xdr:row>
      <xdr:rowOff>9525</xdr:rowOff>
    </xdr:from>
    <xdr:to>
      <xdr:col>2</xdr:col>
      <xdr:colOff>1733550</xdr:colOff>
      <xdr:row>2229</xdr:row>
      <xdr:rowOff>1524000</xdr:rowOff>
    </xdr:to>
    <xdr:pic>
      <xdr:nvPicPr>
        <xdr:cNvPr id="2229" name="Picture 2228"/>
        <xdr:cNvPicPr>
          <a:picLocks noChangeAspect="1" noChangeArrowheads="1"/>
        </xdr:cNvPicPr>
      </xdr:nvPicPr>
      <xdr:blipFill>
        <a:blip xmlns:r="http://schemas.openxmlformats.org/officeDocument/2006/relationships" r:embed="rId2226">
          <a:extLst>
            <a:ext uri="{28A0092B-C50C-407E-A947-70E740481C1C}">
              <a14:useLocalDpi xmlns:a14="http://schemas.microsoft.com/office/drawing/2010/main" val="0"/>
            </a:ext>
          </a:extLst>
        </a:blip>
        <a:srcRect/>
        <a:stretch>
          <a:fillRect/>
        </a:stretch>
      </xdr:blipFill>
      <xdr:spPr bwMode="auto">
        <a:xfrm>
          <a:off x="1228725" y="4213126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2230</xdr:row>
      <xdr:rowOff>19050</xdr:rowOff>
    </xdr:from>
    <xdr:to>
      <xdr:col>2</xdr:col>
      <xdr:colOff>1733550</xdr:colOff>
      <xdr:row>2230</xdr:row>
      <xdr:rowOff>1666875</xdr:rowOff>
    </xdr:to>
    <xdr:pic>
      <xdr:nvPicPr>
        <xdr:cNvPr id="2230" name="Picture 2229"/>
        <xdr:cNvPicPr>
          <a:picLocks noChangeAspect="1" noChangeArrowheads="1"/>
        </xdr:cNvPicPr>
      </xdr:nvPicPr>
      <xdr:blipFill>
        <a:blip xmlns:r="http://schemas.openxmlformats.org/officeDocument/2006/relationships" r:embed="rId2227">
          <a:extLst>
            <a:ext uri="{28A0092B-C50C-407E-A947-70E740481C1C}">
              <a14:useLocalDpi xmlns:a14="http://schemas.microsoft.com/office/drawing/2010/main" val="0"/>
            </a:ext>
          </a:extLst>
        </a:blip>
        <a:srcRect/>
        <a:stretch>
          <a:fillRect/>
        </a:stretch>
      </xdr:blipFill>
      <xdr:spPr bwMode="auto">
        <a:xfrm>
          <a:off x="1228725" y="4214888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2231</xdr:row>
      <xdr:rowOff>9525</xdr:rowOff>
    </xdr:from>
    <xdr:to>
      <xdr:col>2</xdr:col>
      <xdr:colOff>1733550</xdr:colOff>
      <xdr:row>2231</xdr:row>
      <xdr:rowOff>1524000</xdr:rowOff>
    </xdr:to>
    <xdr:pic>
      <xdr:nvPicPr>
        <xdr:cNvPr id="2231" name="Picture 2230"/>
        <xdr:cNvPicPr>
          <a:picLocks noChangeAspect="1" noChangeArrowheads="1"/>
        </xdr:cNvPicPr>
      </xdr:nvPicPr>
      <xdr:blipFill>
        <a:blip xmlns:r="http://schemas.openxmlformats.org/officeDocument/2006/relationships" r:embed="rId2228">
          <a:extLst>
            <a:ext uri="{28A0092B-C50C-407E-A947-70E740481C1C}">
              <a14:useLocalDpi xmlns:a14="http://schemas.microsoft.com/office/drawing/2010/main" val="0"/>
            </a:ext>
          </a:extLst>
        </a:blip>
        <a:srcRect/>
        <a:stretch>
          <a:fillRect/>
        </a:stretch>
      </xdr:blipFill>
      <xdr:spPr bwMode="auto">
        <a:xfrm>
          <a:off x="1228725" y="4216793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2232</xdr:row>
      <xdr:rowOff>19050</xdr:rowOff>
    </xdr:from>
    <xdr:to>
      <xdr:col>2</xdr:col>
      <xdr:colOff>1733550</xdr:colOff>
      <xdr:row>2232</xdr:row>
      <xdr:rowOff>1666875</xdr:rowOff>
    </xdr:to>
    <xdr:pic>
      <xdr:nvPicPr>
        <xdr:cNvPr id="2232" name="Picture 2231"/>
        <xdr:cNvPicPr>
          <a:picLocks noChangeAspect="1" noChangeArrowheads="1"/>
        </xdr:cNvPicPr>
      </xdr:nvPicPr>
      <xdr:blipFill>
        <a:blip xmlns:r="http://schemas.openxmlformats.org/officeDocument/2006/relationships" r:embed="rId2229">
          <a:extLst>
            <a:ext uri="{28A0092B-C50C-407E-A947-70E740481C1C}">
              <a14:useLocalDpi xmlns:a14="http://schemas.microsoft.com/office/drawing/2010/main" val="0"/>
            </a:ext>
          </a:extLst>
        </a:blip>
        <a:srcRect/>
        <a:stretch>
          <a:fillRect/>
        </a:stretch>
      </xdr:blipFill>
      <xdr:spPr bwMode="auto">
        <a:xfrm>
          <a:off x="1228725" y="4218555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2233</xdr:row>
      <xdr:rowOff>9525</xdr:rowOff>
    </xdr:from>
    <xdr:to>
      <xdr:col>2</xdr:col>
      <xdr:colOff>1733550</xdr:colOff>
      <xdr:row>2233</xdr:row>
      <xdr:rowOff>1524000</xdr:rowOff>
    </xdr:to>
    <xdr:pic>
      <xdr:nvPicPr>
        <xdr:cNvPr id="2233" name="Picture 2232"/>
        <xdr:cNvPicPr>
          <a:picLocks noChangeAspect="1" noChangeArrowheads="1"/>
        </xdr:cNvPicPr>
      </xdr:nvPicPr>
      <xdr:blipFill>
        <a:blip xmlns:r="http://schemas.openxmlformats.org/officeDocument/2006/relationships" r:embed="rId2230">
          <a:extLst>
            <a:ext uri="{28A0092B-C50C-407E-A947-70E740481C1C}">
              <a14:useLocalDpi xmlns:a14="http://schemas.microsoft.com/office/drawing/2010/main" val="0"/>
            </a:ext>
          </a:extLst>
        </a:blip>
        <a:srcRect/>
        <a:stretch>
          <a:fillRect/>
        </a:stretch>
      </xdr:blipFill>
      <xdr:spPr bwMode="auto">
        <a:xfrm>
          <a:off x="1228725" y="4220460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2234</xdr:row>
      <xdr:rowOff>19050</xdr:rowOff>
    </xdr:from>
    <xdr:to>
      <xdr:col>2</xdr:col>
      <xdr:colOff>1733550</xdr:colOff>
      <xdr:row>2234</xdr:row>
      <xdr:rowOff>1666875</xdr:rowOff>
    </xdr:to>
    <xdr:pic>
      <xdr:nvPicPr>
        <xdr:cNvPr id="2234" name="Picture 2233"/>
        <xdr:cNvPicPr>
          <a:picLocks noChangeAspect="1" noChangeArrowheads="1"/>
        </xdr:cNvPicPr>
      </xdr:nvPicPr>
      <xdr:blipFill>
        <a:blip xmlns:r="http://schemas.openxmlformats.org/officeDocument/2006/relationships" r:embed="rId2231">
          <a:extLst>
            <a:ext uri="{28A0092B-C50C-407E-A947-70E740481C1C}">
              <a14:useLocalDpi xmlns:a14="http://schemas.microsoft.com/office/drawing/2010/main" val="0"/>
            </a:ext>
          </a:extLst>
        </a:blip>
        <a:srcRect/>
        <a:stretch>
          <a:fillRect/>
        </a:stretch>
      </xdr:blipFill>
      <xdr:spPr bwMode="auto">
        <a:xfrm>
          <a:off x="1228725" y="4222222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2235</xdr:row>
      <xdr:rowOff>9525</xdr:rowOff>
    </xdr:from>
    <xdr:to>
      <xdr:col>2</xdr:col>
      <xdr:colOff>1733550</xdr:colOff>
      <xdr:row>2235</xdr:row>
      <xdr:rowOff>1524000</xdr:rowOff>
    </xdr:to>
    <xdr:pic>
      <xdr:nvPicPr>
        <xdr:cNvPr id="2235" name="Picture 2234"/>
        <xdr:cNvPicPr>
          <a:picLocks noChangeAspect="1" noChangeArrowheads="1"/>
        </xdr:cNvPicPr>
      </xdr:nvPicPr>
      <xdr:blipFill>
        <a:blip xmlns:r="http://schemas.openxmlformats.org/officeDocument/2006/relationships" r:embed="rId2232">
          <a:extLst>
            <a:ext uri="{28A0092B-C50C-407E-A947-70E740481C1C}">
              <a14:useLocalDpi xmlns:a14="http://schemas.microsoft.com/office/drawing/2010/main" val="0"/>
            </a:ext>
          </a:extLst>
        </a:blip>
        <a:srcRect/>
        <a:stretch>
          <a:fillRect/>
        </a:stretch>
      </xdr:blipFill>
      <xdr:spPr bwMode="auto">
        <a:xfrm>
          <a:off x="1228725" y="42241279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2236</xdr:row>
      <xdr:rowOff>9525</xdr:rowOff>
    </xdr:from>
    <xdr:to>
      <xdr:col>2</xdr:col>
      <xdr:colOff>1733550</xdr:colOff>
      <xdr:row>2236</xdr:row>
      <xdr:rowOff>1524000</xdr:rowOff>
    </xdr:to>
    <xdr:pic>
      <xdr:nvPicPr>
        <xdr:cNvPr id="2236" name="Picture 2235"/>
        <xdr:cNvPicPr>
          <a:picLocks noChangeAspect="1" noChangeArrowheads="1"/>
        </xdr:cNvPicPr>
      </xdr:nvPicPr>
      <xdr:blipFill>
        <a:blip xmlns:r="http://schemas.openxmlformats.org/officeDocument/2006/relationships" r:embed="rId2233">
          <a:extLst>
            <a:ext uri="{28A0092B-C50C-407E-A947-70E740481C1C}">
              <a14:useLocalDpi xmlns:a14="http://schemas.microsoft.com/office/drawing/2010/main" val="0"/>
            </a:ext>
          </a:extLst>
        </a:blip>
        <a:srcRect/>
        <a:stretch>
          <a:fillRect/>
        </a:stretch>
      </xdr:blipFill>
      <xdr:spPr bwMode="auto">
        <a:xfrm>
          <a:off x="1228725" y="4225880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2237</xdr:row>
      <xdr:rowOff>9525</xdr:rowOff>
    </xdr:from>
    <xdr:to>
      <xdr:col>2</xdr:col>
      <xdr:colOff>1733550</xdr:colOff>
      <xdr:row>2237</xdr:row>
      <xdr:rowOff>1524000</xdr:rowOff>
    </xdr:to>
    <xdr:pic>
      <xdr:nvPicPr>
        <xdr:cNvPr id="2237" name="Picture 2236"/>
        <xdr:cNvPicPr>
          <a:picLocks noChangeAspect="1" noChangeArrowheads="1"/>
        </xdr:cNvPicPr>
      </xdr:nvPicPr>
      <xdr:blipFill>
        <a:blip xmlns:r="http://schemas.openxmlformats.org/officeDocument/2006/relationships" r:embed="rId2234">
          <a:extLst>
            <a:ext uri="{28A0092B-C50C-407E-A947-70E740481C1C}">
              <a14:useLocalDpi xmlns:a14="http://schemas.microsoft.com/office/drawing/2010/main" val="0"/>
            </a:ext>
          </a:extLst>
        </a:blip>
        <a:srcRect/>
        <a:stretch>
          <a:fillRect/>
        </a:stretch>
      </xdr:blipFill>
      <xdr:spPr bwMode="auto">
        <a:xfrm>
          <a:off x="1228725" y="4227633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2238</xdr:row>
      <xdr:rowOff>9525</xdr:rowOff>
    </xdr:from>
    <xdr:to>
      <xdr:col>2</xdr:col>
      <xdr:colOff>1733550</xdr:colOff>
      <xdr:row>2238</xdr:row>
      <xdr:rowOff>1524000</xdr:rowOff>
    </xdr:to>
    <xdr:pic>
      <xdr:nvPicPr>
        <xdr:cNvPr id="2238" name="Picture 2237"/>
        <xdr:cNvPicPr>
          <a:picLocks noChangeAspect="1" noChangeArrowheads="1"/>
        </xdr:cNvPicPr>
      </xdr:nvPicPr>
      <xdr:blipFill>
        <a:blip xmlns:r="http://schemas.openxmlformats.org/officeDocument/2006/relationships" r:embed="rId2235">
          <a:extLst>
            <a:ext uri="{28A0092B-C50C-407E-A947-70E740481C1C}">
              <a14:useLocalDpi xmlns:a14="http://schemas.microsoft.com/office/drawing/2010/main" val="0"/>
            </a:ext>
          </a:extLst>
        </a:blip>
        <a:srcRect/>
        <a:stretch>
          <a:fillRect/>
        </a:stretch>
      </xdr:blipFill>
      <xdr:spPr bwMode="auto">
        <a:xfrm>
          <a:off x="1228725" y="4229385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2239</xdr:row>
      <xdr:rowOff>19050</xdr:rowOff>
    </xdr:from>
    <xdr:to>
      <xdr:col>2</xdr:col>
      <xdr:colOff>1733550</xdr:colOff>
      <xdr:row>2239</xdr:row>
      <xdr:rowOff>1666875</xdr:rowOff>
    </xdr:to>
    <xdr:pic>
      <xdr:nvPicPr>
        <xdr:cNvPr id="2239" name="Picture 2238"/>
        <xdr:cNvPicPr>
          <a:picLocks noChangeAspect="1" noChangeArrowheads="1"/>
        </xdr:cNvPicPr>
      </xdr:nvPicPr>
      <xdr:blipFill>
        <a:blip xmlns:r="http://schemas.openxmlformats.org/officeDocument/2006/relationships" r:embed="rId2236">
          <a:extLst>
            <a:ext uri="{28A0092B-C50C-407E-A947-70E740481C1C}">
              <a14:useLocalDpi xmlns:a14="http://schemas.microsoft.com/office/drawing/2010/main" val="0"/>
            </a:ext>
          </a:extLst>
        </a:blip>
        <a:srcRect/>
        <a:stretch>
          <a:fillRect/>
        </a:stretch>
      </xdr:blipFill>
      <xdr:spPr bwMode="auto">
        <a:xfrm>
          <a:off x="1228725" y="42311478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2240</xdr:row>
      <xdr:rowOff>19050</xdr:rowOff>
    </xdr:from>
    <xdr:to>
      <xdr:col>2</xdr:col>
      <xdr:colOff>1733550</xdr:colOff>
      <xdr:row>2240</xdr:row>
      <xdr:rowOff>1666875</xdr:rowOff>
    </xdr:to>
    <xdr:pic>
      <xdr:nvPicPr>
        <xdr:cNvPr id="2240" name="Picture 2239"/>
        <xdr:cNvPicPr>
          <a:picLocks noChangeAspect="1" noChangeArrowheads="1"/>
        </xdr:cNvPicPr>
      </xdr:nvPicPr>
      <xdr:blipFill>
        <a:blip xmlns:r="http://schemas.openxmlformats.org/officeDocument/2006/relationships" r:embed="rId2237">
          <a:extLst>
            <a:ext uri="{28A0092B-C50C-407E-A947-70E740481C1C}">
              <a14:useLocalDpi xmlns:a14="http://schemas.microsoft.com/office/drawing/2010/main" val="0"/>
            </a:ext>
          </a:extLst>
        </a:blip>
        <a:srcRect/>
        <a:stretch>
          <a:fillRect/>
        </a:stretch>
      </xdr:blipFill>
      <xdr:spPr bwMode="auto">
        <a:xfrm>
          <a:off x="1228725" y="423306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2241</xdr:row>
      <xdr:rowOff>9525</xdr:rowOff>
    </xdr:from>
    <xdr:to>
      <xdr:col>2</xdr:col>
      <xdr:colOff>1733550</xdr:colOff>
      <xdr:row>2241</xdr:row>
      <xdr:rowOff>1524000</xdr:rowOff>
    </xdr:to>
    <xdr:pic>
      <xdr:nvPicPr>
        <xdr:cNvPr id="2241" name="Picture 2240"/>
        <xdr:cNvPicPr>
          <a:picLocks noChangeAspect="1" noChangeArrowheads="1"/>
        </xdr:cNvPicPr>
      </xdr:nvPicPr>
      <xdr:blipFill>
        <a:blip xmlns:r="http://schemas.openxmlformats.org/officeDocument/2006/relationships" r:embed="rId2238">
          <a:extLst>
            <a:ext uri="{28A0092B-C50C-407E-A947-70E740481C1C}">
              <a14:useLocalDpi xmlns:a14="http://schemas.microsoft.com/office/drawing/2010/main" val="0"/>
            </a:ext>
          </a:extLst>
        </a:blip>
        <a:srcRect/>
        <a:stretch>
          <a:fillRect/>
        </a:stretch>
      </xdr:blipFill>
      <xdr:spPr bwMode="auto">
        <a:xfrm>
          <a:off x="1228725" y="4234967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2242</xdr:row>
      <xdr:rowOff>19050</xdr:rowOff>
    </xdr:from>
    <xdr:to>
      <xdr:col>2</xdr:col>
      <xdr:colOff>1733550</xdr:colOff>
      <xdr:row>2242</xdr:row>
      <xdr:rowOff>1666875</xdr:rowOff>
    </xdr:to>
    <xdr:pic>
      <xdr:nvPicPr>
        <xdr:cNvPr id="2242" name="Picture 2241"/>
        <xdr:cNvPicPr>
          <a:picLocks noChangeAspect="1" noChangeArrowheads="1"/>
        </xdr:cNvPicPr>
      </xdr:nvPicPr>
      <xdr:blipFill>
        <a:blip xmlns:r="http://schemas.openxmlformats.org/officeDocument/2006/relationships" r:embed="rId2239">
          <a:extLst>
            <a:ext uri="{28A0092B-C50C-407E-A947-70E740481C1C}">
              <a14:useLocalDpi xmlns:a14="http://schemas.microsoft.com/office/drawing/2010/main" val="0"/>
            </a:ext>
          </a:extLst>
        </a:blip>
        <a:srcRect/>
        <a:stretch>
          <a:fillRect/>
        </a:stretch>
      </xdr:blipFill>
      <xdr:spPr bwMode="auto">
        <a:xfrm>
          <a:off x="1228725" y="4236729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2243</xdr:row>
      <xdr:rowOff>9525</xdr:rowOff>
    </xdr:from>
    <xdr:to>
      <xdr:col>2</xdr:col>
      <xdr:colOff>1733550</xdr:colOff>
      <xdr:row>2243</xdr:row>
      <xdr:rowOff>1419225</xdr:rowOff>
    </xdr:to>
    <xdr:pic>
      <xdr:nvPicPr>
        <xdr:cNvPr id="2243" name="Picture 2242"/>
        <xdr:cNvPicPr>
          <a:picLocks noChangeAspect="1" noChangeArrowheads="1"/>
        </xdr:cNvPicPr>
      </xdr:nvPicPr>
      <xdr:blipFill>
        <a:blip xmlns:r="http://schemas.openxmlformats.org/officeDocument/2006/relationships" r:embed="rId2240">
          <a:extLst>
            <a:ext uri="{28A0092B-C50C-407E-A947-70E740481C1C}">
              <a14:useLocalDpi xmlns:a14="http://schemas.microsoft.com/office/drawing/2010/main" val="0"/>
            </a:ext>
          </a:extLst>
        </a:blip>
        <a:srcRect/>
        <a:stretch>
          <a:fillRect/>
        </a:stretch>
      </xdr:blipFill>
      <xdr:spPr bwMode="auto">
        <a:xfrm>
          <a:off x="1228725" y="4238634525"/>
          <a:ext cx="1724025" cy="1409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2244</xdr:row>
      <xdr:rowOff>19050</xdr:rowOff>
    </xdr:from>
    <xdr:to>
      <xdr:col>2</xdr:col>
      <xdr:colOff>1733550</xdr:colOff>
      <xdr:row>2244</xdr:row>
      <xdr:rowOff>1666875</xdr:rowOff>
    </xdr:to>
    <xdr:pic>
      <xdr:nvPicPr>
        <xdr:cNvPr id="2244" name="Picture 2243"/>
        <xdr:cNvPicPr>
          <a:picLocks noChangeAspect="1" noChangeArrowheads="1"/>
        </xdr:cNvPicPr>
      </xdr:nvPicPr>
      <xdr:blipFill>
        <a:blip xmlns:r="http://schemas.openxmlformats.org/officeDocument/2006/relationships" r:embed="rId2241">
          <a:extLst>
            <a:ext uri="{28A0092B-C50C-407E-A947-70E740481C1C}">
              <a14:useLocalDpi xmlns:a14="http://schemas.microsoft.com/office/drawing/2010/main" val="0"/>
            </a:ext>
          </a:extLst>
        </a:blip>
        <a:srcRect/>
        <a:stretch>
          <a:fillRect/>
        </a:stretch>
      </xdr:blipFill>
      <xdr:spPr bwMode="auto">
        <a:xfrm>
          <a:off x="1228725" y="42402823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2245</xdr:row>
      <xdr:rowOff>9525</xdr:rowOff>
    </xdr:from>
    <xdr:to>
      <xdr:col>2</xdr:col>
      <xdr:colOff>1733550</xdr:colOff>
      <xdr:row>2245</xdr:row>
      <xdr:rowOff>1524000</xdr:rowOff>
    </xdr:to>
    <xdr:pic>
      <xdr:nvPicPr>
        <xdr:cNvPr id="2245" name="Picture 2244"/>
        <xdr:cNvPicPr>
          <a:picLocks noChangeAspect="1" noChangeArrowheads="1"/>
        </xdr:cNvPicPr>
      </xdr:nvPicPr>
      <xdr:blipFill>
        <a:blip xmlns:r="http://schemas.openxmlformats.org/officeDocument/2006/relationships" r:embed="rId2242">
          <a:extLst>
            <a:ext uri="{28A0092B-C50C-407E-A947-70E740481C1C}">
              <a14:useLocalDpi xmlns:a14="http://schemas.microsoft.com/office/drawing/2010/main" val="0"/>
            </a:ext>
          </a:extLst>
        </a:blip>
        <a:srcRect/>
        <a:stretch>
          <a:fillRect/>
        </a:stretch>
      </xdr:blipFill>
      <xdr:spPr bwMode="auto">
        <a:xfrm>
          <a:off x="1228725" y="4242187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2246</xdr:row>
      <xdr:rowOff>19050</xdr:rowOff>
    </xdr:from>
    <xdr:to>
      <xdr:col>2</xdr:col>
      <xdr:colOff>1733550</xdr:colOff>
      <xdr:row>2246</xdr:row>
      <xdr:rowOff>1666875</xdr:rowOff>
    </xdr:to>
    <xdr:pic>
      <xdr:nvPicPr>
        <xdr:cNvPr id="2246" name="Picture 2245"/>
        <xdr:cNvPicPr>
          <a:picLocks noChangeAspect="1" noChangeArrowheads="1"/>
        </xdr:cNvPicPr>
      </xdr:nvPicPr>
      <xdr:blipFill>
        <a:blip xmlns:r="http://schemas.openxmlformats.org/officeDocument/2006/relationships" r:embed="rId2243">
          <a:extLst>
            <a:ext uri="{28A0092B-C50C-407E-A947-70E740481C1C}">
              <a14:useLocalDpi xmlns:a14="http://schemas.microsoft.com/office/drawing/2010/main" val="0"/>
            </a:ext>
          </a:extLst>
        </a:blip>
        <a:srcRect/>
        <a:stretch>
          <a:fillRect/>
        </a:stretch>
      </xdr:blipFill>
      <xdr:spPr bwMode="auto">
        <a:xfrm>
          <a:off x="1228725" y="424394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2247</xdr:row>
      <xdr:rowOff>19050</xdr:rowOff>
    </xdr:from>
    <xdr:to>
      <xdr:col>2</xdr:col>
      <xdr:colOff>1733550</xdr:colOff>
      <xdr:row>2247</xdr:row>
      <xdr:rowOff>1666875</xdr:rowOff>
    </xdr:to>
    <xdr:pic>
      <xdr:nvPicPr>
        <xdr:cNvPr id="2247" name="Picture 2246"/>
        <xdr:cNvPicPr>
          <a:picLocks noChangeAspect="1" noChangeArrowheads="1"/>
        </xdr:cNvPicPr>
      </xdr:nvPicPr>
      <xdr:blipFill>
        <a:blip xmlns:r="http://schemas.openxmlformats.org/officeDocument/2006/relationships" r:embed="rId2244">
          <a:extLst>
            <a:ext uri="{28A0092B-C50C-407E-A947-70E740481C1C}">
              <a14:useLocalDpi xmlns:a14="http://schemas.microsoft.com/office/drawing/2010/main" val="0"/>
            </a:ext>
          </a:extLst>
        </a:blip>
        <a:srcRect/>
        <a:stretch>
          <a:fillRect/>
        </a:stretch>
      </xdr:blipFill>
      <xdr:spPr bwMode="auto">
        <a:xfrm>
          <a:off x="1228725" y="4245864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2248</xdr:row>
      <xdr:rowOff>19050</xdr:rowOff>
    </xdr:from>
    <xdr:to>
      <xdr:col>2</xdr:col>
      <xdr:colOff>1733550</xdr:colOff>
      <xdr:row>2248</xdr:row>
      <xdr:rowOff>1666875</xdr:rowOff>
    </xdr:to>
    <xdr:pic>
      <xdr:nvPicPr>
        <xdr:cNvPr id="2248" name="Picture 2247"/>
        <xdr:cNvPicPr>
          <a:picLocks noChangeAspect="1" noChangeArrowheads="1"/>
        </xdr:cNvPicPr>
      </xdr:nvPicPr>
      <xdr:blipFill>
        <a:blip xmlns:r="http://schemas.openxmlformats.org/officeDocument/2006/relationships" r:embed="rId2245">
          <a:extLst>
            <a:ext uri="{28A0092B-C50C-407E-A947-70E740481C1C}">
              <a14:useLocalDpi xmlns:a14="http://schemas.microsoft.com/office/drawing/2010/main" val="0"/>
            </a:ext>
          </a:extLst>
        </a:blip>
        <a:srcRect/>
        <a:stretch>
          <a:fillRect/>
        </a:stretch>
      </xdr:blipFill>
      <xdr:spPr bwMode="auto">
        <a:xfrm>
          <a:off x="1228725" y="42477785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2249</xdr:row>
      <xdr:rowOff>19050</xdr:rowOff>
    </xdr:from>
    <xdr:to>
      <xdr:col>2</xdr:col>
      <xdr:colOff>1733550</xdr:colOff>
      <xdr:row>2249</xdr:row>
      <xdr:rowOff>1666875</xdr:rowOff>
    </xdr:to>
    <xdr:pic>
      <xdr:nvPicPr>
        <xdr:cNvPr id="2249" name="Picture 2248"/>
        <xdr:cNvPicPr>
          <a:picLocks noChangeAspect="1" noChangeArrowheads="1"/>
        </xdr:cNvPicPr>
      </xdr:nvPicPr>
      <xdr:blipFill>
        <a:blip xmlns:r="http://schemas.openxmlformats.org/officeDocument/2006/relationships" r:embed="rId2246">
          <a:extLst>
            <a:ext uri="{28A0092B-C50C-407E-A947-70E740481C1C}">
              <a14:useLocalDpi xmlns:a14="http://schemas.microsoft.com/office/drawing/2010/main" val="0"/>
            </a:ext>
          </a:extLst>
        </a:blip>
        <a:srcRect/>
        <a:stretch>
          <a:fillRect/>
        </a:stretch>
      </xdr:blipFill>
      <xdr:spPr bwMode="auto">
        <a:xfrm>
          <a:off x="1228725" y="42496930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2250</xdr:row>
      <xdr:rowOff>19050</xdr:rowOff>
    </xdr:from>
    <xdr:to>
      <xdr:col>2</xdr:col>
      <xdr:colOff>1733550</xdr:colOff>
      <xdr:row>2250</xdr:row>
      <xdr:rowOff>1666875</xdr:rowOff>
    </xdr:to>
    <xdr:pic>
      <xdr:nvPicPr>
        <xdr:cNvPr id="2250" name="Picture 2249"/>
        <xdr:cNvPicPr>
          <a:picLocks noChangeAspect="1" noChangeArrowheads="1"/>
        </xdr:cNvPicPr>
      </xdr:nvPicPr>
      <xdr:blipFill>
        <a:blip xmlns:r="http://schemas.openxmlformats.org/officeDocument/2006/relationships" r:embed="rId2247">
          <a:extLst>
            <a:ext uri="{28A0092B-C50C-407E-A947-70E740481C1C}">
              <a14:useLocalDpi xmlns:a14="http://schemas.microsoft.com/office/drawing/2010/main" val="0"/>
            </a:ext>
          </a:extLst>
        </a:blip>
        <a:srcRect/>
        <a:stretch>
          <a:fillRect/>
        </a:stretch>
      </xdr:blipFill>
      <xdr:spPr bwMode="auto">
        <a:xfrm>
          <a:off x="1228725" y="42516075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2251</xdr:row>
      <xdr:rowOff>19050</xdr:rowOff>
    </xdr:from>
    <xdr:to>
      <xdr:col>2</xdr:col>
      <xdr:colOff>1733550</xdr:colOff>
      <xdr:row>2251</xdr:row>
      <xdr:rowOff>1666875</xdr:rowOff>
    </xdr:to>
    <xdr:pic>
      <xdr:nvPicPr>
        <xdr:cNvPr id="2251" name="Picture 2250"/>
        <xdr:cNvPicPr>
          <a:picLocks noChangeAspect="1" noChangeArrowheads="1"/>
        </xdr:cNvPicPr>
      </xdr:nvPicPr>
      <xdr:blipFill>
        <a:blip xmlns:r="http://schemas.openxmlformats.org/officeDocument/2006/relationships" r:embed="rId2248">
          <a:extLst>
            <a:ext uri="{28A0092B-C50C-407E-A947-70E740481C1C}">
              <a14:useLocalDpi xmlns:a14="http://schemas.microsoft.com/office/drawing/2010/main" val="0"/>
            </a:ext>
          </a:extLst>
        </a:blip>
        <a:srcRect/>
        <a:stretch>
          <a:fillRect/>
        </a:stretch>
      </xdr:blipFill>
      <xdr:spPr bwMode="auto">
        <a:xfrm>
          <a:off x="1228725" y="4253522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2252</xdr:row>
      <xdr:rowOff>9525</xdr:rowOff>
    </xdr:from>
    <xdr:to>
      <xdr:col>2</xdr:col>
      <xdr:colOff>1733550</xdr:colOff>
      <xdr:row>2252</xdr:row>
      <xdr:rowOff>1524000</xdr:rowOff>
    </xdr:to>
    <xdr:pic>
      <xdr:nvPicPr>
        <xdr:cNvPr id="2252" name="Picture 2251"/>
        <xdr:cNvPicPr>
          <a:picLocks noChangeAspect="1" noChangeArrowheads="1"/>
        </xdr:cNvPicPr>
      </xdr:nvPicPr>
      <xdr:blipFill>
        <a:blip xmlns:r="http://schemas.openxmlformats.org/officeDocument/2006/relationships" r:embed="rId2249">
          <a:extLst>
            <a:ext uri="{28A0092B-C50C-407E-A947-70E740481C1C}">
              <a14:useLocalDpi xmlns:a14="http://schemas.microsoft.com/office/drawing/2010/main" val="0"/>
            </a:ext>
          </a:extLst>
        </a:blip>
        <a:srcRect/>
        <a:stretch>
          <a:fillRect/>
        </a:stretch>
      </xdr:blipFill>
      <xdr:spPr bwMode="auto">
        <a:xfrm>
          <a:off x="1228725" y="4255427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2253</xdr:row>
      <xdr:rowOff>9525</xdr:rowOff>
    </xdr:from>
    <xdr:to>
      <xdr:col>2</xdr:col>
      <xdr:colOff>1733550</xdr:colOff>
      <xdr:row>2253</xdr:row>
      <xdr:rowOff>1524000</xdr:rowOff>
    </xdr:to>
    <xdr:pic>
      <xdr:nvPicPr>
        <xdr:cNvPr id="2253" name="Picture 2252"/>
        <xdr:cNvPicPr>
          <a:picLocks noChangeAspect="1" noChangeArrowheads="1"/>
        </xdr:cNvPicPr>
      </xdr:nvPicPr>
      <xdr:blipFill>
        <a:blip xmlns:r="http://schemas.openxmlformats.org/officeDocument/2006/relationships" r:embed="rId2250">
          <a:extLst>
            <a:ext uri="{28A0092B-C50C-407E-A947-70E740481C1C}">
              <a14:useLocalDpi xmlns:a14="http://schemas.microsoft.com/office/drawing/2010/main" val="0"/>
            </a:ext>
          </a:extLst>
        </a:blip>
        <a:srcRect/>
        <a:stretch>
          <a:fillRect/>
        </a:stretch>
      </xdr:blipFill>
      <xdr:spPr bwMode="auto">
        <a:xfrm>
          <a:off x="1228725" y="4257179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2254</xdr:row>
      <xdr:rowOff>19050</xdr:rowOff>
    </xdr:from>
    <xdr:to>
      <xdr:col>2</xdr:col>
      <xdr:colOff>1733550</xdr:colOff>
      <xdr:row>2254</xdr:row>
      <xdr:rowOff>1733550</xdr:rowOff>
    </xdr:to>
    <xdr:pic>
      <xdr:nvPicPr>
        <xdr:cNvPr id="2254" name="Picture 2253"/>
        <xdr:cNvPicPr>
          <a:picLocks noChangeAspect="1" noChangeArrowheads="1"/>
        </xdr:cNvPicPr>
      </xdr:nvPicPr>
      <xdr:blipFill>
        <a:blip xmlns:r="http://schemas.openxmlformats.org/officeDocument/2006/relationships" r:embed="rId2251">
          <a:extLst>
            <a:ext uri="{28A0092B-C50C-407E-A947-70E740481C1C}">
              <a14:useLocalDpi xmlns:a14="http://schemas.microsoft.com/office/drawing/2010/main" val="0"/>
            </a:ext>
          </a:extLst>
        </a:blip>
        <a:srcRect/>
        <a:stretch>
          <a:fillRect/>
        </a:stretch>
      </xdr:blipFill>
      <xdr:spPr bwMode="auto">
        <a:xfrm>
          <a:off x="1228725" y="4258941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2255</xdr:row>
      <xdr:rowOff>19050</xdr:rowOff>
    </xdr:from>
    <xdr:to>
      <xdr:col>2</xdr:col>
      <xdr:colOff>1733550</xdr:colOff>
      <xdr:row>2255</xdr:row>
      <xdr:rowOff>1666875</xdr:rowOff>
    </xdr:to>
    <xdr:pic>
      <xdr:nvPicPr>
        <xdr:cNvPr id="2255" name="Picture 2254"/>
        <xdr:cNvPicPr>
          <a:picLocks noChangeAspect="1" noChangeArrowheads="1"/>
        </xdr:cNvPicPr>
      </xdr:nvPicPr>
      <xdr:blipFill>
        <a:blip xmlns:r="http://schemas.openxmlformats.org/officeDocument/2006/relationships" r:embed="rId2252">
          <a:extLst>
            <a:ext uri="{28A0092B-C50C-407E-A947-70E740481C1C}">
              <a14:useLocalDpi xmlns:a14="http://schemas.microsoft.com/office/drawing/2010/main" val="0"/>
            </a:ext>
          </a:extLst>
        </a:blip>
        <a:srcRect/>
        <a:stretch>
          <a:fillRect/>
        </a:stretch>
      </xdr:blipFill>
      <xdr:spPr bwMode="auto">
        <a:xfrm>
          <a:off x="1228725" y="4260942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2256</xdr:row>
      <xdr:rowOff>19050</xdr:rowOff>
    </xdr:from>
    <xdr:to>
      <xdr:col>2</xdr:col>
      <xdr:colOff>1733550</xdr:colOff>
      <xdr:row>2256</xdr:row>
      <xdr:rowOff>1666875</xdr:rowOff>
    </xdr:to>
    <xdr:pic>
      <xdr:nvPicPr>
        <xdr:cNvPr id="2256" name="Picture 2255"/>
        <xdr:cNvPicPr>
          <a:picLocks noChangeAspect="1" noChangeArrowheads="1"/>
        </xdr:cNvPicPr>
      </xdr:nvPicPr>
      <xdr:blipFill>
        <a:blip xmlns:r="http://schemas.openxmlformats.org/officeDocument/2006/relationships" r:embed="rId2253">
          <a:extLst>
            <a:ext uri="{28A0092B-C50C-407E-A947-70E740481C1C}">
              <a14:useLocalDpi xmlns:a14="http://schemas.microsoft.com/office/drawing/2010/main" val="0"/>
            </a:ext>
          </a:extLst>
        </a:blip>
        <a:srcRect/>
        <a:stretch>
          <a:fillRect/>
        </a:stretch>
      </xdr:blipFill>
      <xdr:spPr bwMode="auto">
        <a:xfrm>
          <a:off x="1228725" y="4262856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2257</xdr:row>
      <xdr:rowOff>9525</xdr:rowOff>
    </xdr:from>
    <xdr:to>
      <xdr:col>2</xdr:col>
      <xdr:colOff>1733550</xdr:colOff>
      <xdr:row>2257</xdr:row>
      <xdr:rowOff>1524000</xdr:rowOff>
    </xdr:to>
    <xdr:pic>
      <xdr:nvPicPr>
        <xdr:cNvPr id="2257" name="Picture 2256"/>
        <xdr:cNvPicPr>
          <a:picLocks noChangeAspect="1" noChangeArrowheads="1"/>
        </xdr:cNvPicPr>
      </xdr:nvPicPr>
      <xdr:blipFill>
        <a:blip xmlns:r="http://schemas.openxmlformats.org/officeDocument/2006/relationships" r:embed="rId2254">
          <a:extLst>
            <a:ext uri="{28A0092B-C50C-407E-A947-70E740481C1C}">
              <a14:useLocalDpi xmlns:a14="http://schemas.microsoft.com/office/drawing/2010/main" val="0"/>
            </a:ext>
          </a:extLst>
        </a:blip>
        <a:srcRect/>
        <a:stretch>
          <a:fillRect/>
        </a:stretch>
      </xdr:blipFill>
      <xdr:spPr bwMode="auto">
        <a:xfrm>
          <a:off x="1228725" y="4264761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2258</xdr:row>
      <xdr:rowOff>9525</xdr:rowOff>
    </xdr:from>
    <xdr:to>
      <xdr:col>2</xdr:col>
      <xdr:colOff>1733550</xdr:colOff>
      <xdr:row>2258</xdr:row>
      <xdr:rowOff>1524000</xdr:rowOff>
    </xdr:to>
    <xdr:pic>
      <xdr:nvPicPr>
        <xdr:cNvPr id="2258" name="Picture 2257"/>
        <xdr:cNvPicPr>
          <a:picLocks noChangeAspect="1" noChangeArrowheads="1"/>
        </xdr:cNvPicPr>
      </xdr:nvPicPr>
      <xdr:blipFill>
        <a:blip xmlns:r="http://schemas.openxmlformats.org/officeDocument/2006/relationships" r:embed="rId2255">
          <a:extLst>
            <a:ext uri="{28A0092B-C50C-407E-A947-70E740481C1C}">
              <a14:useLocalDpi xmlns:a14="http://schemas.microsoft.com/office/drawing/2010/main" val="0"/>
            </a:ext>
          </a:extLst>
        </a:blip>
        <a:srcRect/>
        <a:stretch>
          <a:fillRect/>
        </a:stretch>
      </xdr:blipFill>
      <xdr:spPr bwMode="auto">
        <a:xfrm>
          <a:off x="1228725" y="4266514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2259</xdr:row>
      <xdr:rowOff>19050</xdr:rowOff>
    </xdr:from>
    <xdr:to>
      <xdr:col>2</xdr:col>
      <xdr:colOff>1733550</xdr:colOff>
      <xdr:row>2259</xdr:row>
      <xdr:rowOff>1666875</xdr:rowOff>
    </xdr:to>
    <xdr:pic>
      <xdr:nvPicPr>
        <xdr:cNvPr id="2259" name="Picture 2258"/>
        <xdr:cNvPicPr>
          <a:picLocks noChangeAspect="1" noChangeArrowheads="1"/>
        </xdr:cNvPicPr>
      </xdr:nvPicPr>
      <xdr:blipFill>
        <a:blip xmlns:r="http://schemas.openxmlformats.org/officeDocument/2006/relationships" r:embed="rId2256">
          <a:extLst>
            <a:ext uri="{28A0092B-C50C-407E-A947-70E740481C1C}">
              <a14:useLocalDpi xmlns:a14="http://schemas.microsoft.com/office/drawing/2010/main" val="0"/>
            </a:ext>
          </a:extLst>
        </a:blip>
        <a:srcRect/>
        <a:stretch>
          <a:fillRect/>
        </a:stretch>
      </xdr:blipFill>
      <xdr:spPr bwMode="auto">
        <a:xfrm>
          <a:off x="1228725" y="42682763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2260</xdr:row>
      <xdr:rowOff>19050</xdr:rowOff>
    </xdr:from>
    <xdr:to>
      <xdr:col>2</xdr:col>
      <xdr:colOff>1733550</xdr:colOff>
      <xdr:row>2260</xdr:row>
      <xdr:rowOff>1666875</xdr:rowOff>
    </xdr:to>
    <xdr:pic>
      <xdr:nvPicPr>
        <xdr:cNvPr id="2260" name="Picture 2259"/>
        <xdr:cNvPicPr>
          <a:picLocks noChangeAspect="1" noChangeArrowheads="1"/>
        </xdr:cNvPicPr>
      </xdr:nvPicPr>
      <xdr:blipFill>
        <a:blip xmlns:r="http://schemas.openxmlformats.org/officeDocument/2006/relationships" r:embed="rId2257">
          <a:extLst>
            <a:ext uri="{28A0092B-C50C-407E-A947-70E740481C1C}">
              <a14:useLocalDpi xmlns:a14="http://schemas.microsoft.com/office/drawing/2010/main" val="0"/>
            </a:ext>
          </a:extLst>
        </a:blip>
        <a:srcRect/>
        <a:stretch>
          <a:fillRect/>
        </a:stretch>
      </xdr:blipFill>
      <xdr:spPr bwMode="auto">
        <a:xfrm>
          <a:off x="1228725" y="4270190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2262</xdr:row>
      <xdr:rowOff>19050</xdr:rowOff>
    </xdr:from>
    <xdr:to>
      <xdr:col>2</xdr:col>
      <xdr:colOff>1733550</xdr:colOff>
      <xdr:row>2262</xdr:row>
      <xdr:rowOff>1733550</xdr:rowOff>
    </xdr:to>
    <xdr:pic>
      <xdr:nvPicPr>
        <xdr:cNvPr id="2261" name="Picture 2260"/>
        <xdr:cNvPicPr>
          <a:picLocks noChangeAspect="1" noChangeArrowheads="1"/>
        </xdr:cNvPicPr>
      </xdr:nvPicPr>
      <xdr:blipFill>
        <a:blip xmlns:r="http://schemas.openxmlformats.org/officeDocument/2006/relationships" r:embed="rId2258">
          <a:extLst>
            <a:ext uri="{28A0092B-C50C-407E-A947-70E740481C1C}">
              <a14:useLocalDpi xmlns:a14="http://schemas.microsoft.com/office/drawing/2010/main" val="0"/>
            </a:ext>
          </a:extLst>
        </a:blip>
        <a:srcRect/>
        <a:stretch>
          <a:fillRect/>
        </a:stretch>
      </xdr:blipFill>
      <xdr:spPr bwMode="auto">
        <a:xfrm>
          <a:off x="1228725" y="42727530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2263</xdr:row>
      <xdr:rowOff>9525</xdr:rowOff>
    </xdr:from>
    <xdr:to>
      <xdr:col>2</xdr:col>
      <xdr:colOff>1733550</xdr:colOff>
      <xdr:row>2263</xdr:row>
      <xdr:rowOff>1524000</xdr:rowOff>
    </xdr:to>
    <xdr:pic>
      <xdr:nvPicPr>
        <xdr:cNvPr id="2262" name="Picture 2261"/>
        <xdr:cNvPicPr>
          <a:picLocks noChangeAspect="1" noChangeArrowheads="1"/>
        </xdr:cNvPicPr>
      </xdr:nvPicPr>
      <xdr:blipFill>
        <a:blip xmlns:r="http://schemas.openxmlformats.org/officeDocument/2006/relationships" r:embed="rId2259">
          <a:extLst>
            <a:ext uri="{28A0092B-C50C-407E-A947-70E740481C1C}">
              <a14:useLocalDpi xmlns:a14="http://schemas.microsoft.com/office/drawing/2010/main" val="0"/>
            </a:ext>
          </a:extLst>
        </a:blip>
        <a:srcRect/>
        <a:stretch>
          <a:fillRect/>
        </a:stretch>
      </xdr:blipFill>
      <xdr:spPr bwMode="auto">
        <a:xfrm>
          <a:off x="1228725" y="4274743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2264</xdr:row>
      <xdr:rowOff>19050</xdr:rowOff>
    </xdr:from>
    <xdr:to>
      <xdr:col>2</xdr:col>
      <xdr:colOff>1733550</xdr:colOff>
      <xdr:row>2264</xdr:row>
      <xdr:rowOff>1666875</xdr:rowOff>
    </xdr:to>
    <xdr:pic>
      <xdr:nvPicPr>
        <xdr:cNvPr id="2263" name="Picture 2262"/>
        <xdr:cNvPicPr>
          <a:picLocks noChangeAspect="1" noChangeArrowheads="1"/>
        </xdr:cNvPicPr>
      </xdr:nvPicPr>
      <xdr:blipFill>
        <a:blip xmlns:r="http://schemas.openxmlformats.org/officeDocument/2006/relationships" r:embed="rId2260">
          <a:extLst>
            <a:ext uri="{28A0092B-C50C-407E-A947-70E740481C1C}">
              <a14:useLocalDpi xmlns:a14="http://schemas.microsoft.com/office/drawing/2010/main" val="0"/>
            </a:ext>
          </a:extLst>
        </a:blip>
        <a:srcRect/>
        <a:stretch>
          <a:fillRect/>
        </a:stretch>
      </xdr:blipFill>
      <xdr:spPr bwMode="auto">
        <a:xfrm>
          <a:off x="1228725" y="4276505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2265</xdr:row>
      <xdr:rowOff>19050</xdr:rowOff>
    </xdr:from>
    <xdr:to>
      <xdr:col>2</xdr:col>
      <xdr:colOff>1733550</xdr:colOff>
      <xdr:row>2265</xdr:row>
      <xdr:rowOff>1666875</xdr:rowOff>
    </xdr:to>
    <xdr:pic>
      <xdr:nvPicPr>
        <xdr:cNvPr id="2264" name="Picture 2263"/>
        <xdr:cNvPicPr>
          <a:picLocks noChangeAspect="1" noChangeArrowheads="1"/>
        </xdr:cNvPicPr>
      </xdr:nvPicPr>
      <xdr:blipFill>
        <a:blip xmlns:r="http://schemas.openxmlformats.org/officeDocument/2006/relationships" r:embed="rId2261">
          <a:extLst>
            <a:ext uri="{28A0092B-C50C-407E-A947-70E740481C1C}">
              <a14:useLocalDpi xmlns:a14="http://schemas.microsoft.com/office/drawing/2010/main" val="0"/>
            </a:ext>
          </a:extLst>
        </a:blip>
        <a:srcRect/>
        <a:stretch>
          <a:fillRect/>
        </a:stretch>
      </xdr:blipFill>
      <xdr:spPr bwMode="auto">
        <a:xfrm>
          <a:off x="1228725" y="4278420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2266</xdr:row>
      <xdr:rowOff>19050</xdr:rowOff>
    </xdr:from>
    <xdr:to>
      <xdr:col>2</xdr:col>
      <xdr:colOff>1733550</xdr:colOff>
      <xdr:row>2266</xdr:row>
      <xdr:rowOff>1638300</xdr:rowOff>
    </xdr:to>
    <xdr:pic>
      <xdr:nvPicPr>
        <xdr:cNvPr id="2265" name="Picture 2264"/>
        <xdr:cNvPicPr>
          <a:picLocks noChangeAspect="1" noChangeArrowheads="1"/>
        </xdr:cNvPicPr>
      </xdr:nvPicPr>
      <xdr:blipFill>
        <a:blip xmlns:r="http://schemas.openxmlformats.org/officeDocument/2006/relationships" r:embed="rId2262">
          <a:extLst>
            <a:ext uri="{28A0092B-C50C-407E-A947-70E740481C1C}">
              <a14:useLocalDpi xmlns:a14="http://schemas.microsoft.com/office/drawing/2010/main" val="0"/>
            </a:ext>
          </a:extLst>
        </a:blip>
        <a:srcRect/>
        <a:stretch>
          <a:fillRect/>
        </a:stretch>
      </xdr:blipFill>
      <xdr:spPr bwMode="auto">
        <a:xfrm>
          <a:off x="1228725" y="4280334975"/>
          <a:ext cx="1724025" cy="1619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2267</xdr:row>
      <xdr:rowOff>9525</xdr:rowOff>
    </xdr:from>
    <xdr:to>
      <xdr:col>2</xdr:col>
      <xdr:colOff>1733550</xdr:colOff>
      <xdr:row>2267</xdr:row>
      <xdr:rowOff>1524000</xdr:rowOff>
    </xdr:to>
    <xdr:pic>
      <xdr:nvPicPr>
        <xdr:cNvPr id="2266" name="Picture 2265"/>
        <xdr:cNvPicPr>
          <a:picLocks noChangeAspect="1" noChangeArrowheads="1"/>
        </xdr:cNvPicPr>
      </xdr:nvPicPr>
      <xdr:blipFill>
        <a:blip xmlns:r="http://schemas.openxmlformats.org/officeDocument/2006/relationships" r:embed="rId2263">
          <a:extLst>
            <a:ext uri="{28A0092B-C50C-407E-A947-70E740481C1C}">
              <a14:useLocalDpi xmlns:a14="http://schemas.microsoft.com/office/drawing/2010/main" val="0"/>
            </a:ext>
          </a:extLst>
        </a:blip>
        <a:srcRect/>
        <a:stretch>
          <a:fillRect/>
        </a:stretch>
      </xdr:blipFill>
      <xdr:spPr bwMode="auto">
        <a:xfrm>
          <a:off x="1228725" y="4282211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2268</xdr:row>
      <xdr:rowOff>9525</xdr:rowOff>
    </xdr:from>
    <xdr:to>
      <xdr:col>2</xdr:col>
      <xdr:colOff>1733550</xdr:colOff>
      <xdr:row>2268</xdr:row>
      <xdr:rowOff>1524000</xdr:rowOff>
    </xdr:to>
    <xdr:pic>
      <xdr:nvPicPr>
        <xdr:cNvPr id="2267" name="Picture 2266"/>
        <xdr:cNvPicPr>
          <a:picLocks noChangeAspect="1" noChangeArrowheads="1"/>
        </xdr:cNvPicPr>
      </xdr:nvPicPr>
      <xdr:blipFill>
        <a:blip xmlns:r="http://schemas.openxmlformats.org/officeDocument/2006/relationships" r:embed="rId2264">
          <a:extLst>
            <a:ext uri="{28A0092B-C50C-407E-A947-70E740481C1C}">
              <a14:useLocalDpi xmlns:a14="http://schemas.microsoft.com/office/drawing/2010/main" val="0"/>
            </a:ext>
          </a:extLst>
        </a:blip>
        <a:srcRect/>
        <a:stretch>
          <a:fillRect/>
        </a:stretch>
      </xdr:blipFill>
      <xdr:spPr bwMode="auto">
        <a:xfrm>
          <a:off x="1228725" y="4283964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2269</xdr:row>
      <xdr:rowOff>19050</xdr:rowOff>
    </xdr:from>
    <xdr:to>
      <xdr:col>2</xdr:col>
      <xdr:colOff>1733550</xdr:colOff>
      <xdr:row>2269</xdr:row>
      <xdr:rowOff>1666875</xdr:rowOff>
    </xdr:to>
    <xdr:pic>
      <xdr:nvPicPr>
        <xdr:cNvPr id="2268" name="Picture 2267"/>
        <xdr:cNvPicPr>
          <a:picLocks noChangeAspect="1" noChangeArrowheads="1"/>
        </xdr:cNvPicPr>
      </xdr:nvPicPr>
      <xdr:blipFill>
        <a:blip xmlns:r="http://schemas.openxmlformats.org/officeDocument/2006/relationships" r:embed="rId2265">
          <a:extLst>
            <a:ext uri="{28A0092B-C50C-407E-A947-70E740481C1C}">
              <a14:useLocalDpi xmlns:a14="http://schemas.microsoft.com/office/drawing/2010/main" val="0"/>
            </a:ext>
          </a:extLst>
        </a:blip>
        <a:srcRect/>
        <a:stretch>
          <a:fillRect/>
        </a:stretch>
      </xdr:blipFill>
      <xdr:spPr bwMode="auto">
        <a:xfrm>
          <a:off x="1228725" y="42857261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2270</xdr:row>
      <xdr:rowOff>19050</xdr:rowOff>
    </xdr:from>
    <xdr:to>
      <xdr:col>2</xdr:col>
      <xdr:colOff>1733550</xdr:colOff>
      <xdr:row>2270</xdr:row>
      <xdr:rowOff>1666875</xdr:rowOff>
    </xdr:to>
    <xdr:pic>
      <xdr:nvPicPr>
        <xdr:cNvPr id="2269" name="Picture 2268"/>
        <xdr:cNvPicPr>
          <a:picLocks noChangeAspect="1" noChangeArrowheads="1"/>
        </xdr:cNvPicPr>
      </xdr:nvPicPr>
      <xdr:blipFill>
        <a:blip xmlns:r="http://schemas.openxmlformats.org/officeDocument/2006/relationships" r:embed="rId2266">
          <a:extLst>
            <a:ext uri="{28A0092B-C50C-407E-A947-70E740481C1C}">
              <a14:useLocalDpi xmlns:a14="http://schemas.microsoft.com/office/drawing/2010/main" val="0"/>
            </a:ext>
          </a:extLst>
        </a:blip>
        <a:srcRect/>
        <a:stretch>
          <a:fillRect/>
        </a:stretch>
      </xdr:blipFill>
      <xdr:spPr bwMode="auto">
        <a:xfrm>
          <a:off x="1228725" y="4287640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2271</xdr:row>
      <xdr:rowOff>19050</xdr:rowOff>
    </xdr:from>
    <xdr:to>
      <xdr:col>2</xdr:col>
      <xdr:colOff>1733550</xdr:colOff>
      <xdr:row>2271</xdr:row>
      <xdr:rowOff>1647825</xdr:rowOff>
    </xdr:to>
    <xdr:pic>
      <xdr:nvPicPr>
        <xdr:cNvPr id="2270" name="Picture 2269"/>
        <xdr:cNvPicPr>
          <a:picLocks noChangeAspect="1" noChangeArrowheads="1"/>
        </xdr:cNvPicPr>
      </xdr:nvPicPr>
      <xdr:blipFill>
        <a:blip xmlns:r="http://schemas.openxmlformats.org/officeDocument/2006/relationships" r:embed="rId2267">
          <a:extLst>
            <a:ext uri="{28A0092B-C50C-407E-A947-70E740481C1C}">
              <a14:useLocalDpi xmlns:a14="http://schemas.microsoft.com/office/drawing/2010/main" val="0"/>
            </a:ext>
          </a:extLst>
        </a:blip>
        <a:srcRect/>
        <a:stretch>
          <a:fillRect/>
        </a:stretch>
      </xdr:blipFill>
      <xdr:spPr bwMode="auto">
        <a:xfrm>
          <a:off x="1228725" y="42895551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2272</xdr:row>
      <xdr:rowOff>19050</xdr:rowOff>
    </xdr:from>
    <xdr:to>
      <xdr:col>2</xdr:col>
      <xdr:colOff>1733550</xdr:colOff>
      <xdr:row>2272</xdr:row>
      <xdr:rowOff>1647825</xdr:rowOff>
    </xdr:to>
    <xdr:pic>
      <xdr:nvPicPr>
        <xdr:cNvPr id="2271" name="Picture 2270"/>
        <xdr:cNvPicPr>
          <a:picLocks noChangeAspect="1" noChangeArrowheads="1"/>
        </xdr:cNvPicPr>
      </xdr:nvPicPr>
      <xdr:blipFill>
        <a:blip xmlns:r="http://schemas.openxmlformats.org/officeDocument/2006/relationships" r:embed="rId2268">
          <a:extLst>
            <a:ext uri="{28A0092B-C50C-407E-A947-70E740481C1C}">
              <a14:useLocalDpi xmlns:a14="http://schemas.microsoft.com/office/drawing/2010/main" val="0"/>
            </a:ext>
          </a:extLst>
        </a:blip>
        <a:srcRect/>
        <a:stretch>
          <a:fillRect/>
        </a:stretch>
      </xdr:blipFill>
      <xdr:spPr bwMode="auto">
        <a:xfrm>
          <a:off x="1228725" y="42914506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2273</xdr:row>
      <xdr:rowOff>19050</xdr:rowOff>
    </xdr:from>
    <xdr:to>
      <xdr:col>2</xdr:col>
      <xdr:colOff>1733550</xdr:colOff>
      <xdr:row>2273</xdr:row>
      <xdr:rowOff>1647825</xdr:rowOff>
    </xdr:to>
    <xdr:pic>
      <xdr:nvPicPr>
        <xdr:cNvPr id="2272" name="Picture 2271"/>
        <xdr:cNvPicPr>
          <a:picLocks noChangeAspect="1" noChangeArrowheads="1"/>
        </xdr:cNvPicPr>
      </xdr:nvPicPr>
      <xdr:blipFill>
        <a:blip xmlns:r="http://schemas.openxmlformats.org/officeDocument/2006/relationships" r:embed="rId2269">
          <a:extLst>
            <a:ext uri="{28A0092B-C50C-407E-A947-70E740481C1C}">
              <a14:useLocalDpi xmlns:a14="http://schemas.microsoft.com/office/drawing/2010/main" val="0"/>
            </a:ext>
          </a:extLst>
        </a:blip>
        <a:srcRect/>
        <a:stretch>
          <a:fillRect/>
        </a:stretch>
      </xdr:blipFill>
      <xdr:spPr bwMode="auto">
        <a:xfrm>
          <a:off x="1228725" y="42933461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2274</xdr:row>
      <xdr:rowOff>19050</xdr:rowOff>
    </xdr:from>
    <xdr:to>
      <xdr:col>2</xdr:col>
      <xdr:colOff>1733550</xdr:colOff>
      <xdr:row>2274</xdr:row>
      <xdr:rowOff>1647825</xdr:rowOff>
    </xdr:to>
    <xdr:pic>
      <xdr:nvPicPr>
        <xdr:cNvPr id="2273" name="Picture 2272"/>
        <xdr:cNvPicPr>
          <a:picLocks noChangeAspect="1" noChangeArrowheads="1"/>
        </xdr:cNvPicPr>
      </xdr:nvPicPr>
      <xdr:blipFill>
        <a:blip xmlns:r="http://schemas.openxmlformats.org/officeDocument/2006/relationships" r:embed="rId2270">
          <a:extLst>
            <a:ext uri="{28A0092B-C50C-407E-A947-70E740481C1C}">
              <a14:useLocalDpi xmlns:a14="http://schemas.microsoft.com/office/drawing/2010/main" val="0"/>
            </a:ext>
          </a:extLst>
        </a:blip>
        <a:srcRect/>
        <a:stretch>
          <a:fillRect/>
        </a:stretch>
      </xdr:blipFill>
      <xdr:spPr bwMode="auto">
        <a:xfrm>
          <a:off x="1228725" y="42952416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2275</xdr:row>
      <xdr:rowOff>19050</xdr:rowOff>
    </xdr:from>
    <xdr:to>
      <xdr:col>2</xdr:col>
      <xdr:colOff>1733550</xdr:colOff>
      <xdr:row>2275</xdr:row>
      <xdr:rowOff>1619250</xdr:rowOff>
    </xdr:to>
    <xdr:pic>
      <xdr:nvPicPr>
        <xdr:cNvPr id="2274" name="Picture 2273"/>
        <xdr:cNvPicPr>
          <a:picLocks noChangeAspect="1" noChangeArrowheads="1"/>
        </xdr:cNvPicPr>
      </xdr:nvPicPr>
      <xdr:blipFill>
        <a:blip xmlns:r="http://schemas.openxmlformats.org/officeDocument/2006/relationships" r:embed="rId2271">
          <a:extLst>
            <a:ext uri="{28A0092B-C50C-407E-A947-70E740481C1C}">
              <a14:useLocalDpi xmlns:a14="http://schemas.microsoft.com/office/drawing/2010/main" val="0"/>
            </a:ext>
          </a:extLst>
        </a:blip>
        <a:srcRect/>
        <a:stretch>
          <a:fillRect/>
        </a:stretch>
      </xdr:blipFill>
      <xdr:spPr bwMode="auto">
        <a:xfrm>
          <a:off x="1228725" y="4297137075"/>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2276</xdr:row>
      <xdr:rowOff>19050</xdr:rowOff>
    </xdr:from>
    <xdr:to>
      <xdr:col>2</xdr:col>
      <xdr:colOff>1733550</xdr:colOff>
      <xdr:row>2276</xdr:row>
      <xdr:rowOff>1666875</xdr:rowOff>
    </xdr:to>
    <xdr:pic>
      <xdr:nvPicPr>
        <xdr:cNvPr id="2275" name="Picture 2274"/>
        <xdr:cNvPicPr>
          <a:picLocks noChangeAspect="1" noChangeArrowheads="1"/>
        </xdr:cNvPicPr>
      </xdr:nvPicPr>
      <xdr:blipFill>
        <a:blip xmlns:r="http://schemas.openxmlformats.org/officeDocument/2006/relationships" r:embed="rId2272">
          <a:extLst>
            <a:ext uri="{28A0092B-C50C-407E-A947-70E740481C1C}">
              <a14:useLocalDpi xmlns:a14="http://schemas.microsoft.com/office/drawing/2010/main" val="0"/>
            </a:ext>
          </a:extLst>
        </a:blip>
        <a:srcRect/>
        <a:stretch>
          <a:fillRect/>
        </a:stretch>
      </xdr:blipFill>
      <xdr:spPr bwMode="auto">
        <a:xfrm>
          <a:off x="1228725" y="4298994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2277</xdr:row>
      <xdr:rowOff>19050</xdr:rowOff>
    </xdr:from>
    <xdr:to>
      <xdr:col>2</xdr:col>
      <xdr:colOff>1733550</xdr:colOff>
      <xdr:row>2277</xdr:row>
      <xdr:rowOff>1733550</xdr:rowOff>
    </xdr:to>
    <xdr:pic>
      <xdr:nvPicPr>
        <xdr:cNvPr id="2276" name="Picture 2275"/>
        <xdr:cNvPicPr>
          <a:picLocks noChangeAspect="1" noChangeArrowheads="1"/>
        </xdr:cNvPicPr>
      </xdr:nvPicPr>
      <xdr:blipFill>
        <a:blip xmlns:r="http://schemas.openxmlformats.org/officeDocument/2006/relationships" r:embed="rId2273">
          <a:extLst>
            <a:ext uri="{28A0092B-C50C-407E-A947-70E740481C1C}">
              <a14:useLocalDpi xmlns:a14="http://schemas.microsoft.com/office/drawing/2010/main" val="0"/>
            </a:ext>
          </a:extLst>
        </a:blip>
        <a:srcRect/>
        <a:stretch>
          <a:fillRect/>
        </a:stretch>
      </xdr:blipFill>
      <xdr:spPr bwMode="auto">
        <a:xfrm>
          <a:off x="1228725" y="43009089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2278</xdr:row>
      <xdr:rowOff>19050</xdr:rowOff>
    </xdr:from>
    <xdr:to>
      <xdr:col>2</xdr:col>
      <xdr:colOff>1733550</xdr:colOff>
      <xdr:row>2278</xdr:row>
      <xdr:rowOff>1733550</xdr:rowOff>
    </xdr:to>
    <xdr:pic>
      <xdr:nvPicPr>
        <xdr:cNvPr id="2277" name="Picture 2276"/>
        <xdr:cNvPicPr>
          <a:picLocks noChangeAspect="1" noChangeArrowheads="1"/>
        </xdr:cNvPicPr>
      </xdr:nvPicPr>
      <xdr:blipFill>
        <a:blip xmlns:r="http://schemas.openxmlformats.org/officeDocument/2006/relationships" r:embed="rId2274">
          <a:extLst>
            <a:ext uri="{28A0092B-C50C-407E-A947-70E740481C1C}">
              <a14:useLocalDpi xmlns:a14="http://schemas.microsoft.com/office/drawing/2010/main" val="0"/>
            </a:ext>
          </a:extLst>
        </a:blip>
        <a:srcRect/>
        <a:stretch>
          <a:fillRect/>
        </a:stretch>
      </xdr:blipFill>
      <xdr:spPr bwMode="auto">
        <a:xfrm>
          <a:off x="1228725" y="43029092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2279</xdr:row>
      <xdr:rowOff>19050</xdr:rowOff>
    </xdr:from>
    <xdr:to>
      <xdr:col>2</xdr:col>
      <xdr:colOff>1733550</xdr:colOff>
      <xdr:row>2279</xdr:row>
      <xdr:rowOff>1733550</xdr:rowOff>
    </xdr:to>
    <xdr:pic>
      <xdr:nvPicPr>
        <xdr:cNvPr id="2278" name="Picture 2277"/>
        <xdr:cNvPicPr>
          <a:picLocks noChangeAspect="1" noChangeArrowheads="1"/>
        </xdr:cNvPicPr>
      </xdr:nvPicPr>
      <xdr:blipFill>
        <a:blip xmlns:r="http://schemas.openxmlformats.org/officeDocument/2006/relationships" r:embed="rId2275">
          <a:extLst>
            <a:ext uri="{28A0092B-C50C-407E-A947-70E740481C1C}">
              <a14:useLocalDpi xmlns:a14="http://schemas.microsoft.com/office/drawing/2010/main" val="0"/>
            </a:ext>
          </a:extLst>
        </a:blip>
        <a:srcRect/>
        <a:stretch>
          <a:fillRect/>
        </a:stretch>
      </xdr:blipFill>
      <xdr:spPr bwMode="auto">
        <a:xfrm>
          <a:off x="1228725" y="43049094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2280</xdr:row>
      <xdr:rowOff>19050</xdr:rowOff>
    </xdr:from>
    <xdr:to>
      <xdr:col>2</xdr:col>
      <xdr:colOff>1733550</xdr:colOff>
      <xdr:row>2280</xdr:row>
      <xdr:rowOff>1609725</xdr:rowOff>
    </xdr:to>
    <xdr:pic>
      <xdr:nvPicPr>
        <xdr:cNvPr id="2279" name="Picture 2278"/>
        <xdr:cNvPicPr>
          <a:picLocks noChangeAspect="1" noChangeArrowheads="1"/>
        </xdr:cNvPicPr>
      </xdr:nvPicPr>
      <xdr:blipFill>
        <a:blip xmlns:r="http://schemas.openxmlformats.org/officeDocument/2006/relationships" r:embed="rId2276">
          <a:extLst>
            <a:ext uri="{28A0092B-C50C-407E-A947-70E740481C1C}">
              <a14:useLocalDpi xmlns:a14="http://schemas.microsoft.com/office/drawing/2010/main" val="0"/>
            </a:ext>
          </a:extLst>
        </a:blip>
        <a:srcRect/>
        <a:stretch>
          <a:fillRect/>
        </a:stretch>
      </xdr:blipFill>
      <xdr:spPr bwMode="auto">
        <a:xfrm>
          <a:off x="1228725" y="4306909725"/>
          <a:ext cx="1724025" cy="1590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2281</xdr:row>
      <xdr:rowOff>19050</xdr:rowOff>
    </xdr:from>
    <xdr:to>
      <xdr:col>2</xdr:col>
      <xdr:colOff>1733550</xdr:colOff>
      <xdr:row>2281</xdr:row>
      <xdr:rowOff>1733550</xdr:rowOff>
    </xdr:to>
    <xdr:pic>
      <xdr:nvPicPr>
        <xdr:cNvPr id="2280" name="Picture 2279"/>
        <xdr:cNvPicPr>
          <a:picLocks noChangeAspect="1" noChangeArrowheads="1"/>
        </xdr:cNvPicPr>
      </xdr:nvPicPr>
      <xdr:blipFill>
        <a:blip xmlns:r="http://schemas.openxmlformats.org/officeDocument/2006/relationships" r:embed="rId2277">
          <a:extLst>
            <a:ext uri="{28A0092B-C50C-407E-A947-70E740481C1C}">
              <a14:useLocalDpi xmlns:a14="http://schemas.microsoft.com/office/drawing/2010/main" val="0"/>
            </a:ext>
          </a:extLst>
        </a:blip>
        <a:srcRect/>
        <a:stretch>
          <a:fillRect/>
        </a:stretch>
      </xdr:blipFill>
      <xdr:spPr bwMode="auto">
        <a:xfrm>
          <a:off x="1228725" y="43087575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2282</xdr:row>
      <xdr:rowOff>19050</xdr:rowOff>
    </xdr:from>
    <xdr:to>
      <xdr:col>2</xdr:col>
      <xdr:colOff>1733550</xdr:colOff>
      <xdr:row>2282</xdr:row>
      <xdr:rowOff>1733550</xdr:rowOff>
    </xdr:to>
    <xdr:pic>
      <xdr:nvPicPr>
        <xdr:cNvPr id="2281" name="Picture 2280"/>
        <xdr:cNvPicPr>
          <a:picLocks noChangeAspect="1" noChangeArrowheads="1"/>
        </xdr:cNvPicPr>
      </xdr:nvPicPr>
      <xdr:blipFill>
        <a:blip xmlns:r="http://schemas.openxmlformats.org/officeDocument/2006/relationships" r:embed="rId2278">
          <a:extLst>
            <a:ext uri="{28A0092B-C50C-407E-A947-70E740481C1C}">
              <a14:useLocalDpi xmlns:a14="http://schemas.microsoft.com/office/drawing/2010/main" val="0"/>
            </a:ext>
          </a:extLst>
        </a:blip>
        <a:srcRect/>
        <a:stretch>
          <a:fillRect/>
        </a:stretch>
      </xdr:blipFill>
      <xdr:spPr bwMode="auto">
        <a:xfrm>
          <a:off x="1228725" y="4310757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2283</xdr:row>
      <xdr:rowOff>19050</xdr:rowOff>
    </xdr:from>
    <xdr:to>
      <xdr:col>2</xdr:col>
      <xdr:colOff>1733550</xdr:colOff>
      <xdr:row>2283</xdr:row>
      <xdr:rowOff>1733550</xdr:rowOff>
    </xdr:to>
    <xdr:pic>
      <xdr:nvPicPr>
        <xdr:cNvPr id="2282" name="Picture 2281"/>
        <xdr:cNvPicPr>
          <a:picLocks noChangeAspect="1" noChangeArrowheads="1"/>
        </xdr:cNvPicPr>
      </xdr:nvPicPr>
      <xdr:blipFill>
        <a:blip xmlns:r="http://schemas.openxmlformats.org/officeDocument/2006/relationships" r:embed="rId2279">
          <a:extLst>
            <a:ext uri="{28A0092B-C50C-407E-A947-70E740481C1C}">
              <a14:useLocalDpi xmlns:a14="http://schemas.microsoft.com/office/drawing/2010/main" val="0"/>
            </a:ext>
          </a:extLst>
        </a:blip>
        <a:srcRect/>
        <a:stretch>
          <a:fillRect/>
        </a:stretch>
      </xdr:blipFill>
      <xdr:spPr bwMode="auto">
        <a:xfrm>
          <a:off x="1228725" y="43127580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2284</xdr:row>
      <xdr:rowOff>19050</xdr:rowOff>
    </xdr:from>
    <xdr:to>
      <xdr:col>2</xdr:col>
      <xdr:colOff>1733550</xdr:colOff>
      <xdr:row>2284</xdr:row>
      <xdr:rowOff>1733550</xdr:rowOff>
    </xdr:to>
    <xdr:pic>
      <xdr:nvPicPr>
        <xdr:cNvPr id="2283" name="Picture 2282"/>
        <xdr:cNvPicPr>
          <a:picLocks noChangeAspect="1" noChangeArrowheads="1"/>
        </xdr:cNvPicPr>
      </xdr:nvPicPr>
      <xdr:blipFill>
        <a:blip xmlns:r="http://schemas.openxmlformats.org/officeDocument/2006/relationships" r:embed="rId2280">
          <a:extLst>
            <a:ext uri="{28A0092B-C50C-407E-A947-70E740481C1C}">
              <a14:useLocalDpi xmlns:a14="http://schemas.microsoft.com/office/drawing/2010/main" val="0"/>
            </a:ext>
          </a:extLst>
        </a:blip>
        <a:srcRect/>
        <a:stretch>
          <a:fillRect/>
        </a:stretch>
      </xdr:blipFill>
      <xdr:spPr bwMode="auto">
        <a:xfrm>
          <a:off x="1228725" y="43147583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2285</xdr:row>
      <xdr:rowOff>19050</xdr:rowOff>
    </xdr:from>
    <xdr:to>
      <xdr:col>2</xdr:col>
      <xdr:colOff>1733550</xdr:colOff>
      <xdr:row>2285</xdr:row>
      <xdr:rowOff>1733550</xdr:rowOff>
    </xdr:to>
    <xdr:pic>
      <xdr:nvPicPr>
        <xdr:cNvPr id="2284" name="Picture 2283"/>
        <xdr:cNvPicPr>
          <a:picLocks noChangeAspect="1" noChangeArrowheads="1"/>
        </xdr:cNvPicPr>
      </xdr:nvPicPr>
      <xdr:blipFill>
        <a:blip xmlns:r="http://schemas.openxmlformats.org/officeDocument/2006/relationships" r:embed="rId2281">
          <a:extLst>
            <a:ext uri="{28A0092B-C50C-407E-A947-70E740481C1C}">
              <a14:useLocalDpi xmlns:a14="http://schemas.microsoft.com/office/drawing/2010/main" val="0"/>
            </a:ext>
          </a:extLst>
        </a:blip>
        <a:srcRect/>
        <a:stretch>
          <a:fillRect/>
        </a:stretch>
      </xdr:blipFill>
      <xdr:spPr bwMode="auto">
        <a:xfrm>
          <a:off x="1228725" y="43167585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2286</xdr:row>
      <xdr:rowOff>19050</xdr:rowOff>
    </xdr:from>
    <xdr:to>
      <xdr:col>2</xdr:col>
      <xdr:colOff>1733550</xdr:colOff>
      <xdr:row>2286</xdr:row>
      <xdr:rowOff>1733550</xdr:rowOff>
    </xdr:to>
    <xdr:pic>
      <xdr:nvPicPr>
        <xdr:cNvPr id="2285" name="Picture 2284"/>
        <xdr:cNvPicPr>
          <a:picLocks noChangeAspect="1" noChangeArrowheads="1"/>
        </xdr:cNvPicPr>
      </xdr:nvPicPr>
      <xdr:blipFill>
        <a:blip xmlns:r="http://schemas.openxmlformats.org/officeDocument/2006/relationships" r:embed="rId2282">
          <a:extLst>
            <a:ext uri="{28A0092B-C50C-407E-A947-70E740481C1C}">
              <a14:useLocalDpi xmlns:a14="http://schemas.microsoft.com/office/drawing/2010/main" val="0"/>
            </a:ext>
          </a:extLst>
        </a:blip>
        <a:srcRect/>
        <a:stretch>
          <a:fillRect/>
        </a:stretch>
      </xdr:blipFill>
      <xdr:spPr bwMode="auto">
        <a:xfrm>
          <a:off x="1228725" y="4318758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2287</xdr:row>
      <xdr:rowOff>19050</xdr:rowOff>
    </xdr:from>
    <xdr:to>
      <xdr:col>2</xdr:col>
      <xdr:colOff>1733550</xdr:colOff>
      <xdr:row>2287</xdr:row>
      <xdr:rowOff>1666875</xdr:rowOff>
    </xdr:to>
    <xdr:pic>
      <xdr:nvPicPr>
        <xdr:cNvPr id="2286" name="Picture 2285"/>
        <xdr:cNvPicPr>
          <a:picLocks noChangeAspect="1" noChangeArrowheads="1"/>
        </xdr:cNvPicPr>
      </xdr:nvPicPr>
      <xdr:blipFill>
        <a:blip xmlns:r="http://schemas.openxmlformats.org/officeDocument/2006/relationships" r:embed="rId2283">
          <a:extLst>
            <a:ext uri="{28A0092B-C50C-407E-A947-70E740481C1C}">
              <a14:useLocalDpi xmlns:a14="http://schemas.microsoft.com/office/drawing/2010/main" val="0"/>
            </a:ext>
          </a:extLst>
        </a:blip>
        <a:srcRect/>
        <a:stretch>
          <a:fillRect/>
        </a:stretch>
      </xdr:blipFill>
      <xdr:spPr bwMode="auto">
        <a:xfrm>
          <a:off x="1228725" y="4320759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2288</xdr:row>
      <xdr:rowOff>19050</xdr:rowOff>
    </xdr:from>
    <xdr:to>
      <xdr:col>2</xdr:col>
      <xdr:colOff>1733550</xdr:colOff>
      <xdr:row>2288</xdr:row>
      <xdr:rowOff>1666875</xdr:rowOff>
    </xdr:to>
    <xdr:pic>
      <xdr:nvPicPr>
        <xdr:cNvPr id="2287" name="Picture 2286"/>
        <xdr:cNvPicPr>
          <a:picLocks noChangeAspect="1" noChangeArrowheads="1"/>
        </xdr:cNvPicPr>
      </xdr:nvPicPr>
      <xdr:blipFill>
        <a:blip xmlns:r="http://schemas.openxmlformats.org/officeDocument/2006/relationships" r:embed="rId2284">
          <a:extLst>
            <a:ext uri="{28A0092B-C50C-407E-A947-70E740481C1C}">
              <a14:useLocalDpi xmlns:a14="http://schemas.microsoft.com/office/drawing/2010/main" val="0"/>
            </a:ext>
          </a:extLst>
        </a:blip>
        <a:srcRect/>
        <a:stretch>
          <a:fillRect/>
        </a:stretch>
      </xdr:blipFill>
      <xdr:spPr bwMode="auto">
        <a:xfrm>
          <a:off x="1228725" y="4322673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2289</xdr:row>
      <xdr:rowOff>9525</xdr:rowOff>
    </xdr:from>
    <xdr:to>
      <xdr:col>2</xdr:col>
      <xdr:colOff>1733550</xdr:colOff>
      <xdr:row>2289</xdr:row>
      <xdr:rowOff>1524000</xdr:rowOff>
    </xdr:to>
    <xdr:pic>
      <xdr:nvPicPr>
        <xdr:cNvPr id="2288" name="Picture 2287"/>
        <xdr:cNvPicPr>
          <a:picLocks noChangeAspect="1" noChangeArrowheads="1"/>
        </xdr:cNvPicPr>
      </xdr:nvPicPr>
      <xdr:blipFill>
        <a:blip xmlns:r="http://schemas.openxmlformats.org/officeDocument/2006/relationships" r:embed="rId2285">
          <a:extLst>
            <a:ext uri="{28A0092B-C50C-407E-A947-70E740481C1C}">
              <a14:useLocalDpi xmlns:a14="http://schemas.microsoft.com/office/drawing/2010/main" val="0"/>
            </a:ext>
          </a:extLst>
        </a:blip>
        <a:srcRect/>
        <a:stretch>
          <a:fillRect/>
        </a:stretch>
      </xdr:blipFill>
      <xdr:spPr bwMode="auto">
        <a:xfrm>
          <a:off x="1228725" y="4324578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2290</xdr:row>
      <xdr:rowOff>19050</xdr:rowOff>
    </xdr:from>
    <xdr:to>
      <xdr:col>2</xdr:col>
      <xdr:colOff>1733550</xdr:colOff>
      <xdr:row>2290</xdr:row>
      <xdr:rowOff>1666875</xdr:rowOff>
    </xdr:to>
    <xdr:pic>
      <xdr:nvPicPr>
        <xdr:cNvPr id="2289" name="Picture 2288"/>
        <xdr:cNvPicPr>
          <a:picLocks noChangeAspect="1" noChangeArrowheads="1"/>
        </xdr:cNvPicPr>
      </xdr:nvPicPr>
      <xdr:blipFill>
        <a:blip xmlns:r="http://schemas.openxmlformats.org/officeDocument/2006/relationships" r:embed="rId2286">
          <a:extLst>
            <a:ext uri="{28A0092B-C50C-407E-A947-70E740481C1C}">
              <a14:useLocalDpi xmlns:a14="http://schemas.microsoft.com/office/drawing/2010/main" val="0"/>
            </a:ext>
          </a:extLst>
        </a:blip>
        <a:srcRect/>
        <a:stretch>
          <a:fillRect/>
        </a:stretch>
      </xdr:blipFill>
      <xdr:spPr bwMode="auto">
        <a:xfrm>
          <a:off x="1228725" y="4326340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2291</xdr:row>
      <xdr:rowOff>19050</xdr:rowOff>
    </xdr:from>
    <xdr:to>
      <xdr:col>2</xdr:col>
      <xdr:colOff>1733550</xdr:colOff>
      <xdr:row>2291</xdr:row>
      <xdr:rowOff>1733550</xdr:rowOff>
    </xdr:to>
    <xdr:pic>
      <xdr:nvPicPr>
        <xdr:cNvPr id="2290" name="Picture 2289"/>
        <xdr:cNvPicPr>
          <a:picLocks noChangeAspect="1" noChangeArrowheads="1"/>
        </xdr:cNvPicPr>
      </xdr:nvPicPr>
      <xdr:blipFill>
        <a:blip xmlns:r="http://schemas.openxmlformats.org/officeDocument/2006/relationships" r:embed="rId2287">
          <a:extLst>
            <a:ext uri="{28A0092B-C50C-407E-A947-70E740481C1C}">
              <a14:useLocalDpi xmlns:a14="http://schemas.microsoft.com/office/drawing/2010/main" val="0"/>
            </a:ext>
          </a:extLst>
        </a:blip>
        <a:srcRect/>
        <a:stretch>
          <a:fillRect/>
        </a:stretch>
      </xdr:blipFill>
      <xdr:spPr bwMode="auto">
        <a:xfrm>
          <a:off x="1228725" y="4328255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2292</xdr:row>
      <xdr:rowOff>19050</xdr:rowOff>
    </xdr:from>
    <xdr:to>
      <xdr:col>2</xdr:col>
      <xdr:colOff>1733550</xdr:colOff>
      <xdr:row>2292</xdr:row>
      <xdr:rowOff>1733550</xdr:rowOff>
    </xdr:to>
    <xdr:pic>
      <xdr:nvPicPr>
        <xdr:cNvPr id="2291" name="Picture 2290"/>
        <xdr:cNvPicPr>
          <a:picLocks noChangeAspect="1" noChangeArrowheads="1"/>
        </xdr:cNvPicPr>
      </xdr:nvPicPr>
      <xdr:blipFill>
        <a:blip xmlns:r="http://schemas.openxmlformats.org/officeDocument/2006/relationships" r:embed="rId2288">
          <a:extLst>
            <a:ext uri="{28A0092B-C50C-407E-A947-70E740481C1C}">
              <a14:useLocalDpi xmlns:a14="http://schemas.microsoft.com/office/drawing/2010/main" val="0"/>
            </a:ext>
          </a:extLst>
        </a:blip>
        <a:srcRect/>
        <a:stretch>
          <a:fillRect/>
        </a:stretch>
      </xdr:blipFill>
      <xdr:spPr bwMode="auto">
        <a:xfrm>
          <a:off x="1228725" y="4330255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2293</xdr:row>
      <xdr:rowOff>19050</xdr:rowOff>
    </xdr:from>
    <xdr:to>
      <xdr:col>2</xdr:col>
      <xdr:colOff>1733550</xdr:colOff>
      <xdr:row>2293</xdr:row>
      <xdr:rowOff>1733550</xdr:rowOff>
    </xdr:to>
    <xdr:pic>
      <xdr:nvPicPr>
        <xdr:cNvPr id="2292" name="Picture 2291"/>
        <xdr:cNvPicPr>
          <a:picLocks noChangeAspect="1" noChangeArrowheads="1"/>
        </xdr:cNvPicPr>
      </xdr:nvPicPr>
      <xdr:blipFill>
        <a:blip xmlns:r="http://schemas.openxmlformats.org/officeDocument/2006/relationships" r:embed="rId2289">
          <a:extLst>
            <a:ext uri="{28A0092B-C50C-407E-A947-70E740481C1C}">
              <a14:useLocalDpi xmlns:a14="http://schemas.microsoft.com/office/drawing/2010/main" val="0"/>
            </a:ext>
          </a:extLst>
        </a:blip>
        <a:srcRect/>
        <a:stretch>
          <a:fillRect/>
        </a:stretch>
      </xdr:blipFill>
      <xdr:spPr bwMode="auto">
        <a:xfrm>
          <a:off x="1228725" y="4332255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2294</xdr:row>
      <xdr:rowOff>19050</xdr:rowOff>
    </xdr:from>
    <xdr:to>
      <xdr:col>2</xdr:col>
      <xdr:colOff>1733550</xdr:colOff>
      <xdr:row>2294</xdr:row>
      <xdr:rowOff>1733550</xdr:rowOff>
    </xdr:to>
    <xdr:pic>
      <xdr:nvPicPr>
        <xdr:cNvPr id="2293" name="Picture 2292"/>
        <xdr:cNvPicPr>
          <a:picLocks noChangeAspect="1" noChangeArrowheads="1"/>
        </xdr:cNvPicPr>
      </xdr:nvPicPr>
      <xdr:blipFill>
        <a:blip xmlns:r="http://schemas.openxmlformats.org/officeDocument/2006/relationships" r:embed="rId2290">
          <a:extLst>
            <a:ext uri="{28A0092B-C50C-407E-A947-70E740481C1C}">
              <a14:useLocalDpi xmlns:a14="http://schemas.microsoft.com/office/drawing/2010/main" val="0"/>
            </a:ext>
          </a:extLst>
        </a:blip>
        <a:srcRect/>
        <a:stretch>
          <a:fillRect/>
        </a:stretch>
      </xdr:blipFill>
      <xdr:spPr bwMode="auto">
        <a:xfrm>
          <a:off x="1228725" y="4334256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2295</xdr:row>
      <xdr:rowOff>19050</xdr:rowOff>
    </xdr:from>
    <xdr:to>
      <xdr:col>2</xdr:col>
      <xdr:colOff>1733550</xdr:colOff>
      <xdr:row>2295</xdr:row>
      <xdr:rowOff>1733550</xdr:rowOff>
    </xdr:to>
    <xdr:pic>
      <xdr:nvPicPr>
        <xdr:cNvPr id="2294" name="Picture 2293"/>
        <xdr:cNvPicPr>
          <a:picLocks noChangeAspect="1" noChangeArrowheads="1"/>
        </xdr:cNvPicPr>
      </xdr:nvPicPr>
      <xdr:blipFill>
        <a:blip xmlns:r="http://schemas.openxmlformats.org/officeDocument/2006/relationships" r:embed="rId2291">
          <a:extLst>
            <a:ext uri="{28A0092B-C50C-407E-A947-70E740481C1C}">
              <a14:useLocalDpi xmlns:a14="http://schemas.microsoft.com/office/drawing/2010/main" val="0"/>
            </a:ext>
          </a:extLst>
        </a:blip>
        <a:srcRect/>
        <a:stretch>
          <a:fillRect/>
        </a:stretch>
      </xdr:blipFill>
      <xdr:spPr bwMode="auto">
        <a:xfrm>
          <a:off x="1228725" y="4336256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2296</xdr:row>
      <xdr:rowOff>19050</xdr:rowOff>
    </xdr:from>
    <xdr:to>
      <xdr:col>2</xdr:col>
      <xdr:colOff>1733550</xdr:colOff>
      <xdr:row>2296</xdr:row>
      <xdr:rowOff>1733550</xdr:rowOff>
    </xdr:to>
    <xdr:pic>
      <xdr:nvPicPr>
        <xdr:cNvPr id="2295" name="Picture 2294"/>
        <xdr:cNvPicPr>
          <a:picLocks noChangeAspect="1" noChangeArrowheads="1"/>
        </xdr:cNvPicPr>
      </xdr:nvPicPr>
      <xdr:blipFill>
        <a:blip xmlns:r="http://schemas.openxmlformats.org/officeDocument/2006/relationships" r:embed="rId2292">
          <a:extLst>
            <a:ext uri="{28A0092B-C50C-407E-A947-70E740481C1C}">
              <a14:useLocalDpi xmlns:a14="http://schemas.microsoft.com/office/drawing/2010/main" val="0"/>
            </a:ext>
          </a:extLst>
        </a:blip>
        <a:srcRect/>
        <a:stretch>
          <a:fillRect/>
        </a:stretch>
      </xdr:blipFill>
      <xdr:spPr bwMode="auto">
        <a:xfrm>
          <a:off x="1228725" y="4338256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2297</xdr:row>
      <xdr:rowOff>19050</xdr:rowOff>
    </xdr:from>
    <xdr:to>
      <xdr:col>2</xdr:col>
      <xdr:colOff>1733550</xdr:colOff>
      <xdr:row>2297</xdr:row>
      <xdr:rowOff>1733550</xdr:rowOff>
    </xdr:to>
    <xdr:pic>
      <xdr:nvPicPr>
        <xdr:cNvPr id="2296" name="Picture 2295"/>
        <xdr:cNvPicPr>
          <a:picLocks noChangeAspect="1" noChangeArrowheads="1"/>
        </xdr:cNvPicPr>
      </xdr:nvPicPr>
      <xdr:blipFill>
        <a:blip xmlns:r="http://schemas.openxmlformats.org/officeDocument/2006/relationships" r:embed="rId2293">
          <a:extLst>
            <a:ext uri="{28A0092B-C50C-407E-A947-70E740481C1C}">
              <a14:useLocalDpi xmlns:a14="http://schemas.microsoft.com/office/drawing/2010/main" val="0"/>
            </a:ext>
          </a:extLst>
        </a:blip>
        <a:srcRect/>
        <a:stretch>
          <a:fillRect/>
        </a:stretch>
      </xdr:blipFill>
      <xdr:spPr bwMode="auto">
        <a:xfrm>
          <a:off x="1228725" y="4340256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2298</xdr:row>
      <xdr:rowOff>19050</xdr:rowOff>
    </xdr:from>
    <xdr:to>
      <xdr:col>2</xdr:col>
      <xdr:colOff>1733550</xdr:colOff>
      <xdr:row>2298</xdr:row>
      <xdr:rowOff>1733550</xdr:rowOff>
    </xdr:to>
    <xdr:pic>
      <xdr:nvPicPr>
        <xdr:cNvPr id="2297" name="Picture 2296"/>
        <xdr:cNvPicPr>
          <a:picLocks noChangeAspect="1" noChangeArrowheads="1"/>
        </xdr:cNvPicPr>
      </xdr:nvPicPr>
      <xdr:blipFill>
        <a:blip xmlns:r="http://schemas.openxmlformats.org/officeDocument/2006/relationships" r:embed="rId2294">
          <a:extLst>
            <a:ext uri="{28A0092B-C50C-407E-A947-70E740481C1C}">
              <a14:useLocalDpi xmlns:a14="http://schemas.microsoft.com/office/drawing/2010/main" val="0"/>
            </a:ext>
          </a:extLst>
        </a:blip>
        <a:srcRect/>
        <a:stretch>
          <a:fillRect/>
        </a:stretch>
      </xdr:blipFill>
      <xdr:spPr bwMode="auto">
        <a:xfrm>
          <a:off x="1228725" y="4342257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2299</xdr:row>
      <xdr:rowOff>19050</xdr:rowOff>
    </xdr:from>
    <xdr:to>
      <xdr:col>2</xdr:col>
      <xdr:colOff>1733550</xdr:colOff>
      <xdr:row>2299</xdr:row>
      <xdr:rowOff>1733550</xdr:rowOff>
    </xdr:to>
    <xdr:pic>
      <xdr:nvPicPr>
        <xdr:cNvPr id="2298" name="Picture 2297"/>
        <xdr:cNvPicPr>
          <a:picLocks noChangeAspect="1" noChangeArrowheads="1"/>
        </xdr:cNvPicPr>
      </xdr:nvPicPr>
      <xdr:blipFill>
        <a:blip xmlns:r="http://schemas.openxmlformats.org/officeDocument/2006/relationships" r:embed="rId2295">
          <a:extLst>
            <a:ext uri="{28A0092B-C50C-407E-A947-70E740481C1C}">
              <a14:useLocalDpi xmlns:a14="http://schemas.microsoft.com/office/drawing/2010/main" val="0"/>
            </a:ext>
          </a:extLst>
        </a:blip>
        <a:srcRect/>
        <a:stretch>
          <a:fillRect/>
        </a:stretch>
      </xdr:blipFill>
      <xdr:spPr bwMode="auto">
        <a:xfrm>
          <a:off x="1228725" y="4344257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2300</xdr:row>
      <xdr:rowOff>19050</xdr:rowOff>
    </xdr:from>
    <xdr:to>
      <xdr:col>2</xdr:col>
      <xdr:colOff>1733550</xdr:colOff>
      <xdr:row>2300</xdr:row>
      <xdr:rowOff>1685925</xdr:rowOff>
    </xdr:to>
    <xdr:pic>
      <xdr:nvPicPr>
        <xdr:cNvPr id="2299" name="Picture 2298"/>
        <xdr:cNvPicPr>
          <a:picLocks noChangeAspect="1" noChangeArrowheads="1"/>
        </xdr:cNvPicPr>
      </xdr:nvPicPr>
      <xdr:blipFill>
        <a:blip xmlns:r="http://schemas.openxmlformats.org/officeDocument/2006/relationships" r:embed="rId2296">
          <a:extLst>
            <a:ext uri="{28A0092B-C50C-407E-A947-70E740481C1C}">
              <a14:useLocalDpi xmlns:a14="http://schemas.microsoft.com/office/drawing/2010/main" val="0"/>
            </a:ext>
          </a:extLst>
        </a:blip>
        <a:srcRect/>
        <a:stretch>
          <a:fillRect/>
        </a:stretch>
      </xdr:blipFill>
      <xdr:spPr bwMode="auto">
        <a:xfrm>
          <a:off x="1228725" y="43462575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2301</xdr:row>
      <xdr:rowOff>19050</xdr:rowOff>
    </xdr:from>
    <xdr:to>
      <xdr:col>2</xdr:col>
      <xdr:colOff>1733550</xdr:colOff>
      <xdr:row>2301</xdr:row>
      <xdr:rowOff>1666875</xdr:rowOff>
    </xdr:to>
    <xdr:pic>
      <xdr:nvPicPr>
        <xdr:cNvPr id="2300" name="Picture 2299"/>
        <xdr:cNvPicPr>
          <a:picLocks noChangeAspect="1" noChangeArrowheads="1"/>
        </xdr:cNvPicPr>
      </xdr:nvPicPr>
      <xdr:blipFill>
        <a:blip xmlns:r="http://schemas.openxmlformats.org/officeDocument/2006/relationships" r:embed="rId2297">
          <a:extLst>
            <a:ext uri="{28A0092B-C50C-407E-A947-70E740481C1C}">
              <a14:useLocalDpi xmlns:a14="http://schemas.microsoft.com/office/drawing/2010/main" val="0"/>
            </a:ext>
          </a:extLst>
        </a:blip>
        <a:srcRect/>
        <a:stretch>
          <a:fillRect/>
        </a:stretch>
      </xdr:blipFill>
      <xdr:spPr bwMode="auto">
        <a:xfrm>
          <a:off x="1228725" y="4348200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2302</xdr:row>
      <xdr:rowOff>19050</xdr:rowOff>
    </xdr:from>
    <xdr:to>
      <xdr:col>2</xdr:col>
      <xdr:colOff>1733550</xdr:colOff>
      <xdr:row>2302</xdr:row>
      <xdr:rowOff>1733550</xdr:rowOff>
    </xdr:to>
    <xdr:pic>
      <xdr:nvPicPr>
        <xdr:cNvPr id="2301" name="Picture 2300"/>
        <xdr:cNvPicPr>
          <a:picLocks noChangeAspect="1" noChangeArrowheads="1"/>
        </xdr:cNvPicPr>
      </xdr:nvPicPr>
      <xdr:blipFill>
        <a:blip xmlns:r="http://schemas.openxmlformats.org/officeDocument/2006/relationships" r:embed="rId2298">
          <a:extLst>
            <a:ext uri="{28A0092B-C50C-407E-A947-70E740481C1C}">
              <a14:useLocalDpi xmlns:a14="http://schemas.microsoft.com/office/drawing/2010/main" val="0"/>
            </a:ext>
          </a:extLst>
        </a:blip>
        <a:srcRect/>
        <a:stretch>
          <a:fillRect/>
        </a:stretch>
      </xdr:blipFill>
      <xdr:spPr bwMode="auto">
        <a:xfrm>
          <a:off x="1228725" y="43501151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2303</xdr:row>
      <xdr:rowOff>19050</xdr:rowOff>
    </xdr:from>
    <xdr:to>
      <xdr:col>2</xdr:col>
      <xdr:colOff>1733550</xdr:colOff>
      <xdr:row>2303</xdr:row>
      <xdr:rowOff>1666875</xdr:rowOff>
    </xdr:to>
    <xdr:pic>
      <xdr:nvPicPr>
        <xdr:cNvPr id="2302" name="Picture 2301"/>
        <xdr:cNvPicPr>
          <a:picLocks noChangeAspect="1" noChangeArrowheads="1"/>
        </xdr:cNvPicPr>
      </xdr:nvPicPr>
      <xdr:blipFill>
        <a:blip xmlns:r="http://schemas.openxmlformats.org/officeDocument/2006/relationships" r:embed="rId2299">
          <a:extLst>
            <a:ext uri="{28A0092B-C50C-407E-A947-70E740481C1C}">
              <a14:useLocalDpi xmlns:a14="http://schemas.microsoft.com/office/drawing/2010/main" val="0"/>
            </a:ext>
          </a:extLst>
        </a:blip>
        <a:srcRect/>
        <a:stretch>
          <a:fillRect/>
        </a:stretch>
      </xdr:blipFill>
      <xdr:spPr bwMode="auto">
        <a:xfrm>
          <a:off x="1228725" y="4352115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2304</xdr:row>
      <xdr:rowOff>19050</xdr:rowOff>
    </xdr:from>
    <xdr:to>
      <xdr:col>2</xdr:col>
      <xdr:colOff>1733550</xdr:colOff>
      <xdr:row>2304</xdr:row>
      <xdr:rowOff>1733550</xdr:rowOff>
    </xdr:to>
    <xdr:pic>
      <xdr:nvPicPr>
        <xdr:cNvPr id="2303" name="Picture 2302"/>
        <xdr:cNvPicPr>
          <a:picLocks noChangeAspect="1" noChangeArrowheads="1"/>
        </xdr:cNvPicPr>
      </xdr:nvPicPr>
      <xdr:blipFill>
        <a:blip xmlns:r="http://schemas.openxmlformats.org/officeDocument/2006/relationships" r:embed="rId2300">
          <a:extLst>
            <a:ext uri="{28A0092B-C50C-407E-A947-70E740481C1C}">
              <a14:useLocalDpi xmlns:a14="http://schemas.microsoft.com/office/drawing/2010/main" val="0"/>
            </a:ext>
          </a:extLst>
        </a:blip>
        <a:srcRect/>
        <a:stretch>
          <a:fillRect/>
        </a:stretch>
      </xdr:blipFill>
      <xdr:spPr bwMode="auto">
        <a:xfrm>
          <a:off x="1228725" y="4354029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2305</xdr:row>
      <xdr:rowOff>19050</xdr:rowOff>
    </xdr:from>
    <xdr:to>
      <xdr:col>2</xdr:col>
      <xdr:colOff>1733550</xdr:colOff>
      <xdr:row>2305</xdr:row>
      <xdr:rowOff>1733550</xdr:rowOff>
    </xdr:to>
    <xdr:pic>
      <xdr:nvPicPr>
        <xdr:cNvPr id="2304" name="Picture 2303"/>
        <xdr:cNvPicPr>
          <a:picLocks noChangeAspect="1" noChangeArrowheads="1"/>
        </xdr:cNvPicPr>
      </xdr:nvPicPr>
      <xdr:blipFill>
        <a:blip xmlns:r="http://schemas.openxmlformats.org/officeDocument/2006/relationships" r:embed="rId2301">
          <a:extLst>
            <a:ext uri="{28A0092B-C50C-407E-A947-70E740481C1C}">
              <a14:useLocalDpi xmlns:a14="http://schemas.microsoft.com/office/drawing/2010/main" val="0"/>
            </a:ext>
          </a:extLst>
        </a:blip>
        <a:srcRect/>
        <a:stretch>
          <a:fillRect/>
        </a:stretch>
      </xdr:blipFill>
      <xdr:spPr bwMode="auto">
        <a:xfrm>
          <a:off x="1228725" y="4356030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2306</xdr:row>
      <xdr:rowOff>19050</xdr:rowOff>
    </xdr:from>
    <xdr:to>
      <xdr:col>2</xdr:col>
      <xdr:colOff>1733550</xdr:colOff>
      <xdr:row>2306</xdr:row>
      <xdr:rowOff>1733550</xdr:rowOff>
    </xdr:to>
    <xdr:pic>
      <xdr:nvPicPr>
        <xdr:cNvPr id="2305" name="Picture 2304"/>
        <xdr:cNvPicPr>
          <a:picLocks noChangeAspect="1" noChangeArrowheads="1"/>
        </xdr:cNvPicPr>
      </xdr:nvPicPr>
      <xdr:blipFill>
        <a:blip xmlns:r="http://schemas.openxmlformats.org/officeDocument/2006/relationships" r:embed="rId2302">
          <a:extLst>
            <a:ext uri="{28A0092B-C50C-407E-A947-70E740481C1C}">
              <a14:useLocalDpi xmlns:a14="http://schemas.microsoft.com/office/drawing/2010/main" val="0"/>
            </a:ext>
          </a:extLst>
        </a:blip>
        <a:srcRect/>
        <a:stretch>
          <a:fillRect/>
        </a:stretch>
      </xdr:blipFill>
      <xdr:spPr bwMode="auto">
        <a:xfrm>
          <a:off x="1228725" y="4358030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2307</xdr:row>
      <xdr:rowOff>19050</xdr:rowOff>
    </xdr:from>
    <xdr:to>
      <xdr:col>2</xdr:col>
      <xdr:colOff>1733550</xdr:colOff>
      <xdr:row>2307</xdr:row>
      <xdr:rowOff>1733550</xdr:rowOff>
    </xdr:to>
    <xdr:pic>
      <xdr:nvPicPr>
        <xdr:cNvPr id="2306" name="Picture 2305"/>
        <xdr:cNvPicPr>
          <a:picLocks noChangeAspect="1" noChangeArrowheads="1"/>
        </xdr:cNvPicPr>
      </xdr:nvPicPr>
      <xdr:blipFill>
        <a:blip xmlns:r="http://schemas.openxmlformats.org/officeDocument/2006/relationships" r:embed="rId2303">
          <a:extLst>
            <a:ext uri="{28A0092B-C50C-407E-A947-70E740481C1C}">
              <a14:useLocalDpi xmlns:a14="http://schemas.microsoft.com/office/drawing/2010/main" val="0"/>
            </a:ext>
          </a:extLst>
        </a:blip>
        <a:srcRect/>
        <a:stretch>
          <a:fillRect/>
        </a:stretch>
      </xdr:blipFill>
      <xdr:spPr bwMode="auto">
        <a:xfrm>
          <a:off x="1228725" y="4360030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2308</xdr:row>
      <xdr:rowOff>19050</xdr:rowOff>
    </xdr:from>
    <xdr:to>
      <xdr:col>2</xdr:col>
      <xdr:colOff>1733550</xdr:colOff>
      <xdr:row>2308</xdr:row>
      <xdr:rowOff>1733550</xdr:rowOff>
    </xdr:to>
    <xdr:pic>
      <xdr:nvPicPr>
        <xdr:cNvPr id="2307" name="Picture 2306"/>
        <xdr:cNvPicPr>
          <a:picLocks noChangeAspect="1" noChangeArrowheads="1"/>
        </xdr:cNvPicPr>
      </xdr:nvPicPr>
      <xdr:blipFill>
        <a:blip xmlns:r="http://schemas.openxmlformats.org/officeDocument/2006/relationships" r:embed="rId2304">
          <a:extLst>
            <a:ext uri="{28A0092B-C50C-407E-A947-70E740481C1C}">
              <a14:useLocalDpi xmlns:a14="http://schemas.microsoft.com/office/drawing/2010/main" val="0"/>
            </a:ext>
          </a:extLst>
        </a:blip>
        <a:srcRect/>
        <a:stretch>
          <a:fillRect/>
        </a:stretch>
      </xdr:blipFill>
      <xdr:spPr bwMode="auto">
        <a:xfrm>
          <a:off x="1228725" y="4362030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2309</xdr:row>
      <xdr:rowOff>19050</xdr:rowOff>
    </xdr:from>
    <xdr:to>
      <xdr:col>2</xdr:col>
      <xdr:colOff>1733550</xdr:colOff>
      <xdr:row>2309</xdr:row>
      <xdr:rowOff>1733550</xdr:rowOff>
    </xdr:to>
    <xdr:pic>
      <xdr:nvPicPr>
        <xdr:cNvPr id="2308" name="Picture 2307"/>
        <xdr:cNvPicPr>
          <a:picLocks noChangeAspect="1" noChangeArrowheads="1"/>
        </xdr:cNvPicPr>
      </xdr:nvPicPr>
      <xdr:blipFill>
        <a:blip xmlns:r="http://schemas.openxmlformats.org/officeDocument/2006/relationships" r:embed="rId2305">
          <a:extLst>
            <a:ext uri="{28A0092B-C50C-407E-A947-70E740481C1C}">
              <a14:useLocalDpi xmlns:a14="http://schemas.microsoft.com/office/drawing/2010/main" val="0"/>
            </a:ext>
          </a:extLst>
        </a:blip>
        <a:srcRect/>
        <a:stretch>
          <a:fillRect/>
        </a:stretch>
      </xdr:blipFill>
      <xdr:spPr bwMode="auto">
        <a:xfrm>
          <a:off x="1228725" y="4364031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2310</xdr:row>
      <xdr:rowOff>19050</xdr:rowOff>
    </xdr:from>
    <xdr:to>
      <xdr:col>2</xdr:col>
      <xdr:colOff>1733550</xdr:colOff>
      <xdr:row>2310</xdr:row>
      <xdr:rowOff>1733550</xdr:rowOff>
    </xdr:to>
    <xdr:pic>
      <xdr:nvPicPr>
        <xdr:cNvPr id="2309" name="Picture 2308"/>
        <xdr:cNvPicPr>
          <a:picLocks noChangeAspect="1" noChangeArrowheads="1"/>
        </xdr:cNvPicPr>
      </xdr:nvPicPr>
      <xdr:blipFill>
        <a:blip xmlns:r="http://schemas.openxmlformats.org/officeDocument/2006/relationships" r:embed="rId2306">
          <a:extLst>
            <a:ext uri="{28A0092B-C50C-407E-A947-70E740481C1C}">
              <a14:useLocalDpi xmlns:a14="http://schemas.microsoft.com/office/drawing/2010/main" val="0"/>
            </a:ext>
          </a:extLst>
        </a:blip>
        <a:srcRect/>
        <a:stretch>
          <a:fillRect/>
        </a:stretch>
      </xdr:blipFill>
      <xdr:spPr bwMode="auto">
        <a:xfrm>
          <a:off x="1228725" y="4366031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2311</xdr:row>
      <xdr:rowOff>19050</xdr:rowOff>
    </xdr:from>
    <xdr:to>
      <xdr:col>2</xdr:col>
      <xdr:colOff>1733550</xdr:colOff>
      <xdr:row>2311</xdr:row>
      <xdr:rowOff>1733550</xdr:rowOff>
    </xdr:to>
    <xdr:pic>
      <xdr:nvPicPr>
        <xdr:cNvPr id="2310" name="Picture 2309"/>
        <xdr:cNvPicPr>
          <a:picLocks noChangeAspect="1" noChangeArrowheads="1"/>
        </xdr:cNvPicPr>
      </xdr:nvPicPr>
      <xdr:blipFill>
        <a:blip xmlns:r="http://schemas.openxmlformats.org/officeDocument/2006/relationships" r:embed="rId2307">
          <a:extLst>
            <a:ext uri="{28A0092B-C50C-407E-A947-70E740481C1C}">
              <a14:useLocalDpi xmlns:a14="http://schemas.microsoft.com/office/drawing/2010/main" val="0"/>
            </a:ext>
          </a:extLst>
        </a:blip>
        <a:srcRect/>
        <a:stretch>
          <a:fillRect/>
        </a:stretch>
      </xdr:blipFill>
      <xdr:spPr bwMode="auto">
        <a:xfrm>
          <a:off x="1228725" y="4368031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2312</xdr:row>
      <xdr:rowOff>19050</xdr:rowOff>
    </xdr:from>
    <xdr:to>
      <xdr:col>2</xdr:col>
      <xdr:colOff>1733550</xdr:colOff>
      <xdr:row>2312</xdr:row>
      <xdr:rowOff>1733550</xdr:rowOff>
    </xdr:to>
    <xdr:pic>
      <xdr:nvPicPr>
        <xdr:cNvPr id="2311" name="Picture 2310"/>
        <xdr:cNvPicPr>
          <a:picLocks noChangeAspect="1" noChangeArrowheads="1"/>
        </xdr:cNvPicPr>
      </xdr:nvPicPr>
      <xdr:blipFill>
        <a:blip xmlns:r="http://schemas.openxmlformats.org/officeDocument/2006/relationships" r:embed="rId2308">
          <a:extLst>
            <a:ext uri="{28A0092B-C50C-407E-A947-70E740481C1C}">
              <a14:useLocalDpi xmlns:a14="http://schemas.microsoft.com/office/drawing/2010/main" val="0"/>
            </a:ext>
          </a:extLst>
        </a:blip>
        <a:srcRect/>
        <a:stretch>
          <a:fillRect/>
        </a:stretch>
      </xdr:blipFill>
      <xdr:spPr bwMode="auto">
        <a:xfrm>
          <a:off x="1228725" y="4370031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2313</xdr:row>
      <xdr:rowOff>19050</xdr:rowOff>
    </xdr:from>
    <xdr:to>
      <xdr:col>2</xdr:col>
      <xdr:colOff>1733550</xdr:colOff>
      <xdr:row>2313</xdr:row>
      <xdr:rowOff>1733550</xdr:rowOff>
    </xdr:to>
    <xdr:pic>
      <xdr:nvPicPr>
        <xdr:cNvPr id="2312" name="Picture 2311"/>
        <xdr:cNvPicPr>
          <a:picLocks noChangeAspect="1" noChangeArrowheads="1"/>
        </xdr:cNvPicPr>
      </xdr:nvPicPr>
      <xdr:blipFill>
        <a:blip xmlns:r="http://schemas.openxmlformats.org/officeDocument/2006/relationships" r:embed="rId2309">
          <a:extLst>
            <a:ext uri="{28A0092B-C50C-407E-A947-70E740481C1C}">
              <a14:useLocalDpi xmlns:a14="http://schemas.microsoft.com/office/drawing/2010/main" val="0"/>
            </a:ext>
          </a:extLst>
        </a:blip>
        <a:srcRect/>
        <a:stretch>
          <a:fillRect/>
        </a:stretch>
      </xdr:blipFill>
      <xdr:spPr bwMode="auto">
        <a:xfrm>
          <a:off x="1228725" y="4372032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2314</xdr:row>
      <xdr:rowOff>19050</xdr:rowOff>
    </xdr:from>
    <xdr:to>
      <xdr:col>2</xdr:col>
      <xdr:colOff>1733550</xdr:colOff>
      <xdr:row>2314</xdr:row>
      <xdr:rowOff>1733550</xdr:rowOff>
    </xdr:to>
    <xdr:pic>
      <xdr:nvPicPr>
        <xdr:cNvPr id="2313" name="Picture 2312"/>
        <xdr:cNvPicPr>
          <a:picLocks noChangeAspect="1" noChangeArrowheads="1"/>
        </xdr:cNvPicPr>
      </xdr:nvPicPr>
      <xdr:blipFill>
        <a:blip xmlns:r="http://schemas.openxmlformats.org/officeDocument/2006/relationships" r:embed="rId2310">
          <a:extLst>
            <a:ext uri="{28A0092B-C50C-407E-A947-70E740481C1C}">
              <a14:useLocalDpi xmlns:a14="http://schemas.microsoft.com/office/drawing/2010/main" val="0"/>
            </a:ext>
          </a:extLst>
        </a:blip>
        <a:srcRect/>
        <a:stretch>
          <a:fillRect/>
        </a:stretch>
      </xdr:blipFill>
      <xdr:spPr bwMode="auto">
        <a:xfrm>
          <a:off x="1228725" y="4374032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2315</xdr:row>
      <xdr:rowOff>19050</xdr:rowOff>
    </xdr:from>
    <xdr:to>
      <xdr:col>2</xdr:col>
      <xdr:colOff>1733550</xdr:colOff>
      <xdr:row>2315</xdr:row>
      <xdr:rowOff>1733550</xdr:rowOff>
    </xdr:to>
    <xdr:pic>
      <xdr:nvPicPr>
        <xdr:cNvPr id="2314" name="Picture 2313"/>
        <xdr:cNvPicPr>
          <a:picLocks noChangeAspect="1" noChangeArrowheads="1"/>
        </xdr:cNvPicPr>
      </xdr:nvPicPr>
      <xdr:blipFill>
        <a:blip xmlns:r="http://schemas.openxmlformats.org/officeDocument/2006/relationships" r:embed="rId2311">
          <a:extLst>
            <a:ext uri="{28A0092B-C50C-407E-A947-70E740481C1C}">
              <a14:useLocalDpi xmlns:a14="http://schemas.microsoft.com/office/drawing/2010/main" val="0"/>
            </a:ext>
          </a:extLst>
        </a:blip>
        <a:srcRect/>
        <a:stretch>
          <a:fillRect/>
        </a:stretch>
      </xdr:blipFill>
      <xdr:spPr bwMode="auto">
        <a:xfrm>
          <a:off x="1228725" y="4376032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2316</xdr:row>
      <xdr:rowOff>19050</xdr:rowOff>
    </xdr:from>
    <xdr:to>
      <xdr:col>2</xdr:col>
      <xdr:colOff>1733550</xdr:colOff>
      <xdr:row>2316</xdr:row>
      <xdr:rowOff>1733550</xdr:rowOff>
    </xdr:to>
    <xdr:pic>
      <xdr:nvPicPr>
        <xdr:cNvPr id="2315" name="Picture 2314"/>
        <xdr:cNvPicPr>
          <a:picLocks noChangeAspect="1" noChangeArrowheads="1"/>
        </xdr:cNvPicPr>
      </xdr:nvPicPr>
      <xdr:blipFill>
        <a:blip xmlns:r="http://schemas.openxmlformats.org/officeDocument/2006/relationships" r:embed="rId2312">
          <a:extLst>
            <a:ext uri="{28A0092B-C50C-407E-A947-70E740481C1C}">
              <a14:useLocalDpi xmlns:a14="http://schemas.microsoft.com/office/drawing/2010/main" val="0"/>
            </a:ext>
          </a:extLst>
        </a:blip>
        <a:srcRect/>
        <a:stretch>
          <a:fillRect/>
        </a:stretch>
      </xdr:blipFill>
      <xdr:spPr bwMode="auto">
        <a:xfrm>
          <a:off x="1228725" y="4378032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2317</xdr:row>
      <xdr:rowOff>19050</xdr:rowOff>
    </xdr:from>
    <xdr:to>
      <xdr:col>2</xdr:col>
      <xdr:colOff>1733550</xdr:colOff>
      <xdr:row>2317</xdr:row>
      <xdr:rowOff>1733550</xdr:rowOff>
    </xdr:to>
    <xdr:pic>
      <xdr:nvPicPr>
        <xdr:cNvPr id="2316" name="Picture 2315"/>
        <xdr:cNvPicPr>
          <a:picLocks noChangeAspect="1" noChangeArrowheads="1"/>
        </xdr:cNvPicPr>
      </xdr:nvPicPr>
      <xdr:blipFill>
        <a:blip xmlns:r="http://schemas.openxmlformats.org/officeDocument/2006/relationships" r:embed="rId2313">
          <a:extLst>
            <a:ext uri="{28A0092B-C50C-407E-A947-70E740481C1C}">
              <a14:useLocalDpi xmlns:a14="http://schemas.microsoft.com/office/drawing/2010/main" val="0"/>
            </a:ext>
          </a:extLst>
        </a:blip>
        <a:srcRect/>
        <a:stretch>
          <a:fillRect/>
        </a:stretch>
      </xdr:blipFill>
      <xdr:spPr bwMode="auto">
        <a:xfrm>
          <a:off x="1228725" y="4380033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2318</xdr:row>
      <xdr:rowOff>19050</xdr:rowOff>
    </xdr:from>
    <xdr:to>
      <xdr:col>2</xdr:col>
      <xdr:colOff>1733550</xdr:colOff>
      <xdr:row>2318</xdr:row>
      <xdr:rowOff>1733550</xdr:rowOff>
    </xdr:to>
    <xdr:pic>
      <xdr:nvPicPr>
        <xdr:cNvPr id="2317" name="Picture 2316"/>
        <xdr:cNvPicPr>
          <a:picLocks noChangeAspect="1" noChangeArrowheads="1"/>
        </xdr:cNvPicPr>
      </xdr:nvPicPr>
      <xdr:blipFill>
        <a:blip xmlns:r="http://schemas.openxmlformats.org/officeDocument/2006/relationships" r:embed="rId2314">
          <a:extLst>
            <a:ext uri="{28A0092B-C50C-407E-A947-70E740481C1C}">
              <a14:useLocalDpi xmlns:a14="http://schemas.microsoft.com/office/drawing/2010/main" val="0"/>
            </a:ext>
          </a:extLst>
        </a:blip>
        <a:srcRect/>
        <a:stretch>
          <a:fillRect/>
        </a:stretch>
      </xdr:blipFill>
      <xdr:spPr bwMode="auto">
        <a:xfrm>
          <a:off x="1228725" y="4382033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2319</xdr:row>
      <xdr:rowOff>19050</xdr:rowOff>
    </xdr:from>
    <xdr:to>
      <xdr:col>2</xdr:col>
      <xdr:colOff>1733550</xdr:colOff>
      <xdr:row>2319</xdr:row>
      <xdr:rowOff>1733550</xdr:rowOff>
    </xdr:to>
    <xdr:pic>
      <xdr:nvPicPr>
        <xdr:cNvPr id="2318" name="Picture 2317"/>
        <xdr:cNvPicPr>
          <a:picLocks noChangeAspect="1" noChangeArrowheads="1"/>
        </xdr:cNvPicPr>
      </xdr:nvPicPr>
      <xdr:blipFill>
        <a:blip xmlns:r="http://schemas.openxmlformats.org/officeDocument/2006/relationships" r:embed="rId2315">
          <a:extLst>
            <a:ext uri="{28A0092B-C50C-407E-A947-70E740481C1C}">
              <a14:useLocalDpi xmlns:a14="http://schemas.microsoft.com/office/drawing/2010/main" val="0"/>
            </a:ext>
          </a:extLst>
        </a:blip>
        <a:srcRect/>
        <a:stretch>
          <a:fillRect/>
        </a:stretch>
      </xdr:blipFill>
      <xdr:spPr bwMode="auto">
        <a:xfrm>
          <a:off x="1228725" y="4384033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2320</xdr:row>
      <xdr:rowOff>19050</xdr:rowOff>
    </xdr:from>
    <xdr:to>
      <xdr:col>2</xdr:col>
      <xdr:colOff>1733550</xdr:colOff>
      <xdr:row>2320</xdr:row>
      <xdr:rowOff>1733550</xdr:rowOff>
    </xdr:to>
    <xdr:pic>
      <xdr:nvPicPr>
        <xdr:cNvPr id="2319" name="Picture 2318"/>
        <xdr:cNvPicPr>
          <a:picLocks noChangeAspect="1" noChangeArrowheads="1"/>
        </xdr:cNvPicPr>
      </xdr:nvPicPr>
      <xdr:blipFill>
        <a:blip xmlns:r="http://schemas.openxmlformats.org/officeDocument/2006/relationships" r:embed="rId2316">
          <a:extLst>
            <a:ext uri="{28A0092B-C50C-407E-A947-70E740481C1C}">
              <a14:useLocalDpi xmlns:a14="http://schemas.microsoft.com/office/drawing/2010/main" val="0"/>
            </a:ext>
          </a:extLst>
        </a:blip>
        <a:srcRect/>
        <a:stretch>
          <a:fillRect/>
        </a:stretch>
      </xdr:blipFill>
      <xdr:spPr bwMode="auto">
        <a:xfrm>
          <a:off x="1228725" y="4386033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2321</xdr:row>
      <xdr:rowOff>19050</xdr:rowOff>
    </xdr:from>
    <xdr:to>
      <xdr:col>2</xdr:col>
      <xdr:colOff>1733550</xdr:colOff>
      <xdr:row>2321</xdr:row>
      <xdr:rowOff>1733550</xdr:rowOff>
    </xdr:to>
    <xdr:pic>
      <xdr:nvPicPr>
        <xdr:cNvPr id="2320" name="Picture 2319"/>
        <xdr:cNvPicPr>
          <a:picLocks noChangeAspect="1" noChangeArrowheads="1"/>
        </xdr:cNvPicPr>
      </xdr:nvPicPr>
      <xdr:blipFill>
        <a:blip xmlns:r="http://schemas.openxmlformats.org/officeDocument/2006/relationships" r:embed="rId2317">
          <a:extLst>
            <a:ext uri="{28A0092B-C50C-407E-A947-70E740481C1C}">
              <a14:useLocalDpi xmlns:a14="http://schemas.microsoft.com/office/drawing/2010/main" val="0"/>
            </a:ext>
          </a:extLst>
        </a:blip>
        <a:srcRect/>
        <a:stretch>
          <a:fillRect/>
        </a:stretch>
      </xdr:blipFill>
      <xdr:spPr bwMode="auto">
        <a:xfrm>
          <a:off x="1228725" y="4388034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2322</xdr:row>
      <xdr:rowOff>19050</xdr:rowOff>
    </xdr:from>
    <xdr:to>
      <xdr:col>2</xdr:col>
      <xdr:colOff>1733550</xdr:colOff>
      <xdr:row>2322</xdr:row>
      <xdr:rowOff>1733550</xdr:rowOff>
    </xdr:to>
    <xdr:pic>
      <xdr:nvPicPr>
        <xdr:cNvPr id="2321" name="Picture 2320"/>
        <xdr:cNvPicPr>
          <a:picLocks noChangeAspect="1" noChangeArrowheads="1"/>
        </xdr:cNvPicPr>
      </xdr:nvPicPr>
      <xdr:blipFill>
        <a:blip xmlns:r="http://schemas.openxmlformats.org/officeDocument/2006/relationships" r:embed="rId2318">
          <a:extLst>
            <a:ext uri="{28A0092B-C50C-407E-A947-70E740481C1C}">
              <a14:useLocalDpi xmlns:a14="http://schemas.microsoft.com/office/drawing/2010/main" val="0"/>
            </a:ext>
          </a:extLst>
        </a:blip>
        <a:srcRect/>
        <a:stretch>
          <a:fillRect/>
        </a:stretch>
      </xdr:blipFill>
      <xdr:spPr bwMode="auto">
        <a:xfrm>
          <a:off x="1228725" y="4390034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2323</xdr:row>
      <xdr:rowOff>19050</xdr:rowOff>
    </xdr:from>
    <xdr:to>
      <xdr:col>2</xdr:col>
      <xdr:colOff>1733550</xdr:colOff>
      <xdr:row>2323</xdr:row>
      <xdr:rowOff>1733550</xdr:rowOff>
    </xdr:to>
    <xdr:pic>
      <xdr:nvPicPr>
        <xdr:cNvPr id="2322" name="Picture 2321"/>
        <xdr:cNvPicPr>
          <a:picLocks noChangeAspect="1" noChangeArrowheads="1"/>
        </xdr:cNvPicPr>
      </xdr:nvPicPr>
      <xdr:blipFill>
        <a:blip xmlns:r="http://schemas.openxmlformats.org/officeDocument/2006/relationships" r:embed="rId2319">
          <a:extLst>
            <a:ext uri="{28A0092B-C50C-407E-A947-70E740481C1C}">
              <a14:useLocalDpi xmlns:a14="http://schemas.microsoft.com/office/drawing/2010/main" val="0"/>
            </a:ext>
          </a:extLst>
        </a:blip>
        <a:srcRect/>
        <a:stretch>
          <a:fillRect/>
        </a:stretch>
      </xdr:blipFill>
      <xdr:spPr bwMode="auto">
        <a:xfrm>
          <a:off x="1228725" y="43920346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2324</xdr:row>
      <xdr:rowOff>9525</xdr:rowOff>
    </xdr:from>
    <xdr:to>
      <xdr:col>2</xdr:col>
      <xdr:colOff>1733550</xdr:colOff>
      <xdr:row>2324</xdr:row>
      <xdr:rowOff>1524000</xdr:rowOff>
    </xdr:to>
    <xdr:pic>
      <xdr:nvPicPr>
        <xdr:cNvPr id="2323" name="Picture 2322"/>
        <xdr:cNvPicPr>
          <a:picLocks noChangeAspect="1" noChangeArrowheads="1"/>
        </xdr:cNvPicPr>
      </xdr:nvPicPr>
      <xdr:blipFill>
        <a:blip xmlns:r="http://schemas.openxmlformats.org/officeDocument/2006/relationships" r:embed="rId2320">
          <a:extLst>
            <a:ext uri="{28A0092B-C50C-407E-A947-70E740481C1C}">
              <a14:useLocalDpi xmlns:a14="http://schemas.microsoft.com/office/drawing/2010/main" val="0"/>
            </a:ext>
          </a:extLst>
        </a:blip>
        <a:srcRect/>
        <a:stretch>
          <a:fillRect/>
        </a:stretch>
      </xdr:blipFill>
      <xdr:spPr bwMode="auto">
        <a:xfrm>
          <a:off x="1228725" y="4394025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2325</xdr:row>
      <xdr:rowOff>19050</xdr:rowOff>
    </xdr:from>
    <xdr:to>
      <xdr:col>2</xdr:col>
      <xdr:colOff>1733550</xdr:colOff>
      <xdr:row>2325</xdr:row>
      <xdr:rowOff>1733550</xdr:rowOff>
    </xdr:to>
    <xdr:pic>
      <xdr:nvPicPr>
        <xdr:cNvPr id="2324" name="Picture 2323"/>
        <xdr:cNvPicPr>
          <a:picLocks noChangeAspect="1" noChangeArrowheads="1"/>
        </xdr:cNvPicPr>
      </xdr:nvPicPr>
      <xdr:blipFill>
        <a:blip xmlns:r="http://schemas.openxmlformats.org/officeDocument/2006/relationships" r:embed="rId2321">
          <a:extLst>
            <a:ext uri="{28A0092B-C50C-407E-A947-70E740481C1C}">
              <a14:useLocalDpi xmlns:a14="http://schemas.microsoft.com/office/drawing/2010/main" val="0"/>
            </a:ext>
          </a:extLst>
        </a:blip>
        <a:srcRect/>
        <a:stretch>
          <a:fillRect/>
        </a:stretch>
      </xdr:blipFill>
      <xdr:spPr bwMode="auto">
        <a:xfrm>
          <a:off x="1228725" y="4395787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2326</xdr:row>
      <xdr:rowOff>19050</xdr:rowOff>
    </xdr:from>
    <xdr:to>
      <xdr:col>2</xdr:col>
      <xdr:colOff>1733550</xdr:colOff>
      <xdr:row>2326</xdr:row>
      <xdr:rowOff>1733550</xdr:rowOff>
    </xdr:to>
    <xdr:pic>
      <xdr:nvPicPr>
        <xdr:cNvPr id="2325" name="Picture 2324"/>
        <xdr:cNvPicPr>
          <a:picLocks noChangeAspect="1" noChangeArrowheads="1"/>
        </xdr:cNvPicPr>
      </xdr:nvPicPr>
      <xdr:blipFill>
        <a:blip xmlns:r="http://schemas.openxmlformats.org/officeDocument/2006/relationships" r:embed="rId2322">
          <a:extLst>
            <a:ext uri="{28A0092B-C50C-407E-A947-70E740481C1C}">
              <a14:useLocalDpi xmlns:a14="http://schemas.microsoft.com/office/drawing/2010/main" val="0"/>
            </a:ext>
          </a:extLst>
        </a:blip>
        <a:srcRect/>
        <a:stretch>
          <a:fillRect/>
        </a:stretch>
      </xdr:blipFill>
      <xdr:spPr bwMode="auto">
        <a:xfrm>
          <a:off x="1228725" y="4397787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2327</xdr:row>
      <xdr:rowOff>19050</xdr:rowOff>
    </xdr:from>
    <xdr:to>
      <xdr:col>2</xdr:col>
      <xdr:colOff>1733550</xdr:colOff>
      <xdr:row>2327</xdr:row>
      <xdr:rowOff>1733550</xdr:rowOff>
    </xdr:to>
    <xdr:pic>
      <xdr:nvPicPr>
        <xdr:cNvPr id="2326" name="Picture 2325"/>
        <xdr:cNvPicPr>
          <a:picLocks noChangeAspect="1" noChangeArrowheads="1"/>
        </xdr:cNvPicPr>
      </xdr:nvPicPr>
      <xdr:blipFill>
        <a:blip xmlns:r="http://schemas.openxmlformats.org/officeDocument/2006/relationships" r:embed="rId2323">
          <a:extLst>
            <a:ext uri="{28A0092B-C50C-407E-A947-70E740481C1C}">
              <a14:useLocalDpi xmlns:a14="http://schemas.microsoft.com/office/drawing/2010/main" val="0"/>
            </a:ext>
          </a:extLst>
        </a:blip>
        <a:srcRect/>
        <a:stretch>
          <a:fillRect/>
        </a:stretch>
      </xdr:blipFill>
      <xdr:spPr bwMode="auto">
        <a:xfrm>
          <a:off x="1228725" y="4399788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2328</xdr:row>
      <xdr:rowOff>19050</xdr:rowOff>
    </xdr:from>
    <xdr:to>
      <xdr:col>2</xdr:col>
      <xdr:colOff>1733550</xdr:colOff>
      <xdr:row>2328</xdr:row>
      <xdr:rowOff>1733550</xdr:rowOff>
    </xdr:to>
    <xdr:pic>
      <xdr:nvPicPr>
        <xdr:cNvPr id="2327" name="Picture 2326"/>
        <xdr:cNvPicPr>
          <a:picLocks noChangeAspect="1" noChangeArrowheads="1"/>
        </xdr:cNvPicPr>
      </xdr:nvPicPr>
      <xdr:blipFill>
        <a:blip xmlns:r="http://schemas.openxmlformats.org/officeDocument/2006/relationships" r:embed="rId2324">
          <a:extLst>
            <a:ext uri="{28A0092B-C50C-407E-A947-70E740481C1C}">
              <a14:useLocalDpi xmlns:a14="http://schemas.microsoft.com/office/drawing/2010/main" val="0"/>
            </a:ext>
          </a:extLst>
        </a:blip>
        <a:srcRect/>
        <a:stretch>
          <a:fillRect/>
        </a:stretch>
      </xdr:blipFill>
      <xdr:spPr bwMode="auto">
        <a:xfrm>
          <a:off x="1228725" y="4401788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2329</xdr:row>
      <xdr:rowOff>19050</xdr:rowOff>
    </xdr:from>
    <xdr:to>
      <xdr:col>2</xdr:col>
      <xdr:colOff>1733550</xdr:colOff>
      <xdr:row>2329</xdr:row>
      <xdr:rowOff>1733550</xdr:rowOff>
    </xdr:to>
    <xdr:pic>
      <xdr:nvPicPr>
        <xdr:cNvPr id="2328" name="Picture 2327"/>
        <xdr:cNvPicPr>
          <a:picLocks noChangeAspect="1" noChangeArrowheads="1"/>
        </xdr:cNvPicPr>
      </xdr:nvPicPr>
      <xdr:blipFill>
        <a:blip xmlns:r="http://schemas.openxmlformats.org/officeDocument/2006/relationships" r:embed="rId2325">
          <a:extLst>
            <a:ext uri="{28A0092B-C50C-407E-A947-70E740481C1C}">
              <a14:useLocalDpi xmlns:a14="http://schemas.microsoft.com/office/drawing/2010/main" val="0"/>
            </a:ext>
          </a:extLst>
        </a:blip>
        <a:srcRect/>
        <a:stretch>
          <a:fillRect/>
        </a:stretch>
      </xdr:blipFill>
      <xdr:spPr bwMode="auto">
        <a:xfrm>
          <a:off x="1228725" y="4403788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2330</xdr:row>
      <xdr:rowOff>19050</xdr:rowOff>
    </xdr:from>
    <xdr:to>
      <xdr:col>2</xdr:col>
      <xdr:colOff>1733550</xdr:colOff>
      <xdr:row>2330</xdr:row>
      <xdr:rowOff>1733550</xdr:rowOff>
    </xdr:to>
    <xdr:pic>
      <xdr:nvPicPr>
        <xdr:cNvPr id="2329" name="Picture 2328"/>
        <xdr:cNvPicPr>
          <a:picLocks noChangeAspect="1" noChangeArrowheads="1"/>
        </xdr:cNvPicPr>
      </xdr:nvPicPr>
      <xdr:blipFill>
        <a:blip xmlns:r="http://schemas.openxmlformats.org/officeDocument/2006/relationships" r:embed="rId2326">
          <a:extLst>
            <a:ext uri="{28A0092B-C50C-407E-A947-70E740481C1C}">
              <a14:useLocalDpi xmlns:a14="http://schemas.microsoft.com/office/drawing/2010/main" val="0"/>
            </a:ext>
          </a:extLst>
        </a:blip>
        <a:srcRect/>
        <a:stretch>
          <a:fillRect/>
        </a:stretch>
      </xdr:blipFill>
      <xdr:spPr bwMode="auto">
        <a:xfrm>
          <a:off x="1228725" y="4405788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2331</xdr:row>
      <xdr:rowOff>19050</xdr:rowOff>
    </xdr:from>
    <xdr:to>
      <xdr:col>2</xdr:col>
      <xdr:colOff>1733550</xdr:colOff>
      <xdr:row>2331</xdr:row>
      <xdr:rowOff>1733550</xdr:rowOff>
    </xdr:to>
    <xdr:pic>
      <xdr:nvPicPr>
        <xdr:cNvPr id="2330" name="Picture 2329"/>
        <xdr:cNvPicPr>
          <a:picLocks noChangeAspect="1" noChangeArrowheads="1"/>
        </xdr:cNvPicPr>
      </xdr:nvPicPr>
      <xdr:blipFill>
        <a:blip xmlns:r="http://schemas.openxmlformats.org/officeDocument/2006/relationships" r:embed="rId2327">
          <a:extLst>
            <a:ext uri="{28A0092B-C50C-407E-A947-70E740481C1C}">
              <a14:useLocalDpi xmlns:a14="http://schemas.microsoft.com/office/drawing/2010/main" val="0"/>
            </a:ext>
          </a:extLst>
        </a:blip>
        <a:srcRect/>
        <a:stretch>
          <a:fillRect/>
        </a:stretch>
      </xdr:blipFill>
      <xdr:spPr bwMode="auto">
        <a:xfrm>
          <a:off x="1228725" y="4407789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2332</xdr:row>
      <xdr:rowOff>19050</xdr:rowOff>
    </xdr:from>
    <xdr:to>
      <xdr:col>2</xdr:col>
      <xdr:colOff>1733550</xdr:colOff>
      <xdr:row>2332</xdr:row>
      <xdr:rowOff>1733550</xdr:rowOff>
    </xdr:to>
    <xdr:pic>
      <xdr:nvPicPr>
        <xdr:cNvPr id="2331" name="Picture 2330"/>
        <xdr:cNvPicPr>
          <a:picLocks noChangeAspect="1" noChangeArrowheads="1"/>
        </xdr:cNvPicPr>
      </xdr:nvPicPr>
      <xdr:blipFill>
        <a:blip xmlns:r="http://schemas.openxmlformats.org/officeDocument/2006/relationships" r:embed="rId2328">
          <a:extLst>
            <a:ext uri="{28A0092B-C50C-407E-A947-70E740481C1C}">
              <a14:useLocalDpi xmlns:a14="http://schemas.microsoft.com/office/drawing/2010/main" val="0"/>
            </a:ext>
          </a:extLst>
        </a:blip>
        <a:srcRect/>
        <a:stretch>
          <a:fillRect/>
        </a:stretch>
      </xdr:blipFill>
      <xdr:spPr bwMode="auto">
        <a:xfrm>
          <a:off x="1228725" y="4409789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2333</xdr:row>
      <xdr:rowOff>19050</xdr:rowOff>
    </xdr:from>
    <xdr:to>
      <xdr:col>2</xdr:col>
      <xdr:colOff>1733550</xdr:colOff>
      <xdr:row>2333</xdr:row>
      <xdr:rowOff>1733550</xdr:rowOff>
    </xdr:to>
    <xdr:pic>
      <xdr:nvPicPr>
        <xdr:cNvPr id="2332" name="Picture 2331"/>
        <xdr:cNvPicPr>
          <a:picLocks noChangeAspect="1" noChangeArrowheads="1"/>
        </xdr:cNvPicPr>
      </xdr:nvPicPr>
      <xdr:blipFill>
        <a:blip xmlns:r="http://schemas.openxmlformats.org/officeDocument/2006/relationships" r:embed="rId2329">
          <a:extLst>
            <a:ext uri="{28A0092B-C50C-407E-A947-70E740481C1C}">
              <a14:useLocalDpi xmlns:a14="http://schemas.microsoft.com/office/drawing/2010/main" val="0"/>
            </a:ext>
          </a:extLst>
        </a:blip>
        <a:srcRect/>
        <a:stretch>
          <a:fillRect/>
        </a:stretch>
      </xdr:blipFill>
      <xdr:spPr bwMode="auto">
        <a:xfrm>
          <a:off x="1228725" y="4411789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2334</xdr:row>
      <xdr:rowOff>19050</xdr:rowOff>
    </xdr:from>
    <xdr:to>
      <xdr:col>2</xdr:col>
      <xdr:colOff>1733550</xdr:colOff>
      <xdr:row>2334</xdr:row>
      <xdr:rowOff>1733550</xdr:rowOff>
    </xdr:to>
    <xdr:pic>
      <xdr:nvPicPr>
        <xdr:cNvPr id="2333" name="Picture 2332"/>
        <xdr:cNvPicPr>
          <a:picLocks noChangeAspect="1" noChangeArrowheads="1"/>
        </xdr:cNvPicPr>
      </xdr:nvPicPr>
      <xdr:blipFill>
        <a:blip xmlns:r="http://schemas.openxmlformats.org/officeDocument/2006/relationships" r:embed="rId2330">
          <a:extLst>
            <a:ext uri="{28A0092B-C50C-407E-A947-70E740481C1C}">
              <a14:useLocalDpi xmlns:a14="http://schemas.microsoft.com/office/drawing/2010/main" val="0"/>
            </a:ext>
          </a:extLst>
        </a:blip>
        <a:srcRect/>
        <a:stretch>
          <a:fillRect/>
        </a:stretch>
      </xdr:blipFill>
      <xdr:spPr bwMode="auto">
        <a:xfrm>
          <a:off x="1228725" y="4413789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2335</xdr:row>
      <xdr:rowOff>19050</xdr:rowOff>
    </xdr:from>
    <xdr:to>
      <xdr:col>2</xdr:col>
      <xdr:colOff>1733550</xdr:colOff>
      <xdr:row>2335</xdr:row>
      <xdr:rowOff>1733550</xdr:rowOff>
    </xdr:to>
    <xdr:pic>
      <xdr:nvPicPr>
        <xdr:cNvPr id="2334" name="Picture 2333"/>
        <xdr:cNvPicPr>
          <a:picLocks noChangeAspect="1" noChangeArrowheads="1"/>
        </xdr:cNvPicPr>
      </xdr:nvPicPr>
      <xdr:blipFill>
        <a:blip xmlns:r="http://schemas.openxmlformats.org/officeDocument/2006/relationships" r:embed="rId2331">
          <a:extLst>
            <a:ext uri="{28A0092B-C50C-407E-A947-70E740481C1C}">
              <a14:useLocalDpi xmlns:a14="http://schemas.microsoft.com/office/drawing/2010/main" val="0"/>
            </a:ext>
          </a:extLst>
        </a:blip>
        <a:srcRect/>
        <a:stretch>
          <a:fillRect/>
        </a:stretch>
      </xdr:blipFill>
      <xdr:spPr bwMode="auto">
        <a:xfrm>
          <a:off x="1228725" y="4415790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2336</xdr:row>
      <xdr:rowOff>19050</xdr:rowOff>
    </xdr:from>
    <xdr:to>
      <xdr:col>2</xdr:col>
      <xdr:colOff>1733550</xdr:colOff>
      <xdr:row>2336</xdr:row>
      <xdr:rowOff>1733550</xdr:rowOff>
    </xdr:to>
    <xdr:pic>
      <xdr:nvPicPr>
        <xdr:cNvPr id="2335" name="Picture 2334"/>
        <xdr:cNvPicPr>
          <a:picLocks noChangeAspect="1" noChangeArrowheads="1"/>
        </xdr:cNvPicPr>
      </xdr:nvPicPr>
      <xdr:blipFill>
        <a:blip xmlns:r="http://schemas.openxmlformats.org/officeDocument/2006/relationships" r:embed="rId2332">
          <a:extLst>
            <a:ext uri="{28A0092B-C50C-407E-A947-70E740481C1C}">
              <a14:useLocalDpi xmlns:a14="http://schemas.microsoft.com/office/drawing/2010/main" val="0"/>
            </a:ext>
          </a:extLst>
        </a:blip>
        <a:srcRect/>
        <a:stretch>
          <a:fillRect/>
        </a:stretch>
      </xdr:blipFill>
      <xdr:spPr bwMode="auto">
        <a:xfrm>
          <a:off x="1228725" y="4417790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2337</xdr:row>
      <xdr:rowOff>19050</xdr:rowOff>
    </xdr:from>
    <xdr:to>
      <xdr:col>2</xdr:col>
      <xdr:colOff>1733550</xdr:colOff>
      <xdr:row>2337</xdr:row>
      <xdr:rowOff>1733550</xdr:rowOff>
    </xdr:to>
    <xdr:pic>
      <xdr:nvPicPr>
        <xdr:cNvPr id="2336" name="Picture 2335"/>
        <xdr:cNvPicPr>
          <a:picLocks noChangeAspect="1" noChangeArrowheads="1"/>
        </xdr:cNvPicPr>
      </xdr:nvPicPr>
      <xdr:blipFill>
        <a:blip xmlns:r="http://schemas.openxmlformats.org/officeDocument/2006/relationships" r:embed="rId2333">
          <a:extLst>
            <a:ext uri="{28A0092B-C50C-407E-A947-70E740481C1C}">
              <a14:useLocalDpi xmlns:a14="http://schemas.microsoft.com/office/drawing/2010/main" val="0"/>
            </a:ext>
          </a:extLst>
        </a:blip>
        <a:srcRect/>
        <a:stretch>
          <a:fillRect/>
        </a:stretch>
      </xdr:blipFill>
      <xdr:spPr bwMode="auto">
        <a:xfrm>
          <a:off x="1228725" y="4419790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2338</xdr:row>
      <xdr:rowOff>19050</xdr:rowOff>
    </xdr:from>
    <xdr:to>
      <xdr:col>2</xdr:col>
      <xdr:colOff>1733550</xdr:colOff>
      <xdr:row>2338</xdr:row>
      <xdr:rowOff>1733550</xdr:rowOff>
    </xdr:to>
    <xdr:pic>
      <xdr:nvPicPr>
        <xdr:cNvPr id="2337" name="Picture 2336"/>
        <xdr:cNvPicPr>
          <a:picLocks noChangeAspect="1" noChangeArrowheads="1"/>
        </xdr:cNvPicPr>
      </xdr:nvPicPr>
      <xdr:blipFill>
        <a:blip xmlns:r="http://schemas.openxmlformats.org/officeDocument/2006/relationships" r:embed="rId2334">
          <a:extLst>
            <a:ext uri="{28A0092B-C50C-407E-A947-70E740481C1C}">
              <a14:useLocalDpi xmlns:a14="http://schemas.microsoft.com/office/drawing/2010/main" val="0"/>
            </a:ext>
          </a:extLst>
        </a:blip>
        <a:srcRect/>
        <a:stretch>
          <a:fillRect/>
        </a:stretch>
      </xdr:blipFill>
      <xdr:spPr bwMode="auto">
        <a:xfrm>
          <a:off x="1228725" y="4421790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2339</xdr:row>
      <xdr:rowOff>19050</xdr:rowOff>
    </xdr:from>
    <xdr:to>
      <xdr:col>2</xdr:col>
      <xdr:colOff>1733550</xdr:colOff>
      <xdr:row>2339</xdr:row>
      <xdr:rowOff>1733550</xdr:rowOff>
    </xdr:to>
    <xdr:pic>
      <xdr:nvPicPr>
        <xdr:cNvPr id="2338" name="Picture 2337"/>
        <xdr:cNvPicPr>
          <a:picLocks noChangeAspect="1" noChangeArrowheads="1"/>
        </xdr:cNvPicPr>
      </xdr:nvPicPr>
      <xdr:blipFill>
        <a:blip xmlns:r="http://schemas.openxmlformats.org/officeDocument/2006/relationships" r:embed="rId2335">
          <a:extLst>
            <a:ext uri="{28A0092B-C50C-407E-A947-70E740481C1C}">
              <a14:useLocalDpi xmlns:a14="http://schemas.microsoft.com/office/drawing/2010/main" val="0"/>
            </a:ext>
          </a:extLst>
        </a:blip>
        <a:srcRect/>
        <a:stretch>
          <a:fillRect/>
        </a:stretch>
      </xdr:blipFill>
      <xdr:spPr bwMode="auto">
        <a:xfrm>
          <a:off x="1228725" y="4423791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2340</xdr:row>
      <xdr:rowOff>19050</xdr:rowOff>
    </xdr:from>
    <xdr:to>
      <xdr:col>2</xdr:col>
      <xdr:colOff>1733550</xdr:colOff>
      <xdr:row>2340</xdr:row>
      <xdr:rowOff>1733550</xdr:rowOff>
    </xdr:to>
    <xdr:pic>
      <xdr:nvPicPr>
        <xdr:cNvPr id="2339" name="Picture 2338"/>
        <xdr:cNvPicPr>
          <a:picLocks noChangeAspect="1" noChangeArrowheads="1"/>
        </xdr:cNvPicPr>
      </xdr:nvPicPr>
      <xdr:blipFill>
        <a:blip xmlns:r="http://schemas.openxmlformats.org/officeDocument/2006/relationships" r:embed="rId2336">
          <a:extLst>
            <a:ext uri="{28A0092B-C50C-407E-A947-70E740481C1C}">
              <a14:useLocalDpi xmlns:a14="http://schemas.microsoft.com/office/drawing/2010/main" val="0"/>
            </a:ext>
          </a:extLst>
        </a:blip>
        <a:srcRect/>
        <a:stretch>
          <a:fillRect/>
        </a:stretch>
      </xdr:blipFill>
      <xdr:spPr bwMode="auto">
        <a:xfrm>
          <a:off x="1228725" y="4425791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2341</xdr:row>
      <xdr:rowOff>19050</xdr:rowOff>
    </xdr:from>
    <xdr:to>
      <xdr:col>2</xdr:col>
      <xdr:colOff>1733550</xdr:colOff>
      <xdr:row>2341</xdr:row>
      <xdr:rowOff>1733550</xdr:rowOff>
    </xdr:to>
    <xdr:pic>
      <xdr:nvPicPr>
        <xdr:cNvPr id="2340" name="Picture 2339"/>
        <xdr:cNvPicPr>
          <a:picLocks noChangeAspect="1" noChangeArrowheads="1"/>
        </xdr:cNvPicPr>
      </xdr:nvPicPr>
      <xdr:blipFill>
        <a:blip xmlns:r="http://schemas.openxmlformats.org/officeDocument/2006/relationships" r:embed="rId2337">
          <a:extLst>
            <a:ext uri="{28A0092B-C50C-407E-A947-70E740481C1C}">
              <a14:useLocalDpi xmlns:a14="http://schemas.microsoft.com/office/drawing/2010/main" val="0"/>
            </a:ext>
          </a:extLst>
        </a:blip>
        <a:srcRect/>
        <a:stretch>
          <a:fillRect/>
        </a:stretch>
      </xdr:blipFill>
      <xdr:spPr bwMode="auto">
        <a:xfrm>
          <a:off x="1228725" y="4427791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2342</xdr:row>
      <xdr:rowOff>19050</xdr:rowOff>
    </xdr:from>
    <xdr:to>
      <xdr:col>2</xdr:col>
      <xdr:colOff>1733550</xdr:colOff>
      <xdr:row>2342</xdr:row>
      <xdr:rowOff>1733550</xdr:rowOff>
    </xdr:to>
    <xdr:pic>
      <xdr:nvPicPr>
        <xdr:cNvPr id="2341" name="Picture 2340"/>
        <xdr:cNvPicPr>
          <a:picLocks noChangeAspect="1" noChangeArrowheads="1"/>
        </xdr:cNvPicPr>
      </xdr:nvPicPr>
      <xdr:blipFill>
        <a:blip xmlns:r="http://schemas.openxmlformats.org/officeDocument/2006/relationships" r:embed="rId2338">
          <a:extLst>
            <a:ext uri="{28A0092B-C50C-407E-A947-70E740481C1C}">
              <a14:useLocalDpi xmlns:a14="http://schemas.microsoft.com/office/drawing/2010/main" val="0"/>
            </a:ext>
          </a:extLst>
        </a:blip>
        <a:srcRect/>
        <a:stretch>
          <a:fillRect/>
        </a:stretch>
      </xdr:blipFill>
      <xdr:spPr bwMode="auto">
        <a:xfrm>
          <a:off x="1228725" y="4429791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2343</xdr:row>
      <xdr:rowOff>19050</xdr:rowOff>
    </xdr:from>
    <xdr:to>
      <xdr:col>2</xdr:col>
      <xdr:colOff>1733550</xdr:colOff>
      <xdr:row>2343</xdr:row>
      <xdr:rowOff>1733550</xdr:rowOff>
    </xdr:to>
    <xdr:pic>
      <xdr:nvPicPr>
        <xdr:cNvPr id="2342" name="Picture 2341"/>
        <xdr:cNvPicPr>
          <a:picLocks noChangeAspect="1" noChangeArrowheads="1"/>
        </xdr:cNvPicPr>
      </xdr:nvPicPr>
      <xdr:blipFill>
        <a:blip xmlns:r="http://schemas.openxmlformats.org/officeDocument/2006/relationships" r:embed="rId2339">
          <a:extLst>
            <a:ext uri="{28A0092B-C50C-407E-A947-70E740481C1C}">
              <a14:useLocalDpi xmlns:a14="http://schemas.microsoft.com/office/drawing/2010/main" val="0"/>
            </a:ext>
          </a:extLst>
        </a:blip>
        <a:srcRect/>
        <a:stretch>
          <a:fillRect/>
        </a:stretch>
      </xdr:blipFill>
      <xdr:spPr bwMode="auto">
        <a:xfrm>
          <a:off x="1228725" y="4431792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2344</xdr:row>
      <xdr:rowOff>19050</xdr:rowOff>
    </xdr:from>
    <xdr:to>
      <xdr:col>2</xdr:col>
      <xdr:colOff>1733550</xdr:colOff>
      <xdr:row>2344</xdr:row>
      <xdr:rowOff>1733550</xdr:rowOff>
    </xdr:to>
    <xdr:pic>
      <xdr:nvPicPr>
        <xdr:cNvPr id="2343" name="Picture 2342"/>
        <xdr:cNvPicPr>
          <a:picLocks noChangeAspect="1" noChangeArrowheads="1"/>
        </xdr:cNvPicPr>
      </xdr:nvPicPr>
      <xdr:blipFill>
        <a:blip xmlns:r="http://schemas.openxmlformats.org/officeDocument/2006/relationships" r:embed="rId2340">
          <a:extLst>
            <a:ext uri="{28A0092B-C50C-407E-A947-70E740481C1C}">
              <a14:useLocalDpi xmlns:a14="http://schemas.microsoft.com/office/drawing/2010/main" val="0"/>
            </a:ext>
          </a:extLst>
        </a:blip>
        <a:srcRect/>
        <a:stretch>
          <a:fillRect/>
        </a:stretch>
      </xdr:blipFill>
      <xdr:spPr bwMode="auto">
        <a:xfrm>
          <a:off x="1228725" y="4433792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2345</xdr:row>
      <xdr:rowOff>19050</xdr:rowOff>
    </xdr:from>
    <xdr:to>
      <xdr:col>2</xdr:col>
      <xdr:colOff>1733550</xdr:colOff>
      <xdr:row>2345</xdr:row>
      <xdr:rowOff>1733550</xdr:rowOff>
    </xdr:to>
    <xdr:pic>
      <xdr:nvPicPr>
        <xdr:cNvPr id="2344" name="Picture 2343"/>
        <xdr:cNvPicPr>
          <a:picLocks noChangeAspect="1" noChangeArrowheads="1"/>
        </xdr:cNvPicPr>
      </xdr:nvPicPr>
      <xdr:blipFill>
        <a:blip xmlns:r="http://schemas.openxmlformats.org/officeDocument/2006/relationships" r:embed="rId2341">
          <a:extLst>
            <a:ext uri="{28A0092B-C50C-407E-A947-70E740481C1C}">
              <a14:useLocalDpi xmlns:a14="http://schemas.microsoft.com/office/drawing/2010/main" val="0"/>
            </a:ext>
          </a:extLst>
        </a:blip>
        <a:srcRect/>
        <a:stretch>
          <a:fillRect/>
        </a:stretch>
      </xdr:blipFill>
      <xdr:spPr bwMode="auto">
        <a:xfrm>
          <a:off x="1228725" y="4435792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2346</xdr:row>
      <xdr:rowOff>19050</xdr:rowOff>
    </xdr:from>
    <xdr:to>
      <xdr:col>2</xdr:col>
      <xdr:colOff>1733550</xdr:colOff>
      <xdr:row>2346</xdr:row>
      <xdr:rowOff>1733550</xdr:rowOff>
    </xdr:to>
    <xdr:pic>
      <xdr:nvPicPr>
        <xdr:cNvPr id="2345" name="Picture 2344"/>
        <xdr:cNvPicPr>
          <a:picLocks noChangeAspect="1" noChangeArrowheads="1"/>
        </xdr:cNvPicPr>
      </xdr:nvPicPr>
      <xdr:blipFill>
        <a:blip xmlns:r="http://schemas.openxmlformats.org/officeDocument/2006/relationships" r:embed="rId2342">
          <a:extLst>
            <a:ext uri="{28A0092B-C50C-407E-A947-70E740481C1C}">
              <a14:useLocalDpi xmlns:a14="http://schemas.microsoft.com/office/drawing/2010/main" val="0"/>
            </a:ext>
          </a:extLst>
        </a:blip>
        <a:srcRect/>
        <a:stretch>
          <a:fillRect/>
        </a:stretch>
      </xdr:blipFill>
      <xdr:spPr bwMode="auto">
        <a:xfrm>
          <a:off x="1228725" y="4437792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2347</xdr:row>
      <xdr:rowOff>19050</xdr:rowOff>
    </xdr:from>
    <xdr:to>
      <xdr:col>2</xdr:col>
      <xdr:colOff>1733550</xdr:colOff>
      <xdr:row>2347</xdr:row>
      <xdr:rowOff>1733550</xdr:rowOff>
    </xdr:to>
    <xdr:pic>
      <xdr:nvPicPr>
        <xdr:cNvPr id="2346" name="Picture 2345"/>
        <xdr:cNvPicPr>
          <a:picLocks noChangeAspect="1" noChangeArrowheads="1"/>
        </xdr:cNvPicPr>
      </xdr:nvPicPr>
      <xdr:blipFill>
        <a:blip xmlns:r="http://schemas.openxmlformats.org/officeDocument/2006/relationships" r:embed="rId2343">
          <a:extLst>
            <a:ext uri="{28A0092B-C50C-407E-A947-70E740481C1C}">
              <a14:useLocalDpi xmlns:a14="http://schemas.microsoft.com/office/drawing/2010/main" val="0"/>
            </a:ext>
          </a:extLst>
        </a:blip>
        <a:srcRect/>
        <a:stretch>
          <a:fillRect/>
        </a:stretch>
      </xdr:blipFill>
      <xdr:spPr bwMode="auto">
        <a:xfrm>
          <a:off x="1228725" y="4439793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2348</xdr:row>
      <xdr:rowOff>19050</xdr:rowOff>
    </xdr:from>
    <xdr:to>
      <xdr:col>2</xdr:col>
      <xdr:colOff>1733550</xdr:colOff>
      <xdr:row>2348</xdr:row>
      <xdr:rowOff>1733550</xdr:rowOff>
    </xdr:to>
    <xdr:pic>
      <xdr:nvPicPr>
        <xdr:cNvPr id="2347" name="Picture 2346"/>
        <xdr:cNvPicPr>
          <a:picLocks noChangeAspect="1" noChangeArrowheads="1"/>
        </xdr:cNvPicPr>
      </xdr:nvPicPr>
      <xdr:blipFill>
        <a:blip xmlns:r="http://schemas.openxmlformats.org/officeDocument/2006/relationships" r:embed="rId2344">
          <a:extLst>
            <a:ext uri="{28A0092B-C50C-407E-A947-70E740481C1C}">
              <a14:useLocalDpi xmlns:a14="http://schemas.microsoft.com/office/drawing/2010/main" val="0"/>
            </a:ext>
          </a:extLst>
        </a:blip>
        <a:srcRect/>
        <a:stretch>
          <a:fillRect/>
        </a:stretch>
      </xdr:blipFill>
      <xdr:spPr bwMode="auto">
        <a:xfrm>
          <a:off x="1228725" y="4441793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2349</xdr:row>
      <xdr:rowOff>19050</xdr:rowOff>
    </xdr:from>
    <xdr:to>
      <xdr:col>2</xdr:col>
      <xdr:colOff>1733550</xdr:colOff>
      <xdr:row>2349</xdr:row>
      <xdr:rowOff>1733550</xdr:rowOff>
    </xdr:to>
    <xdr:pic>
      <xdr:nvPicPr>
        <xdr:cNvPr id="2348" name="Picture 2347"/>
        <xdr:cNvPicPr>
          <a:picLocks noChangeAspect="1" noChangeArrowheads="1"/>
        </xdr:cNvPicPr>
      </xdr:nvPicPr>
      <xdr:blipFill>
        <a:blip xmlns:r="http://schemas.openxmlformats.org/officeDocument/2006/relationships" r:embed="rId2345">
          <a:extLst>
            <a:ext uri="{28A0092B-C50C-407E-A947-70E740481C1C}">
              <a14:useLocalDpi xmlns:a14="http://schemas.microsoft.com/office/drawing/2010/main" val="0"/>
            </a:ext>
          </a:extLst>
        </a:blip>
        <a:srcRect/>
        <a:stretch>
          <a:fillRect/>
        </a:stretch>
      </xdr:blipFill>
      <xdr:spPr bwMode="auto">
        <a:xfrm>
          <a:off x="1228725" y="4443793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2350</xdr:row>
      <xdr:rowOff>19050</xdr:rowOff>
    </xdr:from>
    <xdr:to>
      <xdr:col>2</xdr:col>
      <xdr:colOff>1733550</xdr:colOff>
      <xdr:row>2350</xdr:row>
      <xdr:rowOff>1733550</xdr:rowOff>
    </xdr:to>
    <xdr:pic>
      <xdr:nvPicPr>
        <xdr:cNvPr id="2349" name="Picture 2348"/>
        <xdr:cNvPicPr>
          <a:picLocks noChangeAspect="1" noChangeArrowheads="1"/>
        </xdr:cNvPicPr>
      </xdr:nvPicPr>
      <xdr:blipFill>
        <a:blip xmlns:r="http://schemas.openxmlformats.org/officeDocument/2006/relationships" r:embed="rId2346">
          <a:extLst>
            <a:ext uri="{28A0092B-C50C-407E-A947-70E740481C1C}">
              <a14:useLocalDpi xmlns:a14="http://schemas.microsoft.com/office/drawing/2010/main" val="0"/>
            </a:ext>
          </a:extLst>
        </a:blip>
        <a:srcRect/>
        <a:stretch>
          <a:fillRect/>
        </a:stretch>
      </xdr:blipFill>
      <xdr:spPr bwMode="auto">
        <a:xfrm>
          <a:off x="1228725" y="4445793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2351</xdr:row>
      <xdr:rowOff>19050</xdr:rowOff>
    </xdr:from>
    <xdr:to>
      <xdr:col>2</xdr:col>
      <xdr:colOff>1733550</xdr:colOff>
      <xdr:row>2351</xdr:row>
      <xdr:rowOff>1733550</xdr:rowOff>
    </xdr:to>
    <xdr:pic>
      <xdr:nvPicPr>
        <xdr:cNvPr id="2350" name="Picture 2349"/>
        <xdr:cNvPicPr>
          <a:picLocks noChangeAspect="1" noChangeArrowheads="1"/>
        </xdr:cNvPicPr>
      </xdr:nvPicPr>
      <xdr:blipFill>
        <a:blip xmlns:r="http://schemas.openxmlformats.org/officeDocument/2006/relationships" r:embed="rId2347">
          <a:extLst>
            <a:ext uri="{28A0092B-C50C-407E-A947-70E740481C1C}">
              <a14:useLocalDpi xmlns:a14="http://schemas.microsoft.com/office/drawing/2010/main" val="0"/>
            </a:ext>
          </a:extLst>
        </a:blip>
        <a:srcRect/>
        <a:stretch>
          <a:fillRect/>
        </a:stretch>
      </xdr:blipFill>
      <xdr:spPr bwMode="auto">
        <a:xfrm>
          <a:off x="1228725" y="4447794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2352</xdr:row>
      <xdr:rowOff>19050</xdr:rowOff>
    </xdr:from>
    <xdr:to>
      <xdr:col>2</xdr:col>
      <xdr:colOff>1733550</xdr:colOff>
      <xdr:row>2352</xdr:row>
      <xdr:rowOff>1733550</xdr:rowOff>
    </xdr:to>
    <xdr:pic>
      <xdr:nvPicPr>
        <xdr:cNvPr id="2351" name="Picture 2350"/>
        <xdr:cNvPicPr>
          <a:picLocks noChangeAspect="1" noChangeArrowheads="1"/>
        </xdr:cNvPicPr>
      </xdr:nvPicPr>
      <xdr:blipFill>
        <a:blip xmlns:r="http://schemas.openxmlformats.org/officeDocument/2006/relationships" r:embed="rId2348">
          <a:extLst>
            <a:ext uri="{28A0092B-C50C-407E-A947-70E740481C1C}">
              <a14:useLocalDpi xmlns:a14="http://schemas.microsoft.com/office/drawing/2010/main" val="0"/>
            </a:ext>
          </a:extLst>
        </a:blip>
        <a:srcRect/>
        <a:stretch>
          <a:fillRect/>
        </a:stretch>
      </xdr:blipFill>
      <xdr:spPr bwMode="auto">
        <a:xfrm>
          <a:off x="1228725" y="4449794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2353</xdr:row>
      <xdr:rowOff>19050</xdr:rowOff>
    </xdr:from>
    <xdr:to>
      <xdr:col>2</xdr:col>
      <xdr:colOff>1733550</xdr:colOff>
      <xdr:row>2353</xdr:row>
      <xdr:rowOff>1733550</xdr:rowOff>
    </xdr:to>
    <xdr:pic>
      <xdr:nvPicPr>
        <xdr:cNvPr id="2352" name="Picture 2351"/>
        <xdr:cNvPicPr>
          <a:picLocks noChangeAspect="1" noChangeArrowheads="1"/>
        </xdr:cNvPicPr>
      </xdr:nvPicPr>
      <xdr:blipFill>
        <a:blip xmlns:r="http://schemas.openxmlformats.org/officeDocument/2006/relationships" r:embed="rId2349">
          <a:extLst>
            <a:ext uri="{28A0092B-C50C-407E-A947-70E740481C1C}">
              <a14:useLocalDpi xmlns:a14="http://schemas.microsoft.com/office/drawing/2010/main" val="0"/>
            </a:ext>
          </a:extLst>
        </a:blip>
        <a:srcRect/>
        <a:stretch>
          <a:fillRect/>
        </a:stretch>
      </xdr:blipFill>
      <xdr:spPr bwMode="auto">
        <a:xfrm>
          <a:off x="1228725" y="4451794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2354</xdr:row>
      <xdr:rowOff>19050</xdr:rowOff>
    </xdr:from>
    <xdr:to>
      <xdr:col>2</xdr:col>
      <xdr:colOff>1733550</xdr:colOff>
      <xdr:row>2354</xdr:row>
      <xdr:rowOff>1733550</xdr:rowOff>
    </xdr:to>
    <xdr:pic>
      <xdr:nvPicPr>
        <xdr:cNvPr id="2353" name="Picture 2352"/>
        <xdr:cNvPicPr>
          <a:picLocks noChangeAspect="1" noChangeArrowheads="1"/>
        </xdr:cNvPicPr>
      </xdr:nvPicPr>
      <xdr:blipFill>
        <a:blip xmlns:r="http://schemas.openxmlformats.org/officeDocument/2006/relationships" r:embed="rId2350">
          <a:extLst>
            <a:ext uri="{28A0092B-C50C-407E-A947-70E740481C1C}">
              <a14:useLocalDpi xmlns:a14="http://schemas.microsoft.com/office/drawing/2010/main" val="0"/>
            </a:ext>
          </a:extLst>
        </a:blip>
        <a:srcRect/>
        <a:stretch>
          <a:fillRect/>
        </a:stretch>
      </xdr:blipFill>
      <xdr:spPr bwMode="auto">
        <a:xfrm>
          <a:off x="1228725" y="4453794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2355</xdr:row>
      <xdr:rowOff>19050</xdr:rowOff>
    </xdr:from>
    <xdr:to>
      <xdr:col>2</xdr:col>
      <xdr:colOff>1733550</xdr:colOff>
      <xdr:row>2355</xdr:row>
      <xdr:rowOff>1733550</xdr:rowOff>
    </xdr:to>
    <xdr:pic>
      <xdr:nvPicPr>
        <xdr:cNvPr id="2354" name="Picture 2353"/>
        <xdr:cNvPicPr>
          <a:picLocks noChangeAspect="1" noChangeArrowheads="1"/>
        </xdr:cNvPicPr>
      </xdr:nvPicPr>
      <xdr:blipFill>
        <a:blip xmlns:r="http://schemas.openxmlformats.org/officeDocument/2006/relationships" r:embed="rId2351">
          <a:extLst>
            <a:ext uri="{28A0092B-C50C-407E-A947-70E740481C1C}">
              <a14:useLocalDpi xmlns:a14="http://schemas.microsoft.com/office/drawing/2010/main" val="0"/>
            </a:ext>
          </a:extLst>
        </a:blip>
        <a:srcRect/>
        <a:stretch>
          <a:fillRect/>
        </a:stretch>
      </xdr:blipFill>
      <xdr:spPr bwMode="auto">
        <a:xfrm>
          <a:off x="1228725" y="4455795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2356</xdr:row>
      <xdr:rowOff>19050</xdr:rowOff>
    </xdr:from>
    <xdr:to>
      <xdr:col>2</xdr:col>
      <xdr:colOff>1733550</xdr:colOff>
      <xdr:row>2356</xdr:row>
      <xdr:rowOff>1733550</xdr:rowOff>
    </xdr:to>
    <xdr:pic>
      <xdr:nvPicPr>
        <xdr:cNvPr id="2355" name="Picture 2354"/>
        <xdr:cNvPicPr>
          <a:picLocks noChangeAspect="1" noChangeArrowheads="1"/>
        </xdr:cNvPicPr>
      </xdr:nvPicPr>
      <xdr:blipFill>
        <a:blip xmlns:r="http://schemas.openxmlformats.org/officeDocument/2006/relationships" r:embed="rId2352">
          <a:extLst>
            <a:ext uri="{28A0092B-C50C-407E-A947-70E740481C1C}">
              <a14:useLocalDpi xmlns:a14="http://schemas.microsoft.com/office/drawing/2010/main" val="0"/>
            </a:ext>
          </a:extLst>
        </a:blip>
        <a:srcRect/>
        <a:stretch>
          <a:fillRect/>
        </a:stretch>
      </xdr:blipFill>
      <xdr:spPr bwMode="auto">
        <a:xfrm>
          <a:off x="1228725" y="4457795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2357</xdr:row>
      <xdr:rowOff>19050</xdr:rowOff>
    </xdr:from>
    <xdr:to>
      <xdr:col>2</xdr:col>
      <xdr:colOff>1733550</xdr:colOff>
      <xdr:row>2357</xdr:row>
      <xdr:rowOff>1733550</xdr:rowOff>
    </xdr:to>
    <xdr:pic>
      <xdr:nvPicPr>
        <xdr:cNvPr id="2356" name="Picture 2355"/>
        <xdr:cNvPicPr>
          <a:picLocks noChangeAspect="1" noChangeArrowheads="1"/>
        </xdr:cNvPicPr>
      </xdr:nvPicPr>
      <xdr:blipFill>
        <a:blip xmlns:r="http://schemas.openxmlformats.org/officeDocument/2006/relationships" r:embed="rId2353">
          <a:extLst>
            <a:ext uri="{28A0092B-C50C-407E-A947-70E740481C1C}">
              <a14:useLocalDpi xmlns:a14="http://schemas.microsoft.com/office/drawing/2010/main" val="0"/>
            </a:ext>
          </a:extLst>
        </a:blip>
        <a:srcRect/>
        <a:stretch>
          <a:fillRect/>
        </a:stretch>
      </xdr:blipFill>
      <xdr:spPr bwMode="auto">
        <a:xfrm>
          <a:off x="1228725" y="4459795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2358</xdr:row>
      <xdr:rowOff>19050</xdr:rowOff>
    </xdr:from>
    <xdr:to>
      <xdr:col>2</xdr:col>
      <xdr:colOff>1733550</xdr:colOff>
      <xdr:row>2358</xdr:row>
      <xdr:rowOff>1733550</xdr:rowOff>
    </xdr:to>
    <xdr:pic>
      <xdr:nvPicPr>
        <xdr:cNvPr id="2357" name="Picture 2356"/>
        <xdr:cNvPicPr>
          <a:picLocks noChangeAspect="1" noChangeArrowheads="1"/>
        </xdr:cNvPicPr>
      </xdr:nvPicPr>
      <xdr:blipFill>
        <a:blip xmlns:r="http://schemas.openxmlformats.org/officeDocument/2006/relationships" r:embed="rId2354">
          <a:extLst>
            <a:ext uri="{28A0092B-C50C-407E-A947-70E740481C1C}">
              <a14:useLocalDpi xmlns:a14="http://schemas.microsoft.com/office/drawing/2010/main" val="0"/>
            </a:ext>
          </a:extLst>
        </a:blip>
        <a:srcRect/>
        <a:stretch>
          <a:fillRect/>
        </a:stretch>
      </xdr:blipFill>
      <xdr:spPr bwMode="auto">
        <a:xfrm>
          <a:off x="1228725" y="4461795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2359</xdr:row>
      <xdr:rowOff>19050</xdr:rowOff>
    </xdr:from>
    <xdr:to>
      <xdr:col>2</xdr:col>
      <xdr:colOff>1733550</xdr:colOff>
      <xdr:row>2359</xdr:row>
      <xdr:rowOff>1733550</xdr:rowOff>
    </xdr:to>
    <xdr:pic>
      <xdr:nvPicPr>
        <xdr:cNvPr id="2358" name="Picture 2357"/>
        <xdr:cNvPicPr>
          <a:picLocks noChangeAspect="1" noChangeArrowheads="1"/>
        </xdr:cNvPicPr>
      </xdr:nvPicPr>
      <xdr:blipFill>
        <a:blip xmlns:r="http://schemas.openxmlformats.org/officeDocument/2006/relationships" r:embed="rId2355">
          <a:extLst>
            <a:ext uri="{28A0092B-C50C-407E-A947-70E740481C1C}">
              <a14:useLocalDpi xmlns:a14="http://schemas.microsoft.com/office/drawing/2010/main" val="0"/>
            </a:ext>
          </a:extLst>
        </a:blip>
        <a:srcRect/>
        <a:stretch>
          <a:fillRect/>
        </a:stretch>
      </xdr:blipFill>
      <xdr:spPr bwMode="auto">
        <a:xfrm>
          <a:off x="1228725" y="4463796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2360</xdr:row>
      <xdr:rowOff>19050</xdr:rowOff>
    </xdr:from>
    <xdr:to>
      <xdr:col>2</xdr:col>
      <xdr:colOff>1733550</xdr:colOff>
      <xdr:row>2360</xdr:row>
      <xdr:rowOff>1733550</xdr:rowOff>
    </xdr:to>
    <xdr:pic>
      <xdr:nvPicPr>
        <xdr:cNvPr id="2359" name="Picture 2358"/>
        <xdr:cNvPicPr>
          <a:picLocks noChangeAspect="1" noChangeArrowheads="1"/>
        </xdr:cNvPicPr>
      </xdr:nvPicPr>
      <xdr:blipFill>
        <a:blip xmlns:r="http://schemas.openxmlformats.org/officeDocument/2006/relationships" r:embed="rId2356">
          <a:extLst>
            <a:ext uri="{28A0092B-C50C-407E-A947-70E740481C1C}">
              <a14:useLocalDpi xmlns:a14="http://schemas.microsoft.com/office/drawing/2010/main" val="0"/>
            </a:ext>
          </a:extLst>
        </a:blip>
        <a:srcRect/>
        <a:stretch>
          <a:fillRect/>
        </a:stretch>
      </xdr:blipFill>
      <xdr:spPr bwMode="auto">
        <a:xfrm>
          <a:off x="1228725" y="4465796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2361</xdr:row>
      <xdr:rowOff>19050</xdr:rowOff>
    </xdr:from>
    <xdr:to>
      <xdr:col>2</xdr:col>
      <xdr:colOff>1733550</xdr:colOff>
      <xdr:row>2361</xdr:row>
      <xdr:rowOff>1733550</xdr:rowOff>
    </xdr:to>
    <xdr:pic>
      <xdr:nvPicPr>
        <xdr:cNvPr id="2360" name="Picture 2359"/>
        <xdr:cNvPicPr>
          <a:picLocks noChangeAspect="1" noChangeArrowheads="1"/>
        </xdr:cNvPicPr>
      </xdr:nvPicPr>
      <xdr:blipFill>
        <a:blip xmlns:r="http://schemas.openxmlformats.org/officeDocument/2006/relationships" r:embed="rId2357">
          <a:extLst>
            <a:ext uri="{28A0092B-C50C-407E-A947-70E740481C1C}">
              <a14:useLocalDpi xmlns:a14="http://schemas.microsoft.com/office/drawing/2010/main" val="0"/>
            </a:ext>
          </a:extLst>
        </a:blip>
        <a:srcRect/>
        <a:stretch>
          <a:fillRect/>
        </a:stretch>
      </xdr:blipFill>
      <xdr:spPr bwMode="auto">
        <a:xfrm>
          <a:off x="1228725" y="4467796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2362</xdr:row>
      <xdr:rowOff>19050</xdr:rowOff>
    </xdr:from>
    <xdr:to>
      <xdr:col>2</xdr:col>
      <xdr:colOff>1733550</xdr:colOff>
      <xdr:row>2362</xdr:row>
      <xdr:rowOff>1666875</xdr:rowOff>
    </xdr:to>
    <xdr:pic>
      <xdr:nvPicPr>
        <xdr:cNvPr id="2361" name="Picture 2360"/>
        <xdr:cNvPicPr>
          <a:picLocks noChangeAspect="1" noChangeArrowheads="1"/>
        </xdr:cNvPicPr>
      </xdr:nvPicPr>
      <xdr:blipFill>
        <a:blip xmlns:r="http://schemas.openxmlformats.org/officeDocument/2006/relationships" r:embed="rId2358">
          <a:extLst>
            <a:ext uri="{28A0092B-C50C-407E-A947-70E740481C1C}">
              <a14:useLocalDpi xmlns:a14="http://schemas.microsoft.com/office/drawing/2010/main" val="0"/>
            </a:ext>
          </a:extLst>
        </a:blip>
        <a:srcRect/>
        <a:stretch>
          <a:fillRect/>
        </a:stretch>
      </xdr:blipFill>
      <xdr:spPr bwMode="auto">
        <a:xfrm>
          <a:off x="1228725" y="446979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2363</xdr:row>
      <xdr:rowOff>19050</xdr:rowOff>
    </xdr:from>
    <xdr:to>
      <xdr:col>2</xdr:col>
      <xdr:colOff>1733550</xdr:colOff>
      <xdr:row>2363</xdr:row>
      <xdr:rowOff>1733550</xdr:rowOff>
    </xdr:to>
    <xdr:pic>
      <xdr:nvPicPr>
        <xdr:cNvPr id="2362" name="Picture 2361"/>
        <xdr:cNvPicPr>
          <a:picLocks noChangeAspect="1" noChangeArrowheads="1"/>
        </xdr:cNvPicPr>
      </xdr:nvPicPr>
      <xdr:blipFill>
        <a:blip xmlns:r="http://schemas.openxmlformats.org/officeDocument/2006/relationships" r:embed="rId2359">
          <a:extLst>
            <a:ext uri="{28A0092B-C50C-407E-A947-70E740481C1C}">
              <a14:useLocalDpi xmlns:a14="http://schemas.microsoft.com/office/drawing/2010/main" val="0"/>
            </a:ext>
          </a:extLst>
        </a:blip>
        <a:srcRect/>
        <a:stretch>
          <a:fillRect/>
        </a:stretch>
      </xdr:blipFill>
      <xdr:spPr bwMode="auto">
        <a:xfrm>
          <a:off x="1228725" y="4471711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2364</xdr:row>
      <xdr:rowOff>19050</xdr:rowOff>
    </xdr:from>
    <xdr:to>
      <xdr:col>2</xdr:col>
      <xdr:colOff>1733550</xdr:colOff>
      <xdr:row>2364</xdr:row>
      <xdr:rowOff>1733550</xdr:rowOff>
    </xdr:to>
    <xdr:pic>
      <xdr:nvPicPr>
        <xdr:cNvPr id="2363" name="Picture 2362"/>
        <xdr:cNvPicPr>
          <a:picLocks noChangeAspect="1" noChangeArrowheads="1"/>
        </xdr:cNvPicPr>
      </xdr:nvPicPr>
      <xdr:blipFill>
        <a:blip xmlns:r="http://schemas.openxmlformats.org/officeDocument/2006/relationships" r:embed="rId2360">
          <a:extLst>
            <a:ext uri="{28A0092B-C50C-407E-A947-70E740481C1C}">
              <a14:useLocalDpi xmlns:a14="http://schemas.microsoft.com/office/drawing/2010/main" val="0"/>
            </a:ext>
          </a:extLst>
        </a:blip>
        <a:srcRect/>
        <a:stretch>
          <a:fillRect/>
        </a:stretch>
      </xdr:blipFill>
      <xdr:spPr bwMode="auto">
        <a:xfrm>
          <a:off x="1228725" y="4473711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2365</xdr:row>
      <xdr:rowOff>19050</xdr:rowOff>
    </xdr:from>
    <xdr:to>
      <xdr:col>2</xdr:col>
      <xdr:colOff>1733550</xdr:colOff>
      <xdr:row>2365</xdr:row>
      <xdr:rowOff>1733550</xdr:rowOff>
    </xdr:to>
    <xdr:pic>
      <xdr:nvPicPr>
        <xdr:cNvPr id="2364" name="Picture 2363"/>
        <xdr:cNvPicPr>
          <a:picLocks noChangeAspect="1" noChangeArrowheads="1"/>
        </xdr:cNvPicPr>
      </xdr:nvPicPr>
      <xdr:blipFill>
        <a:blip xmlns:r="http://schemas.openxmlformats.org/officeDocument/2006/relationships" r:embed="rId2361">
          <a:extLst>
            <a:ext uri="{28A0092B-C50C-407E-A947-70E740481C1C}">
              <a14:useLocalDpi xmlns:a14="http://schemas.microsoft.com/office/drawing/2010/main" val="0"/>
            </a:ext>
          </a:extLst>
        </a:blip>
        <a:srcRect/>
        <a:stretch>
          <a:fillRect/>
        </a:stretch>
      </xdr:blipFill>
      <xdr:spPr bwMode="auto">
        <a:xfrm>
          <a:off x="1228725" y="4475711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2366</xdr:row>
      <xdr:rowOff>19050</xdr:rowOff>
    </xdr:from>
    <xdr:to>
      <xdr:col>2</xdr:col>
      <xdr:colOff>1733550</xdr:colOff>
      <xdr:row>2366</xdr:row>
      <xdr:rowOff>1733550</xdr:rowOff>
    </xdr:to>
    <xdr:pic>
      <xdr:nvPicPr>
        <xdr:cNvPr id="2365" name="Picture 2364"/>
        <xdr:cNvPicPr>
          <a:picLocks noChangeAspect="1" noChangeArrowheads="1"/>
        </xdr:cNvPicPr>
      </xdr:nvPicPr>
      <xdr:blipFill>
        <a:blip xmlns:r="http://schemas.openxmlformats.org/officeDocument/2006/relationships" r:embed="rId2362">
          <a:extLst>
            <a:ext uri="{28A0092B-C50C-407E-A947-70E740481C1C}">
              <a14:useLocalDpi xmlns:a14="http://schemas.microsoft.com/office/drawing/2010/main" val="0"/>
            </a:ext>
          </a:extLst>
        </a:blip>
        <a:srcRect/>
        <a:stretch>
          <a:fillRect/>
        </a:stretch>
      </xdr:blipFill>
      <xdr:spPr bwMode="auto">
        <a:xfrm>
          <a:off x="1228725" y="4477712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2367</xdr:row>
      <xdr:rowOff>19050</xdr:rowOff>
    </xdr:from>
    <xdr:to>
      <xdr:col>2</xdr:col>
      <xdr:colOff>1733550</xdr:colOff>
      <xdr:row>2367</xdr:row>
      <xdr:rowOff>1733550</xdr:rowOff>
    </xdr:to>
    <xdr:pic>
      <xdr:nvPicPr>
        <xdr:cNvPr id="2366" name="Picture 2365"/>
        <xdr:cNvPicPr>
          <a:picLocks noChangeAspect="1" noChangeArrowheads="1"/>
        </xdr:cNvPicPr>
      </xdr:nvPicPr>
      <xdr:blipFill>
        <a:blip xmlns:r="http://schemas.openxmlformats.org/officeDocument/2006/relationships" r:embed="rId2363">
          <a:extLst>
            <a:ext uri="{28A0092B-C50C-407E-A947-70E740481C1C}">
              <a14:useLocalDpi xmlns:a14="http://schemas.microsoft.com/office/drawing/2010/main" val="0"/>
            </a:ext>
          </a:extLst>
        </a:blip>
        <a:srcRect/>
        <a:stretch>
          <a:fillRect/>
        </a:stretch>
      </xdr:blipFill>
      <xdr:spPr bwMode="auto">
        <a:xfrm>
          <a:off x="1228725" y="4479712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2368</xdr:row>
      <xdr:rowOff>19050</xdr:rowOff>
    </xdr:from>
    <xdr:to>
      <xdr:col>2</xdr:col>
      <xdr:colOff>1733550</xdr:colOff>
      <xdr:row>2368</xdr:row>
      <xdr:rowOff>1733550</xdr:rowOff>
    </xdr:to>
    <xdr:pic>
      <xdr:nvPicPr>
        <xdr:cNvPr id="2367" name="Picture 2366"/>
        <xdr:cNvPicPr>
          <a:picLocks noChangeAspect="1" noChangeArrowheads="1"/>
        </xdr:cNvPicPr>
      </xdr:nvPicPr>
      <xdr:blipFill>
        <a:blip xmlns:r="http://schemas.openxmlformats.org/officeDocument/2006/relationships" r:embed="rId2364">
          <a:extLst>
            <a:ext uri="{28A0092B-C50C-407E-A947-70E740481C1C}">
              <a14:useLocalDpi xmlns:a14="http://schemas.microsoft.com/office/drawing/2010/main" val="0"/>
            </a:ext>
          </a:extLst>
        </a:blip>
        <a:srcRect/>
        <a:stretch>
          <a:fillRect/>
        </a:stretch>
      </xdr:blipFill>
      <xdr:spPr bwMode="auto">
        <a:xfrm>
          <a:off x="1228725" y="4481712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2369</xdr:row>
      <xdr:rowOff>19050</xdr:rowOff>
    </xdr:from>
    <xdr:to>
      <xdr:col>2</xdr:col>
      <xdr:colOff>1733550</xdr:colOff>
      <xdr:row>2369</xdr:row>
      <xdr:rowOff>1733550</xdr:rowOff>
    </xdr:to>
    <xdr:pic>
      <xdr:nvPicPr>
        <xdr:cNvPr id="2368" name="Picture 2367"/>
        <xdr:cNvPicPr>
          <a:picLocks noChangeAspect="1" noChangeArrowheads="1"/>
        </xdr:cNvPicPr>
      </xdr:nvPicPr>
      <xdr:blipFill>
        <a:blip xmlns:r="http://schemas.openxmlformats.org/officeDocument/2006/relationships" r:embed="rId2365">
          <a:extLst>
            <a:ext uri="{28A0092B-C50C-407E-A947-70E740481C1C}">
              <a14:useLocalDpi xmlns:a14="http://schemas.microsoft.com/office/drawing/2010/main" val="0"/>
            </a:ext>
          </a:extLst>
        </a:blip>
        <a:srcRect/>
        <a:stretch>
          <a:fillRect/>
        </a:stretch>
      </xdr:blipFill>
      <xdr:spPr bwMode="auto">
        <a:xfrm>
          <a:off x="1228725" y="4483712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2370</xdr:row>
      <xdr:rowOff>19050</xdr:rowOff>
    </xdr:from>
    <xdr:to>
      <xdr:col>2</xdr:col>
      <xdr:colOff>1733550</xdr:colOff>
      <xdr:row>2370</xdr:row>
      <xdr:rowOff>1733550</xdr:rowOff>
    </xdr:to>
    <xdr:pic>
      <xdr:nvPicPr>
        <xdr:cNvPr id="2369" name="Picture 2368"/>
        <xdr:cNvPicPr>
          <a:picLocks noChangeAspect="1" noChangeArrowheads="1"/>
        </xdr:cNvPicPr>
      </xdr:nvPicPr>
      <xdr:blipFill>
        <a:blip xmlns:r="http://schemas.openxmlformats.org/officeDocument/2006/relationships" r:embed="rId2366">
          <a:extLst>
            <a:ext uri="{28A0092B-C50C-407E-A947-70E740481C1C}">
              <a14:useLocalDpi xmlns:a14="http://schemas.microsoft.com/office/drawing/2010/main" val="0"/>
            </a:ext>
          </a:extLst>
        </a:blip>
        <a:srcRect/>
        <a:stretch>
          <a:fillRect/>
        </a:stretch>
      </xdr:blipFill>
      <xdr:spPr bwMode="auto">
        <a:xfrm>
          <a:off x="1228725" y="4485713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2371</xdr:row>
      <xdr:rowOff>19050</xdr:rowOff>
    </xdr:from>
    <xdr:to>
      <xdr:col>2</xdr:col>
      <xdr:colOff>1733550</xdr:colOff>
      <xdr:row>2371</xdr:row>
      <xdr:rowOff>1733550</xdr:rowOff>
    </xdr:to>
    <xdr:pic>
      <xdr:nvPicPr>
        <xdr:cNvPr id="2370" name="Picture 2369"/>
        <xdr:cNvPicPr>
          <a:picLocks noChangeAspect="1" noChangeArrowheads="1"/>
        </xdr:cNvPicPr>
      </xdr:nvPicPr>
      <xdr:blipFill>
        <a:blip xmlns:r="http://schemas.openxmlformats.org/officeDocument/2006/relationships" r:embed="rId2367">
          <a:extLst>
            <a:ext uri="{28A0092B-C50C-407E-A947-70E740481C1C}">
              <a14:useLocalDpi xmlns:a14="http://schemas.microsoft.com/office/drawing/2010/main" val="0"/>
            </a:ext>
          </a:extLst>
        </a:blip>
        <a:srcRect/>
        <a:stretch>
          <a:fillRect/>
        </a:stretch>
      </xdr:blipFill>
      <xdr:spPr bwMode="auto">
        <a:xfrm>
          <a:off x="1228725" y="4487713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2372</xdr:row>
      <xdr:rowOff>19050</xdr:rowOff>
    </xdr:from>
    <xdr:to>
      <xdr:col>2</xdr:col>
      <xdr:colOff>1733550</xdr:colOff>
      <xdr:row>2372</xdr:row>
      <xdr:rowOff>1733550</xdr:rowOff>
    </xdr:to>
    <xdr:pic>
      <xdr:nvPicPr>
        <xdr:cNvPr id="2371" name="Picture 2370"/>
        <xdr:cNvPicPr>
          <a:picLocks noChangeAspect="1" noChangeArrowheads="1"/>
        </xdr:cNvPicPr>
      </xdr:nvPicPr>
      <xdr:blipFill>
        <a:blip xmlns:r="http://schemas.openxmlformats.org/officeDocument/2006/relationships" r:embed="rId2368">
          <a:extLst>
            <a:ext uri="{28A0092B-C50C-407E-A947-70E740481C1C}">
              <a14:useLocalDpi xmlns:a14="http://schemas.microsoft.com/office/drawing/2010/main" val="0"/>
            </a:ext>
          </a:extLst>
        </a:blip>
        <a:srcRect/>
        <a:stretch>
          <a:fillRect/>
        </a:stretch>
      </xdr:blipFill>
      <xdr:spPr bwMode="auto">
        <a:xfrm>
          <a:off x="1228725" y="4489713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2373</xdr:row>
      <xdr:rowOff>19050</xdr:rowOff>
    </xdr:from>
    <xdr:to>
      <xdr:col>2</xdr:col>
      <xdr:colOff>1733550</xdr:colOff>
      <xdr:row>2373</xdr:row>
      <xdr:rowOff>1733550</xdr:rowOff>
    </xdr:to>
    <xdr:pic>
      <xdr:nvPicPr>
        <xdr:cNvPr id="2372" name="Picture 2371"/>
        <xdr:cNvPicPr>
          <a:picLocks noChangeAspect="1" noChangeArrowheads="1"/>
        </xdr:cNvPicPr>
      </xdr:nvPicPr>
      <xdr:blipFill>
        <a:blip xmlns:r="http://schemas.openxmlformats.org/officeDocument/2006/relationships" r:embed="rId2369">
          <a:extLst>
            <a:ext uri="{28A0092B-C50C-407E-A947-70E740481C1C}">
              <a14:useLocalDpi xmlns:a14="http://schemas.microsoft.com/office/drawing/2010/main" val="0"/>
            </a:ext>
          </a:extLst>
        </a:blip>
        <a:srcRect/>
        <a:stretch>
          <a:fillRect/>
        </a:stretch>
      </xdr:blipFill>
      <xdr:spPr bwMode="auto">
        <a:xfrm>
          <a:off x="1228725" y="4491713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2374</xdr:row>
      <xdr:rowOff>19050</xdr:rowOff>
    </xdr:from>
    <xdr:to>
      <xdr:col>2</xdr:col>
      <xdr:colOff>1733550</xdr:colOff>
      <xdr:row>2374</xdr:row>
      <xdr:rowOff>1733550</xdr:rowOff>
    </xdr:to>
    <xdr:pic>
      <xdr:nvPicPr>
        <xdr:cNvPr id="2373" name="Picture 2372"/>
        <xdr:cNvPicPr>
          <a:picLocks noChangeAspect="1" noChangeArrowheads="1"/>
        </xdr:cNvPicPr>
      </xdr:nvPicPr>
      <xdr:blipFill>
        <a:blip xmlns:r="http://schemas.openxmlformats.org/officeDocument/2006/relationships" r:embed="rId2370">
          <a:extLst>
            <a:ext uri="{28A0092B-C50C-407E-A947-70E740481C1C}">
              <a14:useLocalDpi xmlns:a14="http://schemas.microsoft.com/office/drawing/2010/main" val="0"/>
            </a:ext>
          </a:extLst>
        </a:blip>
        <a:srcRect/>
        <a:stretch>
          <a:fillRect/>
        </a:stretch>
      </xdr:blipFill>
      <xdr:spPr bwMode="auto">
        <a:xfrm>
          <a:off x="1228725" y="4493714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2375</xdr:row>
      <xdr:rowOff>19050</xdr:rowOff>
    </xdr:from>
    <xdr:to>
      <xdr:col>2</xdr:col>
      <xdr:colOff>1733550</xdr:colOff>
      <xdr:row>2375</xdr:row>
      <xdr:rowOff>1733550</xdr:rowOff>
    </xdr:to>
    <xdr:pic>
      <xdr:nvPicPr>
        <xdr:cNvPr id="2374" name="Picture 2373"/>
        <xdr:cNvPicPr>
          <a:picLocks noChangeAspect="1" noChangeArrowheads="1"/>
        </xdr:cNvPicPr>
      </xdr:nvPicPr>
      <xdr:blipFill>
        <a:blip xmlns:r="http://schemas.openxmlformats.org/officeDocument/2006/relationships" r:embed="rId2371">
          <a:extLst>
            <a:ext uri="{28A0092B-C50C-407E-A947-70E740481C1C}">
              <a14:useLocalDpi xmlns:a14="http://schemas.microsoft.com/office/drawing/2010/main" val="0"/>
            </a:ext>
          </a:extLst>
        </a:blip>
        <a:srcRect/>
        <a:stretch>
          <a:fillRect/>
        </a:stretch>
      </xdr:blipFill>
      <xdr:spPr bwMode="auto">
        <a:xfrm>
          <a:off x="1228725" y="4495714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2376</xdr:row>
      <xdr:rowOff>19050</xdr:rowOff>
    </xdr:from>
    <xdr:to>
      <xdr:col>2</xdr:col>
      <xdr:colOff>1733550</xdr:colOff>
      <xdr:row>2376</xdr:row>
      <xdr:rowOff>1733550</xdr:rowOff>
    </xdr:to>
    <xdr:pic>
      <xdr:nvPicPr>
        <xdr:cNvPr id="2375" name="Picture 2374"/>
        <xdr:cNvPicPr>
          <a:picLocks noChangeAspect="1" noChangeArrowheads="1"/>
        </xdr:cNvPicPr>
      </xdr:nvPicPr>
      <xdr:blipFill>
        <a:blip xmlns:r="http://schemas.openxmlformats.org/officeDocument/2006/relationships" r:embed="rId2372">
          <a:extLst>
            <a:ext uri="{28A0092B-C50C-407E-A947-70E740481C1C}">
              <a14:useLocalDpi xmlns:a14="http://schemas.microsoft.com/office/drawing/2010/main" val="0"/>
            </a:ext>
          </a:extLst>
        </a:blip>
        <a:srcRect/>
        <a:stretch>
          <a:fillRect/>
        </a:stretch>
      </xdr:blipFill>
      <xdr:spPr bwMode="auto">
        <a:xfrm>
          <a:off x="1228725" y="4497714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2377</xdr:row>
      <xdr:rowOff>19050</xdr:rowOff>
    </xdr:from>
    <xdr:to>
      <xdr:col>2</xdr:col>
      <xdr:colOff>1733550</xdr:colOff>
      <xdr:row>2377</xdr:row>
      <xdr:rowOff>1733550</xdr:rowOff>
    </xdr:to>
    <xdr:pic>
      <xdr:nvPicPr>
        <xdr:cNvPr id="2376" name="Picture 2375"/>
        <xdr:cNvPicPr>
          <a:picLocks noChangeAspect="1" noChangeArrowheads="1"/>
        </xdr:cNvPicPr>
      </xdr:nvPicPr>
      <xdr:blipFill>
        <a:blip xmlns:r="http://schemas.openxmlformats.org/officeDocument/2006/relationships" r:embed="rId2373">
          <a:extLst>
            <a:ext uri="{28A0092B-C50C-407E-A947-70E740481C1C}">
              <a14:useLocalDpi xmlns:a14="http://schemas.microsoft.com/office/drawing/2010/main" val="0"/>
            </a:ext>
          </a:extLst>
        </a:blip>
        <a:srcRect/>
        <a:stretch>
          <a:fillRect/>
        </a:stretch>
      </xdr:blipFill>
      <xdr:spPr bwMode="auto">
        <a:xfrm>
          <a:off x="1228725" y="4499714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2378</xdr:row>
      <xdr:rowOff>19050</xdr:rowOff>
    </xdr:from>
    <xdr:to>
      <xdr:col>2</xdr:col>
      <xdr:colOff>1733550</xdr:colOff>
      <xdr:row>2378</xdr:row>
      <xdr:rowOff>1733550</xdr:rowOff>
    </xdr:to>
    <xdr:pic>
      <xdr:nvPicPr>
        <xdr:cNvPr id="2377" name="Picture 2376"/>
        <xdr:cNvPicPr>
          <a:picLocks noChangeAspect="1" noChangeArrowheads="1"/>
        </xdr:cNvPicPr>
      </xdr:nvPicPr>
      <xdr:blipFill>
        <a:blip xmlns:r="http://schemas.openxmlformats.org/officeDocument/2006/relationships" r:embed="rId2374">
          <a:extLst>
            <a:ext uri="{28A0092B-C50C-407E-A947-70E740481C1C}">
              <a14:useLocalDpi xmlns:a14="http://schemas.microsoft.com/office/drawing/2010/main" val="0"/>
            </a:ext>
          </a:extLst>
        </a:blip>
        <a:srcRect/>
        <a:stretch>
          <a:fillRect/>
        </a:stretch>
      </xdr:blipFill>
      <xdr:spPr bwMode="auto">
        <a:xfrm>
          <a:off x="1228725" y="4501715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2379</xdr:row>
      <xdr:rowOff>19050</xdr:rowOff>
    </xdr:from>
    <xdr:to>
      <xdr:col>2</xdr:col>
      <xdr:colOff>1733550</xdr:colOff>
      <xdr:row>2379</xdr:row>
      <xdr:rowOff>1733550</xdr:rowOff>
    </xdr:to>
    <xdr:pic>
      <xdr:nvPicPr>
        <xdr:cNvPr id="2378" name="Picture 2377"/>
        <xdr:cNvPicPr>
          <a:picLocks noChangeAspect="1" noChangeArrowheads="1"/>
        </xdr:cNvPicPr>
      </xdr:nvPicPr>
      <xdr:blipFill>
        <a:blip xmlns:r="http://schemas.openxmlformats.org/officeDocument/2006/relationships" r:embed="rId2375">
          <a:extLst>
            <a:ext uri="{28A0092B-C50C-407E-A947-70E740481C1C}">
              <a14:useLocalDpi xmlns:a14="http://schemas.microsoft.com/office/drawing/2010/main" val="0"/>
            </a:ext>
          </a:extLst>
        </a:blip>
        <a:srcRect/>
        <a:stretch>
          <a:fillRect/>
        </a:stretch>
      </xdr:blipFill>
      <xdr:spPr bwMode="auto">
        <a:xfrm>
          <a:off x="1228725" y="4503715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2380</xdr:row>
      <xdr:rowOff>19050</xdr:rowOff>
    </xdr:from>
    <xdr:to>
      <xdr:col>2</xdr:col>
      <xdr:colOff>1733550</xdr:colOff>
      <xdr:row>2380</xdr:row>
      <xdr:rowOff>1733550</xdr:rowOff>
    </xdr:to>
    <xdr:pic>
      <xdr:nvPicPr>
        <xdr:cNvPr id="2379" name="Picture 2378"/>
        <xdr:cNvPicPr>
          <a:picLocks noChangeAspect="1" noChangeArrowheads="1"/>
        </xdr:cNvPicPr>
      </xdr:nvPicPr>
      <xdr:blipFill>
        <a:blip xmlns:r="http://schemas.openxmlformats.org/officeDocument/2006/relationships" r:embed="rId2376">
          <a:extLst>
            <a:ext uri="{28A0092B-C50C-407E-A947-70E740481C1C}">
              <a14:useLocalDpi xmlns:a14="http://schemas.microsoft.com/office/drawing/2010/main" val="0"/>
            </a:ext>
          </a:extLst>
        </a:blip>
        <a:srcRect/>
        <a:stretch>
          <a:fillRect/>
        </a:stretch>
      </xdr:blipFill>
      <xdr:spPr bwMode="auto">
        <a:xfrm>
          <a:off x="1228725" y="4505715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2381</xdr:row>
      <xdr:rowOff>19050</xdr:rowOff>
    </xdr:from>
    <xdr:to>
      <xdr:col>2</xdr:col>
      <xdr:colOff>1733550</xdr:colOff>
      <xdr:row>2381</xdr:row>
      <xdr:rowOff>1733550</xdr:rowOff>
    </xdr:to>
    <xdr:pic>
      <xdr:nvPicPr>
        <xdr:cNvPr id="2380" name="Picture 2379"/>
        <xdr:cNvPicPr>
          <a:picLocks noChangeAspect="1" noChangeArrowheads="1"/>
        </xdr:cNvPicPr>
      </xdr:nvPicPr>
      <xdr:blipFill>
        <a:blip xmlns:r="http://schemas.openxmlformats.org/officeDocument/2006/relationships" r:embed="rId2377">
          <a:extLst>
            <a:ext uri="{28A0092B-C50C-407E-A947-70E740481C1C}">
              <a14:useLocalDpi xmlns:a14="http://schemas.microsoft.com/office/drawing/2010/main" val="0"/>
            </a:ext>
          </a:extLst>
        </a:blip>
        <a:srcRect/>
        <a:stretch>
          <a:fillRect/>
        </a:stretch>
      </xdr:blipFill>
      <xdr:spPr bwMode="auto">
        <a:xfrm>
          <a:off x="1228725" y="4507715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2382</xdr:row>
      <xdr:rowOff>19050</xdr:rowOff>
    </xdr:from>
    <xdr:to>
      <xdr:col>2</xdr:col>
      <xdr:colOff>1733550</xdr:colOff>
      <xdr:row>2382</xdr:row>
      <xdr:rowOff>1733550</xdr:rowOff>
    </xdr:to>
    <xdr:pic>
      <xdr:nvPicPr>
        <xdr:cNvPr id="2381" name="Picture 2380"/>
        <xdr:cNvPicPr>
          <a:picLocks noChangeAspect="1" noChangeArrowheads="1"/>
        </xdr:cNvPicPr>
      </xdr:nvPicPr>
      <xdr:blipFill>
        <a:blip xmlns:r="http://schemas.openxmlformats.org/officeDocument/2006/relationships" r:embed="rId2378">
          <a:extLst>
            <a:ext uri="{28A0092B-C50C-407E-A947-70E740481C1C}">
              <a14:useLocalDpi xmlns:a14="http://schemas.microsoft.com/office/drawing/2010/main" val="0"/>
            </a:ext>
          </a:extLst>
        </a:blip>
        <a:srcRect/>
        <a:stretch>
          <a:fillRect/>
        </a:stretch>
      </xdr:blipFill>
      <xdr:spPr bwMode="auto">
        <a:xfrm>
          <a:off x="1228725" y="4509716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2383</xdr:row>
      <xdr:rowOff>19050</xdr:rowOff>
    </xdr:from>
    <xdr:to>
      <xdr:col>2</xdr:col>
      <xdr:colOff>1733550</xdr:colOff>
      <xdr:row>2383</xdr:row>
      <xdr:rowOff>1733550</xdr:rowOff>
    </xdr:to>
    <xdr:pic>
      <xdr:nvPicPr>
        <xdr:cNvPr id="2382" name="Picture 2381"/>
        <xdr:cNvPicPr>
          <a:picLocks noChangeAspect="1" noChangeArrowheads="1"/>
        </xdr:cNvPicPr>
      </xdr:nvPicPr>
      <xdr:blipFill>
        <a:blip xmlns:r="http://schemas.openxmlformats.org/officeDocument/2006/relationships" r:embed="rId2379">
          <a:extLst>
            <a:ext uri="{28A0092B-C50C-407E-A947-70E740481C1C}">
              <a14:useLocalDpi xmlns:a14="http://schemas.microsoft.com/office/drawing/2010/main" val="0"/>
            </a:ext>
          </a:extLst>
        </a:blip>
        <a:srcRect/>
        <a:stretch>
          <a:fillRect/>
        </a:stretch>
      </xdr:blipFill>
      <xdr:spPr bwMode="auto">
        <a:xfrm>
          <a:off x="1228725" y="4511716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2384</xdr:row>
      <xdr:rowOff>19050</xdr:rowOff>
    </xdr:from>
    <xdr:to>
      <xdr:col>2</xdr:col>
      <xdr:colOff>1733550</xdr:colOff>
      <xdr:row>2384</xdr:row>
      <xdr:rowOff>1733550</xdr:rowOff>
    </xdr:to>
    <xdr:pic>
      <xdr:nvPicPr>
        <xdr:cNvPr id="2383" name="Picture 2382"/>
        <xdr:cNvPicPr>
          <a:picLocks noChangeAspect="1" noChangeArrowheads="1"/>
        </xdr:cNvPicPr>
      </xdr:nvPicPr>
      <xdr:blipFill>
        <a:blip xmlns:r="http://schemas.openxmlformats.org/officeDocument/2006/relationships" r:embed="rId2380">
          <a:extLst>
            <a:ext uri="{28A0092B-C50C-407E-A947-70E740481C1C}">
              <a14:useLocalDpi xmlns:a14="http://schemas.microsoft.com/office/drawing/2010/main" val="0"/>
            </a:ext>
          </a:extLst>
        </a:blip>
        <a:srcRect/>
        <a:stretch>
          <a:fillRect/>
        </a:stretch>
      </xdr:blipFill>
      <xdr:spPr bwMode="auto">
        <a:xfrm>
          <a:off x="1228725" y="4513716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2385</xdr:row>
      <xdr:rowOff>19050</xdr:rowOff>
    </xdr:from>
    <xdr:to>
      <xdr:col>2</xdr:col>
      <xdr:colOff>1733550</xdr:colOff>
      <xdr:row>2385</xdr:row>
      <xdr:rowOff>1733550</xdr:rowOff>
    </xdr:to>
    <xdr:pic>
      <xdr:nvPicPr>
        <xdr:cNvPr id="2384" name="Picture 2383"/>
        <xdr:cNvPicPr>
          <a:picLocks noChangeAspect="1" noChangeArrowheads="1"/>
        </xdr:cNvPicPr>
      </xdr:nvPicPr>
      <xdr:blipFill>
        <a:blip xmlns:r="http://schemas.openxmlformats.org/officeDocument/2006/relationships" r:embed="rId2381">
          <a:extLst>
            <a:ext uri="{28A0092B-C50C-407E-A947-70E740481C1C}">
              <a14:useLocalDpi xmlns:a14="http://schemas.microsoft.com/office/drawing/2010/main" val="0"/>
            </a:ext>
          </a:extLst>
        </a:blip>
        <a:srcRect/>
        <a:stretch>
          <a:fillRect/>
        </a:stretch>
      </xdr:blipFill>
      <xdr:spPr bwMode="auto">
        <a:xfrm>
          <a:off x="1228725" y="4515716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2386</xdr:row>
      <xdr:rowOff>19050</xdr:rowOff>
    </xdr:from>
    <xdr:to>
      <xdr:col>2</xdr:col>
      <xdr:colOff>1733550</xdr:colOff>
      <xdr:row>2386</xdr:row>
      <xdr:rowOff>1733550</xdr:rowOff>
    </xdr:to>
    <xdr:pic>
      <xdr:nvPicPr>
        <xdr:cNvPr id="2385" name="Picture 2384"/>
        <xdr:cNvPicPr>
          <a:picLocks noChangeAspect="1" noChangeArrowheads="1"/>
        </xdr:cNvPicPr>
      </xdr:nvPicPr>
      <xdr:blipFill>
        <a:blip xmlns:r="http://schemas.openxmlformats.org/officeDocument/2006/relationships" r:embed="rId2382">
          <a:extLst>
            <a:ext uri="{28A0092B-C50C-407E-A947-70E740481C1C}">
              <a14:useLocalDpi xmlns:a14="http://schemas.microsoft.com/office/drawing/2010/main" val="0"/>
            </a:ext>
          </a:extLst>
        </a:blip>
        <a:srcRect/>
        <a:stretch>
          <a:fillRect/>
        </a:stretch>
      </xdr:blipFill>
      <xdr:spPr bwMode="auto">
        <a:xfrm>
          <a:off x="1228725" y="4517717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2387</xdr:row>
      <xdr:rowOff>19050</xdr:rowOff>
    </xdr:from>
    <xdr:to>
      <xdr:col>2</xdr:col>
      <xdr:colOff>1733550</xdr:colOff>
      <xdr:row>2387</xdr:row>
      <xdr:rowOff>1733550</xdr:rowOff>
    </xdr:to>
    <xdr:pic>
      <xdr:nvPicPr>
        <xdr:cNvPr id="2386" name="Picture 2385"/>
        <xdr:cNvPicPr>
          <a:picLocks noChangeAspect="1" noChangeArrowheads="1"/>
        </xdr:cNvPicPr>
      </xdr:nvPicPr>
      <xdr:blipFill>
        <a:blip xmlns:r="http://schemas.openxmlformats.org/officeDocument/2006/relationships" r:embed="rId2383">
          <a:extLst>
            <a:ext uri="{28A0092B-C50C-407E-A947-70E740481C1C}">
              <a14:useLocalDpi xmlns:a14="http://schemas.microsoft.com/office/drawing/2010/main" val="0"/>
            </a:ext>
          </a:extLst>
        </a:blip>
        <a:srcRect/>
        <a:stretch>
          <a:fillRect/>
        </a:stretch>
      </xdr:blipFill>
      <xdr:spPr bwMode="auto">
        <a:xfrm>
          <a:off x="1228725" y="4519717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2388</xdr:row>
      <xdr:rowOff>19050</xdr:rowOff>
    </xdr:from>
    <xdr:to>
      <xdr:col>2</xdr:col>
      <xdr:colOff>1733550</xdr:colOff>
      <xdr:row>2388</xdr:row>
      <xdr:rowOff>1733550</xdr:rowOff>
    </xdr:to>
    <xdr:pic>
      <xdr:nvPicPr>
        <xdr:cNvPr id="2387" name="Picture 2386"/>
        <xdr:cNvPicPr>
          <a:picLocks noChangeAspect="1" noChangeArrowheads="1"/>
        </xdr:cNvPicPr>
      </xdr:nvPicPr>
      <xdr:blipFill>
        <a:blip xmlns:r="http://schemas.openxmlformats.org/officeDocument/2006/relationships" r:embed="rId2384">
          <a:extLst>
            <a:ext uri="{28A0092B-C50C-407E-A947-70E740481C1C}">
              <a14:useLocalDpi xmlns:a14="http://schemas.microsoft.com/office/drawing/2010/main" val="0"/>
            </a:ext>
          </a:extLst>
        </a:blip>
        <a:srcRect/>
        <a:stretch>
          <a:fillRect/>
        </a:stretch>
      </xdr:blipFill>
      <xdr:spPr bwMode="auto">
        <a:xfrm>
          <a:off x="1228725" y="4521717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2389</xdr:row>
      <xdr:rowOff>19050</xdr:rowOff>
    </xdr:from>
    <xdr:to>
      <xdr:col>2</xdr:col>
      <xdr:colOff>1733550</xdr:colOff>
      <xdr:row>2389</xdr:row>
      <xdr:rowOff>1733550</xdr:rowOff>
    </xdr:to>
    <xdr:pic>
      <xdr:nvPicPr>
        <xdr:cNvPr id="2388" name="Picture 2387"/>
        <xdr:cNvPicPr>
          <a:picLocks noChangeAspect="1" noChangeArrowheads="1"/>
        </xdr:cNvPicPr>
      </xdr:nvPicPr>
      <xdr:blipFill>
        <a:blip xmlns:r="http://schemas.openxmlformats.org/officeDocument/2006/relationships" r:embed="rId2385">
          <a:extLst>
            <a:ext uri="{28A0092B-C50C-407E-A947-70E740481C1C}">
              <a14:useLocalDpi xmlns:a14="http://schemas.microsoft.com/office/drawing/2010/main" val="0"/>
            </a:ext>
          </a:extLst>
        </a:blip>
        <a:srcRect/>
        <a:stretch>
          <a:fillRect/>
        </a:stretch>
      </xdr:blipFill>
      <xdr:spPr bwMode="auto">
        <a:xfrm>
          <a:off x="1228725" y="4523717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2390</xdr:row>
      <xdr:rowOff>19050</xdr:rowOff>
    </xdr:from>
    <xdr:to>
      <xdr:col>2</xdr:col>
      <xdr:colOff>1733550</xdr:colOff>
      <xdr:row>2390</xdr:row>
      <xdr:rowOff>1733550</xdr:rowOff>
    </xdr:to>
    <xdr:pic>
      <xdr:nvPicPr>
        <xdr:cNvPr id="2389" name="Picture 2388"/>
        <xdr:cNvPicPr>
          <a:picLocks noChangeAspect="1" noChangeArrowheads="1"/>
        </xdr:cNvPicPr>
      </xdr:nvPicPr>
      <xdr:blipFill>
        <a:blip xmlns:r="http://schemas.openxmlformats.org/officeDocument/2006/relationships" r:embed="rId2386">
          <a:extLst>
            <a:ext uri="{28A0092B-C50C-407E-A947-70E740481C1C}">
              <a14:useLocalDpi xmlns:a14="http://schemas.microsoft.com/office/drawing/2010/main" val="0"/>
            </a:ext>
          </a:extLst>
        </a:blip>
        <a:srcRect/>
        <a:stretch>
          <a:fillRect/>
        </a:stretch>
      </xdr:blipFill>
      <xdr:spPr bwMode="auto">
        <a:xfrm>
          <a:off x="1228725" y="4525718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2391</xdr:row>
      <xdr:rowOff>19050</xdr:rowOff>
    </xdr:from>
    <xdr:to>
      <xdr:col>2</xdr:col>
      <xdr:colOff>1733550</xdr:colOff>
      <xdr:row>2391</xdr:row>
      <xdr:rowOff>1666875</xdr:rowOff>
    </xdr:to>
    <xdr:pic>
      <xdr:nvPicPr>
        <xdr:cNvPr id="2390" name="Picture 2389"/>
        <xdr:cNvPicPr>
          <a:picLocks noChangeAspect="1" noChangeArrowheads="1"/>
        </xdr:cNvPicPr>
      </xdr:nvPicPr>
      <xdr:blipFill>
        <a:blip xmlns:r="http://schemas.openxmlformats.org/officeDocument/2006/relationships" r:embed="rId2387">
          <a:extLst>
            <a:ext uri="{28A0092B-C50C-407E-A947-70E740481C1C}">
              <a14:useLocalDpi xmlns:a14="http://schemas.microsoft.com/office/drawing/2010/main" val="0"/>
            </a:ext>
          </a:extLst>
        </a:blip>
        <a:srcRect/>
        <a:stretch>
          <a:fillRect/>
        </a:stretch>
      </xdr:blipFill>
      <xdr:spPr bwMode="auto">
        <a:xfrm>
          <a:off x="1228725" y="4527718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2392</xdr:row>
      <xdr:rowOff>19050</xdr:rowOff>
    </xdr:from>
    <xdr:to>
      <xdr:col>2</xdr:col>
      <xdr:colOff>1733550</xdr:colOff>
      <xdr:row>2392</xdr:row>
      <xdr:rowOff>1733550</xdr:rowOff>
    </xdr:to>
    <xdr:pic>
      <xdr:nvPicPr>
        <xdr:cNvPr id="2391" name="Picture 2390"/>
        <xdr:cNvPicPr>
          <a:picLocks noChangeAspect="1" noChangeArrowheads="1"/>
        </xdr:cNvPicPr>
      </xdr:nvPicPr>
      <xdr:blipFill>
        <a:blip xmlns:r="http://schemas.openxmlformats.org/officeDocument/2006/relationships" r:embed="rId2388">
          <a:extLst>
            <a:ext uri="{28A0092B-C50C-407E-A947-70E740481C1C}">
              <a14:useLocalDpi xmlns:a14="http://schemas.microsoft.com/office/drawing/2010/main" val="0"/>
            </a:ext>
          </a:extLst>
        </a:blip>
        <a:srcRect/>
        <a:stretch>
          <a:fillRect/>
        </a:stretch>
      </xdr:blipFill>
      <xdr:spPr bwMode="auto">
        <a:xfrm>
          <a:off x="1228725" y="4529632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2393</xdr:row>
      <xdr:rowOff>19050</xdr:rowOff>
    </xdr:from>
    <xdr:to>
      <xdr:col>2</xdr:col>
      <xdr:colOff>1733550</xdr:colOff>
      <xdr:row>2393</xdr:row>
      <xdr:rowOff>1733550</xdr:rowOff>
    </xdr:to>
    <xdr:pic>
      <xdr:nvPicPr>
        <xdr:cNvPr id="2392" name="Picture 2391"/>
        <xdr:cNvPicPr>
          <a:picLocks noChangeAspect="1" noChangeArrowheads="1"/>
        </xdr:cNvPicPr>
      </xdr:nvPicPr>
      <xdr:blipFill>
        <a:blip xmlns:r="http://schemas.openxmlformats.org/officeDocument/2006/relationships" r:embed="rId2389">
          <a:extLst>
            <a:ext uri="{28A0092B-C50C-407E-A947-70E740481C1C}">
              <a14:useLocalDpi xmlns:a14="http://schemas.microsoft.com/office/drawing/2010/main" val="0"/>
            </a:ext>
          </a:extLst>
        </a:blip>
        <a:srcRect/>
        <a:stretch>
          <a:fillRect/>
        </a:stretch>
      </xdr:blipFill>
      <xdr:spPr bwMode="auto">
        <a:xfrm>
          <a:off x="1228725" y="4531633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2394</xdr:row>
      <xdr:rowOff>19050</xdr:rowOff>
    </xdr:from>
    <xdr:to>
      <xdr:col>2</xdr:col>
      <xdr:colOff>1733550</xdr:colOff>
      <xdr:row>2394</xdr:row>
      <xdr:rowOff>1733550</xdr:rowOff>
    </xdr:to>
    <xdr:pic>
      <xdr:nvPicPr>
        <xdr:cNvPr id="2393" name="Picture 2392"/>
        <xdr:cNvPicPr>
          <a:picLocks noChangeAspect="1" noChangeArrowheads="1"/>
        </xdr:cNvPicPr>
      </xdr:nvPicPr>
      <xdr:blipFill>
        <a:blip xmlns:r="http://schemas.openxmlformats.org/officeDocument/2006/relationships" r:embed="rId2390">
          <a:extLst>
            <a:ext uri="{28A0092B-C50C-407E-A947-70E740481C1C}">
              <a14:useLocalDpi xmlns:a14="http://schemas.microsoft.com/office/drawing/2010/main" val="0"/>
            </a:ext>
          </a:extLst>
        </a:blip>
        <a:srcRect/>
        <a:stretch>
          <a:fillRect/>
        </a:stretch>
      </xdr:blipFill>
      <xdr:spPr bwMode="auto">
        <a:xfrm>
          <a:off x="1228725" y="4533633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2395</xdr:row>
      <xdr:rowOff>19050</xdr:rowOff>
    </xdr:from>
    <xdr:to>
      <xdr:col>2</xdr:col>
      <xdr:colOff>1733550</xdr:colOff>
      <xdr:row>2395</xdr:row>
      <xdr:rowOff>1733550</xdr:rowOff>
    </xdr:to>
    <xdr:pic>
      <xdr:nvPicPr>
        <xdr:cNvPr id="2394" name="Picture 2393"/>
        <xdr:cNvPicPr>
          <a:picLocks noChangeAspect="1" noChangeArrowheads="1"/>
        </xdr:cNvPicPr>
      </xdr:nvPicPr>
      <xdr:blipFill>
        <a:blip xmlns:r="http://schemas.openxmlformats.org/officeDocument/2006/relationships" r:embed="rId2391">
          <a:extLst>
            <a:ext uri="{28A0092B-C50C-407E-A947-70E740481C1C}">
              <a14:useLocalDpi xmlns:a14="http://schemas.microsoft.com/office/drawing/2010/main" val="0"/>
            </a:ext>
          </a:extLst>
        </a:blip>
        <a:srcRect/>
        <a:stretch>
          <a:fillRect/>
        </a:stretch>
      </xdr:blipFill>
      <xdr:spPr bwMode="auto">
        <a:xfrm>
          <a:off x="1228725" y="4535633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2396</xdr:row>
      <xdr:rowOff>19050</xdr:rowOff>
    </xdr:from>
    <xdr:to>
      <xdr:col>2</xdr:col>
      <xdr:colOff>1733550</xdr:colOff>
      <xdr:row>2396</xdr:row>
      <xdr:rowOff>1733550</xdr:rowOff>
    </xdr:to>
    <xdr:pic>
      <xdr:nvPicPr>
        <xdr:cNvPr id="2395" name="Picture 2394"/>
        <xdr:cNvPicPr>
          <a:picLocks noChangeAspect="1" noChangeArrowheads="1"/>
        </xdr:cNvPicPr>
      </xdr:nvPicPr>
      <xdr:blipFill>
        <a:blip xmlns:r="http://schemas.openxmlformats.org/officeDocument/2006/relationships" r:embed="rId2392">
          <a:extLst>
            <a:ext uri="{28A0092B-C50C-407E-A947-70E740481C1C}">
              <a14:useLocalDpi xmlns:a14="http://schemas.microsoft.com/office/drawing/2010/main" val="0"/>
            </a:ext>
          </a:extLst>
        </a:blip>
        <a:srcRect/>
        <a:stretch>
          <a:fillRect/>
        </a:stretch>
      </xdr:blipFill>
      <xdr:spPr bwMode="auto">
        <a:xfrm>
          <a:off x="1228725" y="4537633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2397</xdr:row>
      <xdr:rowOff>19050</xdr:rowOff>
    </xdr:from>
    <xdr:to>
      <xdr:col>2</xdr:col>
      <xdr:colOff>1733550</xdr:colOff>
      <xdr:row>2397</xdr:row>
      <xdr:rowOff>1733550</xdr:rowOff>
    </xdr:to>
    <xdr:pic>
      <xdr:nvPicPr>
        <xdr:cNvPr id="2396" name="Picture 2395"/>
        <xdr:cNvPicPr>
          <a:picLocks noChangeAspect="1" noChangeArrowheads="1"/>
        </xdr:cNvPicPr>
      </xdr:nvPicPr>
      <xdr:blipFill>
        <a:blip xmlns:r="http://schemas.openxmlformats.org/officeDocument/2006/relationships" r:embed="rId2393">
          <a:extLst>
            <a:ext uri="{28A0092B-C50C-407E-A947-70E740481C1C}">
              <a14:useLocalDpi xmlns:a14="http://schemas.microsoft.com/office/drawing/2010/main" val="0"/>
            </a:ext>
          </a:extLst>
        </a:blip>
        <a:srcRect/>
        <a:stretch>
          <a:fillRect/>
        </a:stretch>
      </xdr:blipFill>
      <xdr:spPr bwMode="auto">
        <a:xfrm>
          <a:off x="1228725" y="4539634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2398</xdr:row>
      <xdr:rowOff>9525</xdr:rowOff>
    </xdr:from>
    <xdr:to>
      <xdr:col>2</xdr:col>
      <xdr:colOff>1733550</xdr:colOff>
      <xdr:row>2398</xdr:row>
      <xdr:rowOff>1524000</xdr:rowOff>
    </xdr:to>
    <xdr:pic>
      <xdr:nvPicPr>
        <xdr:cNvPr id="2397" name="Picture 2396"/>
        <xdr:cNvPicPr>
          <a:picLocks noChangeAspect="1" noChangeArrowheads="1"/>
        </xdr:cNvPicPr>
      </xdr:nvPicPr>
      <xdr:blipFill>
        <a:blip xmlns:r="http://schemas.openxmlformats.org/officeDocument/2006/relationships" r:embed="rId2394">
          <a:extLst>
            <a:ext uri="{28A0092B-C50C-407E-A947-70E740481C1C}">
              <a14:useLocalDpi xmlns:a14="http://schemas.microsoft.com/office/drawing/2010/main" val="0"/>
            </a:ext>
          </a:extLst>
        </a:blip>
        <a:srcRect/>
        <a:stretch>
          <a:fillRect/>
        </a:stretch>
      </xdr:blipFill>
      <xdr:spPr bwMode="auto">
        <a:xfrm>
          <a:off x="1228725" y="4541624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2399</xdr:row>
      <xdr:rowOff>9525</xdr:rowOff>
    </xdr:from>
    <xdr:to>
      <xdr:col>2</xdr:col>
      <xdr:colOff>1733550</xdr:colOff>
      <xdr:row>2399</xdr:row>
      <xdr:rowOff>1524000</xdr:rowOff>
    </xdr:to>
    <xdr:pic>
      <xdr:nvPicPr>
        <xdr:cNvPr id="2398" name="Picture 2397"/>
        <xdr:cNvPicPr>
          <a:picLocks noChangeAspect="1" noChangeArrowheads="1"/>
        </xdr:cNvPicPr>
      </xdr:nvPicPr>
      <xdr:blipFill>
        <a:blip xmlns:r="http://schemas.openxmlformats.org/officeDocument/2006/relationships" r:embed="rId2395">
          <a:extLst>
            <a:ext uri="{28A0092B-C50C-407E-A947-70E740481C1C}">
              <a14:useLocalDpi xmlns:a14="http://schemas.microsoft.com/office/drawing/2010/main" val="0"/>
            </a:ext>
          </a:extLst>
        </a:blip>
        <a:srcRect/>
        <a:stretch>
          <a:fillRect/>
        </a:stretch>
      </xdr:blipFill>
      <xdr:spPr bwMode="auto">
        <a:xfrm>
          <a:off x="1228725" y="4543377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2400</xdr:row>
      <xdr:rowOff>19050</xdr:rowOff>
    </xdr:from>
    <xdr:to>
      <xdr:col>2</xdr:col>
      <xdr:colOff>1733550</xdr:colOff>
      <xdr:row>2400</xdr:row>
      <xdr:rowOff>1733550</xdr:rowOff>
    </xdr:to>
    <xdr:pic>
      <xdr:nvPicPr>
        <xdr:cNvPr id="2399" name="Picture 2398"/>
        <xdr:cNvPicPr>
          <a:picLocks noChangeAspect="1" noChangeArrowheads="1"/>
        </xdr:cNvPicPr>
      </xdr:nvPicPr>
      <xdr:blipFill>
        <a:blip xmlns:r="http://schemas.openxmlformats.org/officeDocument/2006/relationships" r:embed="rId2396">
          <a:extLst>
            <a:ext uri="{28A0092B-C50C-407E-A947-70E740481C1C}">
              <a14:useLocalDpi xmlns:a14="http://schemas.microsoft.com/office/drawing/2010/main" val="0"/>
            </a:ext>
          </a:extLst>
        </a:blip>
        <a:srcRect/>
        <a:stretch>
          <a:fillRect/>
        </a:stretch>
      </xdr:blipFill>
      <xdr:spPr bwMode="auto">
        <a:xfrm>
          <a:off x="1228725" y="4545139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2401</xdr:row>
      <xdr:rowOff>19050</xdr:rowOff>
    </xdr:from>
    <xdr:to>
      <xdr:col>2</xdr:col>
      <xdr:colOff>1733550</xdr:colOff>
      <xdr:row>2401</xdr:row>
      <xdr:rowOff>1733550</xdr:rowOff>
    </xdr:to>
    <xdr:pic>
      <xdr:nvPicPr>
        <xdr:cNvPr id="2400" name="Picture 2399"/>
        <xdr:cNvPicPr>
          <a:picLocks noChangeAspect="1" noChangeArrowheads="1"/>
        </xdr:cNvPicPr>
      </xdr:nvPicPr>
      <xdr:blipFill>
        <a:blip xmlns:r="http://schemas.openxmlformats.org/officeDocument/2006/relationships" r:embed="rId2397">
          <a:extLst>
            <a:ext uri="{28A0092B-C50C-407E-A947-70E740481C1C}">
              <a14:useLocalDpi xmlns:a14="http://schemas.microsoft.com/office/drawing/2010/main" val="0"/>
            </a:ext>
          </a:extLst>
        </a:blip>
        <a:srcRect/>
        <a:stretch>
          <a:fillRect/>
        </a:stretch>
      </xdr:blipFill>
      <xdr:spPr bwMode="auto">
        <a:xfrm>
          <a:off x="1228725" y="4547139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2402</xdr:row>
      <xdr:rowOff>19050</xdr:rowOff>
    </xdr:from>
    <xdr:to>
      <xdr:col>2</xdr:col>
      <xdr:colOff>1733550</xdr:colOff>
      <xdr:row>2402</xdr:row>
      <xdr:rowOff>1733550</xdr:rowOff>
    </xdr:to>
    <xdr:pic>
      <xdr:nvPicPr>
        <xdr:cNvPr id="2401" name="Picture 2400"/>
        <xdr:cNvPicPr>
          <a:picLocks noChangeAspect="1" noChangeArrowheads="1"/>
        </xdr:cNvPicPr>
      </xdr:nvPicPr>
      <xdr:blipFill>
        <a:blip xmlns:r="http://schemas.openxmlformats.org/officeDocument/2006/relationships" r:embed="rId2398">
          <a:extLst>
            <a:ext uri="{28A0092B-C50C-407E-A947-70E740481C1C}">
              <a14:useLocalDpi xmlns:a14="http://schemas.microsoft.com/office/drawing/2010/main" val="0"/>
            </a:ext>
          </a:extLst>
        </a:blip>
        <a:srcRect/>
        <a:stretch>
          <a:fillRect/>
        </a:stretch>
      </xdr:blipFill>
      <xdr:spPr bwMode="auto">
        <a:xfrm>
          <a:off x="1228725" y="4549140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2403</xdr:row>
      <xdr:rowOff>19050</xdr:rowOff>
    </xdr:from>
    <xdr:to>
      <xdr:col>2</xdr:col>
      <xdr:colOff>1733550</xdr:colOff>
      <xdr:row>2403</xdr:row>
      <xdr:rowOff>1733550</xdr:rowOff>
    </xdr:to>
    <xdr:pic>
      <xdr:nvPicPr>
        <xdr:cNvPr id="2402" name="Picture 2401"/>
        <xdr:cNvPicPr>
          <a:picLocks noChangeAspect="1" noChangeArrowheads="1"/>
        </xdr:cNvPicPr>
      </xdr:nvPicPr>
      <xdr:blipFill>
        <a:blip xmlns:r="http://schemas.openxmlformats.org/officeDocument/2006/relationships" r:embed="rId2399">
          <a:extLst>
            <a:ext uri="{28A0092B-C50C-407E-A947-70E740481C1C}">
              <a14:useLocalDpi xmlns:a14="http://schemas.microsoft.com/office/drawing/2010/main" val="0"/>
            </a:ext>
          </a:extLst>
        </a:blip>
        <a:srcRect/>
        <a:stretch>
          <a:fillRect/>
        </a:stretch>
      </xdr:blipFill>
      <xdr:spPr bwMode="auto">
        <a:xfrm>
          <a:off x="1228725" y="4551140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2404</xdr:row>
      <xdr:rowOff>19050</xdr:rowOff>
    </xdr:from>
    <xdr:to>
      <xdr:col>2</xdr:col>
      <xdr:colOff>1733550</xdr:colOff>
      <xdr:row>2404</xdr:row>
      <xdr:rowOff>1666875</xdr:rowOff>
    </xdr:to>
    <xdr:pic>
      <xdr:nvPicPr>
        <xdr:cNvPr id="2403" name="Picture 2402"/>
        <xdr:cNvPicPr>
          <a:picLocks noChangeAspect="1" noChangeArrowheads="1"/>
        </xdr:cNvPicPr>
      </xdr:nvPicPr>
      <xdr:blipFill>
        <a:blip xmlns:r="http://schemas.openxmlformats.org/officeDocument/2006/relationships" r:embed="rId2400">
          <a:extLst>
            <a:ext uri="{28A0092B-C50C-407E-A947-70E740481C1C}">
              <a14:useLocalDpi xmlns:a14="http://schemas.microsoft.com/office/drawing/2010/main" val="0"/>
            </a:ext>
          </a:extLst>
        </a:blip>
        <a:srcRect/>
        <a:stretch>
          <a:fillRect/>
        </a:stretch>
      </xdr:blipFill>
      <xdr:spPr bwMode="auto">
        <a:xfrm>
          <a:off x="1228725" y="45531405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2405</xdr:row>
      <xdr:rowOff>19050</xdr:rowOff>
    </xdr:from>
    <xdr:to>
      <xdr:col>2</xdr:col>
      <xdr:colOff>1733550</xdr:colOff>
      <xdr:row>2405</xdr:row>
      <xdr:rowOff>1666875</xdr:rowOff>
    </xdr:to>
    <xdr:pic>
      <xdr:nvPicPr>
        <xdr:cNvPr id="2404" name="Picture 2403"/>
        <xdr:cNvPicPr>
          <a:picLocks noChangeAspect="1" noChangeArrowheads="1"/>
        </xdr:cNvPicPr>
      </xdr:nvPicPr>
      <xdr:blipFill>
        <a:blip xmlns:r="http://schemas.openxmlformats.org/officeDocument/2006/relationships" r:embed="rId2401">
          <a:extLst>
            <a:ext uri="{28A0092B-C50C-407E-A947-70E740481C1C}">
              <a14:useLocalDpi xmlns:a14="http://schemas.microsoft.com/office/drawing/2010/main" val="0"/>
            </a:ext>
          </a:extLst>
        </a:blip>
        <a:srcRect/>
        <a:stretch>
          <a:fillRect/>
        </a:stretch>
      </xdr:blipFill>
      <xdr:spPr bwMode="auto">
        <a:xfrm>
          <a:off x="1228725" y="4555055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2406</xdr:row>
      <xdr:rowOff>19050</xdr:rowOff>
    </xdr:from>
    <xdr:to>
      <xdr:col>2</xdr:col>
      <xdr:colOff>1733550</xdr:colOff>
      <xdr:row>2406</xdr:row>
      <xdr:rowOff>1733550</xdr:rowOff>
    </xdr:to>
    <xdr:pic>
      <xdr:nvPicPr>
        <xdr:cNvPr id="2405" name="Picture 2404"/>
        <xdr:cNvPicPr>
          <a:picLocks noChangeAspect="1" noChangeArrowheads="1"/>
        </xdr:cNvPicPr>
      </xdr:nvPicPr>
      <xdr:blipFill>
        <a:blip xmlns:r="http://schemas.openxmlformats.org/officeDocument/2006/relationships" r:embed="rId2402">
          <a:extLst>
            <a:ext uri="{28A0092B-C50C-407E-A947-70E740481C1C}">
              <a14:useLocalDpi xmlns:a14="http://schemas.microsoft.com/office/drawing/2010/main" val="0"/>
            </a:ext>
          </a:extLst>
        </a:blip>
        <a:srcRect/>
        <a:stretch>
          <a:fillRect/>
        </a:stretch>
      </xdr:blipFill>
      <xdr:spPr bwMode="auto">
        <a:xfrm>
          <a:off x="1228725" y="4556969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2407</xdr:row>
      <xdr:rowOff>19050</xdr:rowOff>
    </xdr:from>
    <xdr:to>
      <xdr:col>2</xdr:col>
      <xdr:colOff>1733550</xdr:colOff>
      <xdr:row>2407</xdr:row>
      <xdr:rowOff>1733550</xdr:rowOff>
    </xdr:to>
    <xdr:pic>
      <xdr:nvPicPr>
        <xdr:cNvPr id="2406" name="Picture 2405"/>
        <xdr:cNvPicPr>
          <a:picLocks noChangeAspect="1" noChangeArrowheads="1"/>
        </xdr:cNvPicPr>
      </xdr:nvPicPr>
      <xdr:blipFill>
        <a:blip xmlns:r="http://schemas.openxmlformats.org/officeDocument/2006/relationships" r:embed="rId2403">
          <a:extLst>
            <a:ext uri="{28A0092B-C50C-407E-A947-70E740481C1C}">
              <a14:useLocalDpi xmlns:a14="http://schemas.microsoft.com/office/drawing/2010/main" val="0"/>
            </a:ext>
          </a:extLst>
        </a:blip>
        <a:srcRect/>
        <a:stretch>
          <a:fillRect/>
        </a:stretch>
      </xdr:blipFill>
      <xdr:spPr bwMode="auto">
        <a:xfrm>
          <a:off x="1228725" y="45589698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2408</xdr:row>
      <xdr:rowOff>19050</xdr:rowOff>
    </xdr:from>
    <xdr:to>
      <xdr:col>2</xdr:col>
      <xdr:colOff>1733550</xdr:colOff>
      <xdr:row>2408</xdr:row>
      <xdr:rowOff>1733550</xdr:rowOff>
    </xdr:to>
    <xdr:pic>
      <xdr:nvPicPr>
        <xdr:cNvPr id="2407" name="Picture 2406"/>
        <xdr:cNvPicPr>
          <a:picLocks noChangeAspect="1" noChangeArrowheads="1"/>
        </xdr:cNvPicPr>
      </xdr:nvPicPr>
      <xdr:blipFill>
        <a:blip xmlns:r="http://schemas.openxmlformats.org/officeDocument/2006/relationships" r:embed="rId2404">
          <a:extLst>
            <a:ext uri="{28A0092B-C50C-407E-A947-70E740481C1C}">
              <a14:useLocalDpi xmlns:a14="http://schemas.microsoft.com/office/drawing/2010/main" val="0"/>
            </a:ext>
          </a:extLst>
        </a:blip>
        <a:srcRect/>
        <a:stretch>
          <a:fillRect/>
        </a:stretch>
      </xdr:blipFill>
      <xdr:spPr bwMode="auto">
        <a:xfrm>
          <a:off x="1228725" y="45609700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2409</xdr:row>
      <xdr:rowOff>19050</xdr:rowOff>
    </xdr:from>
    <xdr:to>
      <xdr:col>2</xdr:col>
      <xdr:colOff>1733550</xdr:colOff>
      <xdr:row>2409</xdr:row>
      <xdr:rowOff>1666875</xdr:rowOff>
    </xdr:to>
    <xdr:pic>
      <xdr:nvPicPr>
        <xdr:cNvPr id="2408" name="Picture 2407"/>
        <xdr:cNvPicPr>
          <a:picLocks noChangeAspect="1" noChangeArrowheads="1"/>
        </xdr:cNvPicPr>
      </xdr:nvPicPr>
      <xdr:blipFill>
        <a:blip xmlns:r="http://schemas.openxmlformats.org/officeDocument/2006/relationships" r:embed="rId2405">
          <a:extLst>
            <a:ext uri="{28A0092B-C50C-407E-A947-70E740481C1C}">
              <a14:useLocalDpi xmlns:a14="http://schemas.microsoft.com/office/drawing/2010/main" val="0"/>
            </a:ext>
          </a:extLst>
        </a:blip>
        <a:srcRect/>
        <a:stretch>
          <a:fillRect/>
        </a:stretch>
      </xdr:blipFill>
      <xdr:spPr bwMode="auto">
        <a:xfrm>
          <a:off x="1228725" y="45629703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2410</xdr:row>
      <xdr:rowOff>19050</xdr:rowOff>
    </xdr:from>
    <xdr:to>
      <xdr:col>2</xdr:col>
      <xdr:colOff>1733550</xdr:colOff>
      <xdr:row>2410</xdr:row>
      <xdr:rowOff>1666875</xdr:rowOff>
    </xdr:to>
    <xdr:pic>
      <xdr:nvPicPr>
        <xdr:cNvPr id="2409" name="Picture 2408"/>
        <xdr:cNvPicPr>
          <a:picLocks noChangeAspect="1" noChangeArrowheads="1"/>
        </xdr:cNvPicPr>
      </xdr:nvPicPr>
      <xdr:blipFill>
        <a:blip xmlns:r="http://schemas.openxmlformats.org/officeDocument/2006/relationships" r:embed="rId2406">
          <a:extLst>
            <a:ext uri="{28A0092B-C50C-407E-A947-70E740481C1C}">
              <a14:useLocalDpi xmlns:a14="http://schemas.microsoft.com/office/drawing/2010/main" val="0"/>
            </a:ext>
          </a:extLst>
        </a:blip>
        <a:srcRect/>
        <a:stretch>
          <a:fillRect/>
        </a:stretch>
      </xdr:blipFill>
      <xdr:spPr bwMode="auto">
        <a:xfrm>
          <a:off x="1228725" y="456488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2411</xdr:row>
      <xdr:rowOff>19050</xdr:rowOff>
    </xdr:from>
    <xdr:to>
      <xdr:col>2</xdr:col>
      <xdr:colOff>1733550</xdr:colOff>
      <xdr:row>2411</xdr:row>
      <xdr:rowOff>1647825</xdr:rowOff>
    </xdr:to>
    <xdr:pic>
      <xdr:nvPicPr>
        <xdr:cNvPr id="2410" name="Picture 2409"/>
        <xdr:cNvPicPr>
          <a:picLocks noChangeAspect="1" noChangeArrowheads="1"/>
        </xdr:cNvPicPr>
      </xdr:nvPicPr>
      <xdr:blipFill>
        <a:blip xmlns:r="http://schemas.openxmlformats.org/officeDocument/2006/relationships" r:embed="rId2407">
          <a:extLst>
            <a:ext uri="{28A0092B-C50C-407E-A947-70E740481C1C}">
              <a14:useLocalDpi xmlns:a14="http://schemas.microsoft.com/office/drawing/2010/main" val="0"/>
            </a:ext>
          </a:extLst>
        </a:blip>
        <a:srcRect/>
        <a:stretch>
          <a:fillRect/>
        </a:stretch>
      </xdr:blipFill>
      <xdr:spPr bwMode="auto">
        <a:xfrm>
          <a:off x="1228725" y="45667993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2412</xdr:row>
      <xdr:rowOff>19050</xdr:rowOff>
    </xdr:from>
    <xdr:to>
      <xdr:col>2</xdr:col>
      <xdr:colOff>1733550</xdr:colOff>
      <xdr:row>2412</xdr:row>
      <xdr:rowOff>1733550</xdr:rowOff>
    </xdr:to>
    <xdr:pic>
      <xdr:nvPicPr>
        <xdr:cNvPr id="2411" name="Picture 2410"/>
        <xdr:cNvPicPr>
          <a:picLocks noChangeAspect="1" noChangeArrowheads="1"/>
        </xdr:cNvPicPr>
      </xdr:nvPicPr>
      <xdr:blipFill>
        <a:blip xmlns:r="http://schemas.openxmlformats.org/officeDocument/2006/relationships" r:embed="rId2408">
          <a:extLst>
            <a:ext uri="{28A0092B-C50C-407E-A947-70E740481C1C}">
              <a14:useLocalDpi xmlns:a14="http://schemas.microsoft.com/office/drawing/2010/main" val="0"/>
            </a:ext>
          </a:extLst>
        </a:blip>
        <a:srcRect/>
        <a:stretch>
          <a:fillRect/>
        </a:stretch>
      </xdr:blipFill>
      <xdr:spPr bwMode="auto">
        <a:xfrm>
          <a:off x="1228725" y="4568694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2413</xdr:row>
      <xdr:rowOff>19050</xdr:rowOff>
    </xdr:from>
    <xdr:to>
      <xdr:col>2</xdr:col>
      <xdr:colOff>1733550</xdr:colOff>
      <xdr:row>2413</xdr:row>
      <xdr:rowOff>1647825</xdr:rowOff>
    </xdr:to>
    <xdr:pic>
      <xdr:nvPicPr>
        <xdr:cNvPr id="2412" name="Picture 2411"/>
        <xdr:cNvPicPr>
          <a:picLocks noChangeAspect="1" noChangeArrowheads="1"/>
        </xdr:cNvPicPr>
      </xdr:nvPicPr>
      <xdr:blipFill>
        <a:blip xmlns:r="http://schemas.openxmlformats.org/officeDocument/2006/relationships" r:embed="rId2409">
          <a:extLst>
            <a:ext uri="{28A0092B-C50C-407E-A947-70E740481C1C}">
              <a14:useLocalDpi xmlns:a14="http://schemas.microsoft.com/office/drawing/2010/main" val="0"/>
            </a:ext>
          </a:extLst>
        </a:blip>
        <a:srcRect/>
        <a:stretch>
          <a:fillRect/>
        </a:stretch>
      </xdr:blipFill>
      <xdr:spPr bwMode="auto">
        <a:xfrm>
          <a:off x="1228725" y="45706950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2414</xdr:row>
      <xdr:rowOff>19050</xdr:rowOff>
    </xdr:from>
    <xdr:to>
      <xdr:col>2</xdr:col>
      <xdr:colOff>1733550</xdr:colOff>
      <xdr:row>2414</xdr:row>
      <xdr:rowOff>1666875</xdr:rowOff>
    </xdr:to>
    <xdr:pic>
      <xdr:nvPicPr>
        <xdr:cNvPr id="2413" name="Picture 2412"/>
        <xdr:cNvPicPr>
          <a:picLocks noChangeAspect="1" noChangeArrowheads="1"/>
        </xdr:cNvPicPr>
      </xdr:nvPicPr>
      <xdr:blipFill>
        <a:blip xmlns:r="http://schemas.openxmlformats.org/officeDocument/2006/relationships" r:embed="rId2410">
          <a:extLst>
            <a:ext uri="{28A0092B-C50C-407E-A947-70E740481C1C}">
              <a14:useLocalDpi xmlns:a14="http://schemas.microsoft.com/office/drawing/2010/main" val="0"/>
            </a:ext>
          </a:extLst>
        </a:blip>
        <a:srcRect/>
        <a:stretch>
          <a:fillRect/>
        </a:stretch>
      </xdr:blipFill>
      <xdr:spPr bwMode="auto">
        <a:xfrm>
          <a:off x="1228725" y="4572590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2415</xdr:row>
      <xdr:rowOff>19050</xdr:rowOff>
    </xdr:from>
    <xdr:to>
      <xdr:col>2</xdr:col>
      <xdr:colOff>1733550</xdr:colOff>
      <xdr:row>2415</xdr:row>
      <xdr:rowOff>1666875</xdr:rowOff>
    </xdr:to>
    <xdr:pic>
      <xdr:nvPicPr>
        <xdr:cNvPr id="2414" name="Picture 2413"/>
        <xdr:cNvPicPr>
          <a:picLocks noChangeAspect="1" noChangeArrowheads="1"/>
        </xdr:cNvPicPr>
      </xdr:nvPicPr>
      <xdr:blipFill>
        <a:blip xmlns:r="http://schemas.openxmlformats.org/officeDocument/2006/relationships" r:embed="rId2411">
          <a:extLst>
            <a:ext uri="{28A0092B-C50C-407E-A947-70E740481C1C}">
              <a14:useLocalDpi xmlns:a14="http://schemas.microsoft.com/office/drawing/2010/main" val="0"/>
            </a:ext>
          </a:extLst>
        </a:blip>
        <a:srcRect/>
        <a:stretch>
          <a:fillRect/>
        </a:stretch>
      </xdr:blipFill>
      <xdr:spPr bwMode="auto">
        <a:xfrm>
          <a:off x="1228725" y="4574505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2416</xdr:row>
      <xdr:rowOff>19050</xdr:rowOff>
    </xdr:from>
    <xdr:to>
      <xdr:col>2</xdr:col>
      <xdr:colOff>1733550</xdr:colOff>
      <xdr:row>2416</xdr:row>
      <xdr:rowOff>1733550</xdr:rowOff>
    </xdr:to>
    <xdr:pic>
      <xdr:nvPicPr>
        <xdr:cNvPr id="2415" name="Picture 2414"/>
        <xdr:cNvPicPr>
          <a:picLocks noChangeAspect="1" noChangeArrowheads="1"/>
        </xdr:cNvPicPr>
      </xdr:nvPicPr>
      <xdr:blipFill>
        <a:blip xmlns:r="http://schemas.openxmlformats.org/officeDocument/2006/relationships" r:embed="rId2412">
          <a:extLst>
            <a:ext uri="{28A0092B-C50C-407E-A947-70E740481C1C}">
              <a14:useLocalDpi xmlns:a14="http://schemas.microsoft.com/office/drawing/2010/main" val="0"/>
            </a:ext>
          </a:extLst>
        </a:blip>
        <a:srcRect/>
        <a:stretch>
          <a:fillRect/>
        </a:stretch>
      </xdr:blipFill>
      <xdr:spPr bwMode="auto">
        <a:xfrm>
          <a:off x="1228725" y="45764196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2417</xdr:row>
      <xdr:rowOff>19050</xdr:rowOff>
    </xdr:from>
    <xdr:to>
      <xdr:col>2</xdr:col>
      <xdr:colOff>1733550</xdr:colOff>
      <xdr:row>2417</xdr:row>
      <xdr:rowOff>1733550</xdr:rowOff>
    </xdr:to>
    <xdr:pic>
      <xdr:nvPicPr>
        <xdr:cNvPr id="2416" name="Picture 2415"/>
        <xdr:cNvPicPr>
          <a:picLocks noChangeAspect="1" noChangeArrowheads="1"/>
        </xdr:cNvPicPr>
      </xdr:nvPicPr>
      <xdr:blipFill>
        <a:blip xmlns:r="http://schemas.openxmlformats.org/officeDocument/2006/relationships" r:embed="rId2413">
          <a:extLst>
            <a:ext uri="{28A0092B-C50C-407E-A947-70E740481C1C}">
              <a14:useLocalDpi xmlns:a14="http://schemas.microsoft.com/office/drawing/2010/main" val="0"/>
            </a:ext>
          </a:extLst>
        </a:blip>
        <a:srcRect/>
        <a:stretch>
          <a:fillRect/>
        </a:stretch>
      </xdr:blipFill>
      <xdr:spPr bwMode="auto">
        <a:xfrm>
          <a:off x="1228725" y="45784198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2418</xdr:row>
      <xdr:rowOff>19050</xdr:rowOff>
    </xdr:from>
    <xdr:to>
      <xdr:col>2</xdr:col>
      <xdr:colOff>1733550</xdr:colOff>
      <xdr:row>2418</xdr:row>
      <xdr:rowOff>1733550</xdr:rowOff>
    </xdr:to>
    <xdr:pic>
      <xdr:nvPicPr>
        <xdr:cNvPr id="2417" name="Picture 2416"/>
        <xdr:cNvPicPr>
          <a:picLocks noChangeAspect="1" noChangeArrowheads="1"/>
        </xdr:cNvPicPr>
      </xdr:nvPicPr>
      <xdr:blipFill>
        <a:blip xmlns:r="http://schemas.openxmlformats.org/officeDocument/2006/relationships" r:embed="rId2414">
          <a:extLst>
            <a:ext uri="{28A0092B-C50C-407E-A947-70E740481C1C}">
              <a14:useLocalDpi xmlns:a14="http://schemas.microsoft.com/office/drawing/2010/main" val="0"/>
            </a:ext>
          </a:extLst>
        </a:blip>
        <a:srcRect/>
        <a:stretch>
          <a:fillRect/>
        </a:stretch>
      </xdr:blipFill>
      <xdr:spPr bwMode="auto">
        <a:xfrm>
          <a:off x="1228725" y="45804201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2419</xdr:row>
      <xdr:rowOff>19050</xdr:rowOff>
    </xdr:from>
    <xdr:to>
      <xdr:col>2</xdr:col>
      <xdr:colOff>1733550</xdr:colOff>
      <xdr:row>2419</xdr:row>
      <xdr:rowOff>1733550</xdr:rowOff>
    </xdr:to>
    <xdr:pic>
      <xdr:nvPicPr>
        <xdr:cNvPr id="2418" name="Picture 2417"/>
        <xdr:cNvPicPr>
          <a:picLocks noChangeAspect="1" noChangeArrowheads="1"/>
        </xdr:cNvPicPr>
      </xdr:nvPicPr>
      <xdr:blipFill>
        <a:blip xmlns:r="http://schemas.openxmlformats.org/officeDocument/2006/relationships" r:embed="rId2415">
          <a:extLst>
            <a:ext uri="{28A0092B-C50C-407E-A947-70E740481C1C}">
              <a14:useLocalDpi xmlns:a14="http://schemas.microsoft.com/office/drawing/2010/main" val="0"/>
            </a:ext>
          </a:extLst>
        </a:blip>
        <a:srcRect/>
        <a:stretch>
          <a:fillRect/>
        </a:stretch>
      </xdr:blipFill>
      <xdr:spPr bwMode="auto">
        <a:xfrm>
          <a:off x="1228725" y="45824203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2420</xdr:row>
      <xdr:rowOff>19050</xdr:rowOff>
    </xdr:from>
    <xdr:to>
      <xdr:col>2</xdr:col>
      <xdr:colOff>1733550</xdr:colOff>
      <xdr:row>2420</xdr:row>
      <xdr:rowOff>1733550</xdr:rowOff>
    </xdr:to>
    <xdr:pic>
      <xdr:nvPicPr>
        <xdr:cNvPr id="2419" name="Picture 2418"/>
        <xdr:cNvPicPr>
          <a:picLocks noChangeAspect="1" noChangeArrowheads="1"/>
        </xdr:cNvPicPr>
      </xdr:nvPicPr>
      <xdr:blipFill>
        <a:blip xmlns:r="http://schemas.openxmlformats.org/officeDocument/2006/relationships" r:embed="rId2416">
          <a:extLst>
            <a:ext uri="{28A0092B-C50C-407E-A947-70E740481C1C}">
              <a14:useLocalDpi xmlns:a14="http://schemas.microsoft.com/office/drawing/2010/main" val="0"/>
            </a:ext>
          </a:extLst>
        </a:blip>
        <a:srcRect/>
        <a:stretch>
          <a:fillRect/>
        </a:stretch>
      </xdr:blipFill>
      <xdr:spPr bwMode="auto">
        <a:xfrm>
          <a:off x="1228725" y="45844206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2421</xdr:row>
      <xdr:rowOff>19050</xdr:rowOff>
    </xdr:from>
    <xdr:to>
      <xdr:col>2</xdr:col>
      <xdr:colOff>1733550</xdr:colOff>
      <xdr:row>2421</xdr:row>
      <xdr:rowOff>1733550</xdr:rowOff>
    </xdr:to>
    <xdr:pic>
      <xdr:nvPicPr>
        <xdr:cNvPr id="2420" name="Picture 2419"/>
        <xdr:cNvPicPr>
          <a:picLocks noChangeAspect="1" noChangeArrowheads="1"/>
        </xdr:cNvPicPr>
      </xdr:nvPicPr>
      <xdr:blipFill>
        <a:blip xmlns:r="http://schemas.openxmlformats.org/officeDocument/2006/relationships" r:embed="rId2417">
          <a:extLst>
            <a:ext uri="{28A0092B-C50C-407E-A947-70E740481C1C}">
              <a14:useLocalDpi xmlns:a14="http://schemas.microsoft.com/office/drawing/2010/main" val="0"/>
            </a:ext>
          </a:extLst>
        </a:blip>
        <a:srcRect/>
        <a:stretch>
          <a:fillRect/>
        </a:stretch>
      </xdr:blipFill>
      <xdr:spPr bwMode="auto">
        <a:xfrm>
          <a:off x="1228725" y="45864208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2422</xdr:row>
      <xdr:rowOff>19050</xdr:rowOff>
    </xdr:from>
    <xdr:to>
      <xdr:col>2</xdr:col>
      <xdr:colOff>1733550</xdr:colOff>
      <xdr:row>2422</xdr:row>
      <xdr:rowOff>1733550</xdr:rowOff>
    </xdr:to>
    <xdr:pic>
      <xdr:nvPicPr>
        <xdr:cNvPr id="2421" name="Picture 2420"/>
        <xdr:cNvPicPr>
          <a:picLocks noChangeAspect="1" noChangeArrowheads="1"/>
        </xdr:cNvPicPr>
      </xdr:nvPicPr>
      <xdr:blipFill>
        <a:blip xmlns:r="http://schemas.openxmlformats.org/officeDocument/2006/relationships" r:embed="rId2418">
          <a:extLst>
            <a:ext uri="{28A0092B-C50C-407E-A947-70E740481C1C}">
              <a14:useLocalDpi xmlns:a14="http://schemas.microsoft.com/office/drawing/2010/main" val="0"/>
            </a:ext>
          </a:extLst>
        </a:blip>
        <a:srcRect/>
        <a:stretch>
          <a:fillRect/>
        </a:stretch>
      </xdr:blipFill>
      <xdr:spPr bwMode="auto">
        <a:xfrm>
          <a:off x="1228725" y="45884211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2423</xdr:row>
      <xdr:rowOff>19050</xdr:rowOff>
    </xdr:from>
    <xdr:to>
      <xdr:col>2</xdr:col>
      <xdr:colOff>1733550</xdr:colOff>
      <xdr:row>2423</xdr:row>
      <xdr:rowOff>1733550</xdr:rowOff>
    </xdr:to>
    <xdr:pic>
      <xdr:nvPicPr>
        <xdr:cNvPr id="2422" name="Picture 2421"/>
        <xdr:cNvPicPr>
          <a:picLocks noChangeAspect="1" noChangeArrowheads="1"/>
        </xdr:cNvPicPr>
      </xdr:nvPicPr>
      <xdr:blipFill>
        <a:blip xmlns:r="http://schemas.openxmlformats.org/officeDocument/2006/relationships" r:embed="rId2419">
          <a:extLst>
            <a:ext uri="{28A0092B-C50C-407E-A947-70E740481C1C}">
              <a14:useLocalDpi xmlns:a14="http://schemas.microsoft.com/office/drawing/2010/main" val="0"/>
            </a:ext>
          </a:extLst>
        </a:blip>
        <a:srcRect/>
        <a:stretch>
          <a:fillRect/>
        </a:stretch>
      </xdr:blipFill>
      <xdr:spPr bwMode="auto">
        <a:xfrm>
          <a:off x="1228725" y="45904213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2424</xdr:row>
      <xdr:rowOff>19050</xdr:rowOff>
    </xdr:from>
    <xdr:to>
      <xdr:col>2</xdr:col>
      <xdr:colOff>1733550</xdr:colOff>
      <xdr:row>2424</xdr:row>
      <xdr:rowOff>1733550</xdr:rowOff>
    </xdr:to>
    <xdr:pic>
      <xdr:nvPicPr>
        <xdr:cNvPr id="2423" name="Picture 2422"/>
        <xdr:cNvPicPr>
          <a:picLocks noChangeAspect="1" noChangeArrowheads="1"/>
        </xdr:cNvPicPr>
      </xdr:nvPicPr>
      <xdr:blipFill>
        <a:blip xmlns:r="http://schemas.openxmlformats.org/officeDocument/2006/relationships" r:embed="rId2420">
          <a:extLst>
            <a:ext uri="{28A0092B-C50C-407E-A947-70E740481C1C}">
              <a14:useLocalDpi xmlns:a14="http://schemas.microsoft.com/office/drawing/2010/main" val="0"/>
            </a:ext>
          </a:extLst>
        </a:blip>
        <a:srcRect/>
        <a:stretch>
          <a:fillRect/>
        </a:stretch>
      </xdr:blipFill>
      <xdr:spPr bwMode="auto">
        <a:xfrm>
          <a:off x="1228725" y="45924216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2425</xdr:row>
      <xdr:rowOff>19050</xdr:rowOff>
    </xdr:from>
    <xdr:to>
      <xdr:col>2</xdr:col>
      <xdr:colOff>1733550</xdr:colOff>
      <xdr:row>2425</xdr:row>
      <xdr:rowOff>1666875</xdr:rowOff>
    </xdr:to>
    <xdr:pic>
      <xdr:nvPicPr>
        <xdr:cNvPr id="2424" name="Picture 2423"/>
        <xdr:cNvPicPr>
          <a:picLocks noChangeAspect="1" noChangeArrowheads="1"/>
        </xdr:cNvPicPr>
      </xdr:nvPicPr>
      <xdr:blipFill>
        <a:blip xmlns:r="http://schemas.openxmlformats.org/officeDocument/2006/relationships" r:embed="rId2421">
          <a:extLst>
            <a:ext uri="{28A0092B-C50C-407E-A947-70E740481C1C}">
              <a14:useLocalDpi xmlns:a14="http://schemas.microsoft.com/office/drawing/2010/main" val="0"/>
            </a:ext>
          </a:extLst>
        </a:blip>
        <a:srcRect/>
        <a:stretch>
          <a:fillRect/>
        </a:stretch>
      </xdr:blipFill>
      <xdr:spPr bwMode="auto">
        <a:xfrm>
          <a:off x="1228725" y="4594421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2426</xdr:row>
      <xdr:rowOff>19050</xdr:rowOff>
    </xdr:from>
    <xdr:to>
      <xdr:col>2</xdr:col>
      <xdr:colOff>1733550</xdr:colOff>
      <xdr:row>2426</xdr:row>
      <xdr:rowOff>1666875</xdr:rowOff>
    </xdr:to>
    <xdr:pic>
      <xdr:nvPicPr>
        <xdr:cNvPr id="2425" name="Picture 2424"/>
        <xdr:cNvPicPr>
          <a:picLocks noChangeAspect="1" noChangeArrowheads="1"/>
        </xdr:cNvPicPr>
      </xdr:nvPicPr>
      <xdr:blipFill>
        <a:blip xmlns:r="http://schemas.openxmlformats.org/officeDocument/2006/relationships" r:embed="rId2422">
          <a:extLst>
            <a:ext uri="{28A0092B-C50C-407E-A947-70E740481C1C}">
              <a14:useLocalDpi xmlns:a14="http://schemas.microsoft.com/office/drawing/2010/main" val="0"/>
            </a:ext>
          </a:extLst>
        </a:blip>
        <a:srcRect/>
        <a:stretch>
          <a:fillRect/>
        </a:stretch>
      </xdr:blipFill>
      <xdr:spPr bwMode="auto">
        <a:xfrm>
          <a:off x="1228725" y="45963363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2427</xdr:row>
      <xdr:rowOff>19050</xdr:rowOff>
    </xdr:from>
    <xdr:to>
      <xdr:col>2</xdr:col>
      <xdr:colOff>1733550</xdr:colOff>
      <xdr:row>2427</xdr:row>
      <xdr:rowOff>1666875</xdr:rowOff>
    </xdr:to>
    <xdr:pic>
      <xdr:nvPicPr>
        <xdr:cNvPr id="2426" name="Picture 2425"/>
        <xdr:cNvPicPr>
          <a:picLocks noChangeAspect="1" noChangeArrowheads="1"/>
        </xdr:cNvPicPr>
      </xdr:nvPicPr>
      <xdr:blipFill>
        <a:blip xmlns:r="http://schemas.openxmlformats.org/officeDocument/2006/relationships" r:embed="rId2423">
          <a:extLst>
            <a:ext uri="{28A0092B-C50C-407E-A947-70E740481C1C}">
              <a14:useLocalDpi xmlns:a14="http://schemas.microsoft.com/office/drawing/2010/main" val="0"/>
            </a:ext>
          </a:extLst>
        </a:blip>
        <a:srcRect/>
        <a:stretch>
          <a:fillRect/>
        </a:stretch>
      </xdr:blipFill>
      <xdr:spPr bwMode="auto">
        <a:xfrm>
          <a:off x="1228725" y="4598250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2428</xdr:row>
      <xdr:rowOff>19050</xdr:rowOff>
    </xdr:from>
    <xdr:to>
      <xdr:col>2</xdr:col>
      <xdr:colOff>1733550</xdr:colOff>
      <xdr:row>2428</xdr:row>
      <xdr:rowOff>1666875</xdr:rowOff>
    </xdr:to>
    <xdr:pic>
      <xdr:nvPicPr>
        <xdr:cNvPr id="2427" name="Picture 2426"/>
        <xdr:cNvPicPr>
          <a:picLocks noChangeAspect="1" noChangeArrowheads="1"/>
        </xdr:cNvPicPr>
      </xdr:nvPicPr>
      <xdr:blipFill>
        <a:blip xmlns:r="http://schemas.openxmlformats.org/officeDocument/2006/relationships" r:embed="rId2424">
          <a:extLst>
            <a:ext uri="{28A0092B-C50C-407E-A947-70E740481C1C}">
              <a14:useLocalDpi xmlns:a14="http://schemas.microsoft.com/office/drawing/2010/main" val="0"/>
            </a:ext>
          </a:extLst>
        </a:blip>
        <a:srcRect/>
        <a:stretch>
          <a:fillRect/>
        </a:stretch>
      </xdr:blipFill>
      <xdr:spPr bwMode="auto">
        <a:xfrm>
          <a:off x="1228725" y="46001654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2429</xdr:row>
      <xdr:rowOff>19050</xdr:rowOff>
    </xdr:from>
    <xdr:to>
      <xdr:col>2</xdr:col>
      <xdr:colOff>1733550</xdr:colOff>
      <xdr:row>2429</xdr:row>
      <xdr:rowOff>1666875</xdr:rowOff>
    </xdr:to>
    <xdr:pic>
      <xdr:nvPicPr>
        <xdr:cNvPr id="2428" name="Picture 2427"/>
        <xdr:cNvPicPr>
          <a:picLocks noChangeAspect="1" noChangeArrowheads="1"/>
        </xdr:cNvPicPr>
      </xdr:nvPicPr>
      <xdr:blipFill>
        <a:blip xmlns:r="http://schemas.openxmlformats.org/officeDocument/2006/relationships" r:embed="rId2425">
          <a:extLst>
            <a:ext uri="{28A0092B-C50C-407E-A947-70E740481C1C}">
              <a14:useLocalDpi xmlns:a14="http://schemas.microsoft.com/office/drawing/2010/main" val="0"/>
            </a:ext>
          </a:extLst>
        </a:blip>
        <a:srcRect/>
        <a:stretch>
          <a:fillRect/>
        </a:stretch>
      </xdr:blipFill>
      <xdr:spPr bwMode="auto">
        <a:xfrm>
          <a:off x="1228725" y="46020799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2430</xdr:row>
      <xdr:rowOff>19050</xdr:rowOff>
    </xdr:from>
    <xdr:to>
      <xdr:col>2</xdr:col>
      <xdr:colOff>1733550</xdr:colOff>
      <xdr:row>2430</xdr:row>
      <xdr:rowOff>1666875</xdr:rowOff>
    </xdr:to>
    <xdr:pic>
      <xdr:nvPicPr>
        <xdr:cNvPr id="2429" name="Picture 2428"/>
        <xdr:cNvPicPr>
          <a:picLocks noChangeAspect="1" noChangeArrowheads="1"/>
        </xdr:cNvPicPr>
      </xdr:nvPicPr>
      <xdr:blipFill>
        <a:blip xmlns:r="http://schemas.openxmlformats.org/officeDocument/2006/relationships" r:embed="rId2426">
          <a:extLst>
            <a:ext uri="{28A0092B-C50C-407E-A947-70E740481C1C}">
              <a14:useLocalDpi xmlns:a14="http://schemas.microsoft.com/office/drawing/2010/main" val="0"/>
            </a:ext>
          </a:extLst>
        </a:blip>
        <a:srcRect/>
        <a:stretch>
          <a:fillRect/>
        </a:stretch>
      </xdr:blipFill>
      <xdr:spPr bwMode="auto">
        <a:xfrm>
          <a:off x="1228725" y="4603994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2431</xdr:row>
      <xdr:rowOff>19050</xdr:rowOff>
    </xdr:from>
    <xdr:to>
      <xdr:col>2</xdr:col>
      <xdr:colOff>1733550</xdr:colOff>
      <xdr:row>2431</xdr:row>
      <xdr:rowOff>1666875</xdr:rowOff>
    </xdr:to>
    <xdr:pic>
      <xdr:nvPicPr>
        <xdr:cNvPr id="2430" name="Picture 2429"/>
        <xdr:cNvPicPr>
          <a:picLocks noChangeAspect="1" noChangeArrowheads="1"/>
        </xdr:cNvPicPr>
      </xdr:nvPicPr>
      <xdr:blipFill>
        <a:blip xmlns:r="http://schemas.openxmlformats.org/officeDocument/2006/relationships" r:embed="rId2427">
          <a:extLst>
            <a:ext uri="{28A0092B-C50C-407E-A947-70E740481C1C}">
              <a14:useLocalDpi xmlns:a14="http://schemas.microsoft.com/office/drawing/2010/main" val="0"/>
            </a:ext>
          </a:extLst>
        </a:blip>
        <a:srcRect/>
        <a:stretch>
          <a:fillRect/>
        </a:stretch>
      </xdr:blipFill>
      <xdr:spPr bwMode="auto">
        <a:xfrm>
          <a:off x="1228725" y="460590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2432</xdr:row>
      <xdr:rowOff>19050</xdr:rowOff>
    </xdr:from>
    <xdr:to>
      <xdr:col>2</xdr:col>
      <xdr:colOff>1733550</xdr:colOff>
      <xdr:row>2432</xdr:row>
      <xdr:rowOff>1733550</xdr:rowOff>
    </xdr:to>
    <xdr:pic>
      <xdr:nvPicPr>
        <xdr:cNvPr id="2431" name="Picture 2430"/>
        <xdr:cNvPicPr>
          <a:picLocks noChangeAspect="1" noChangeArrowheads="1"/>
        </xdr:cNvPicPr>
      </xdr:nvPicPr>
      <xdr:blipFill>
        <a:blip xmlns:r="http://schemas.openxmlformats.org/officeDocument/2006/relationships" r:embed="rId2428">
          <a:extLst>
            <a:ext uri="{28A0092B-C50C-407E-A947-70E740481C1C}">
              <a14:useLocalDpi xmlns:a14="http://schemas.microsoft.com/office/drawing/2010/main" val="0"/>
            </a:ext>
          </a:extLst>
        </a:blip>
        <a:srcRect/>
        <a:stretch>
          <a:fillRect/>
        </a:stretch>
      </xdr:blipFill>
      <xdr:spPr bwMode="auto">
        <a:xfrm>
          <a:off x="1228725" y="4607823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2433</xdr:row>
      <xdr:rowOff>19050</xdr:rowOff>
    </xdr:from>
    <xdr:to>
      <xdr:col>2</xdr:col>
      <xdr:colOff>1733550</xdr:colOff>
      <xdr:row>2433</xdr:row>
      <xdr:rowOff>1733550</xdr:rowOff>
    </xdr:to>
    <xdr:pic>
      <xdr:nvPicPr>
        <xdr:cNvPr id="2432" name="Picture 2431"/>
        <xdr:cNvPicPr>
          <a:picLocks noChangeAspect="1" noChangeArrowheads="1"/>
        </xdr:cNvPicPr>
      </xdr:nvPicPr>
      <xdr:blipFill>
        <a:blip xmlns:r="http://schemas.openxmlformats.org/officeDocument/2006/relationships" r:embed="rId2429">
          <a:extLst>
            <a:ext uri="{28A0092B-C50C-407E-A947-70E740481C1C}">
              <a14:useLocalDpi xmlns:a14="http://schemas.microsoft.com/office/drawing/2010/main" val="0"/>
            </a:ext>
          </a:extLst>
        </a:blip>
        <a:srcRect/>
        <a:stretch>
          <a:fillRect/>
        </a:stretch>
      </xdr:blipFill>
      <xdr:spPr bwMode="auto">
        <a:xfrm>
          <a:off x="1228725" y="4609823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2434</xdr:row>
      <xdr:rowOff>19050</xdr:rowOff>
    </xdr:from>
    <xdr:to>
      <xdr:col>2</xdr:col>
      <xdr:colOff>1733550</xdr:colOff>
      <xdr:row>2434</xdr:row>
      <xdr:rowOff>1666875</xdr:rowOff>
    </xdr:to>
    <xdr:pic>
      <xdr:nvPicPr>
        <xdr:cNvPr id="2433" name="Picture 2432"/>
        <xdr:cNvPicPr>
          <a:picLocks noChangeAspect="1" noChangeArrowheads="1"/>
        </xdr:cNvPicPr>
      </xdr:nvPicPr>
      <xdr:blipFill>
        <a:blip xmlns:r="http://schemas.openxmlformats.org/officeDocument/2006/relationships" r:embed="rId2430">
          <a:extLst>
            <a:ext uri="{28A0092B-C50C-407E-A947-70E740481C1C}">
              <a14:useLocalDpi xmlns:a14="http://schemas.microsoft.com/office/drawing/2010/main" val="0"/>
            </a:ext>
          </a:extLst>
        </a:blip>
        <a:srcRect/>
        <a:stretch>
          <a:fillRect/>
        </a:stretch>
      </xdr:blipFill>
      <xdr:spPr bwMode="auto">
        <a:xfrm>
          <a:off x="1228725" y="4611824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2435</xdr:row>
      <xdr:rowOff>19050</xdr:rowOff>
    </xdr:from>
    <xdr:to>
      <xdr:col>2</xdr:col>
      <xdr:colOff>1733550</xdr:colOff>
      <xdr:row>2435</xdr:row>
      <xdr:rowOff>1666875</xdr:rowOff>
    </xdr:to>
    <xdr:pic>
      <xdr:nvPicPr>
        <xdr:cNvPr id="2434" name="Picture 2433"/>
        <xdr:cNvPicPr>
          <a:picLocks noChangeAspect="1" noChangeArrowheads="1"/>
        </xdr:cNvPicPr>
      </xdr:nvPicPr>
      <xdr:blipFill>
        <a:blip xmlns:r="http://schemas.openxmlformats.org/officeDocument/2006/relationships" r:embed="rId2431">
          <a:extLst>
            <a:ext uri="{28A0092B-C50C-407E-A947-70E740481C1C}">
              <a14:useLocalDpi xmlns:a14="http://schemas.microsoft.com/office/drawing/2010/main" val="0"/>
            </a:ext>
          </a:extLst>
        </a:blip>
        <a:srcRect/>
        <a:stretch>
          <a:fillRect/>
        </a:stretch>
      </xdr:blipFill>
      <xdr:spPr bwMode="auto">
        <a:xfrm>
          <a:off x="1228725" y="461373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2436</xdr:row>
      <xdr:rowOff>19050</xdr:rowOff>
    </xdr:from>
    <xdr:to>
      <xdr:col>2</xdr:col>
      <xdr:colOff>1733550</xdr:colOff>
      <xdr:row>2436</xdr:row>
      <xdr:rowOff>1733550</xdr:rowOff>
    </xdr:to>
    <xdr:pic>
      <xdr:nvPicPr>
        <xdr:cNvPr id="2435" name="Picture 2434"/>
        <xdr:cNvPicPr>
          <a:picLocks noChangeAspect="1" noChangeArrowheads="1"/>
        </xdr:cNvPicPr>
      </xdr:nvPicPr>
      <xdr:blipFill>
        <a:blip xmlns:r="http://schemas.openxmlformats.org/officeDocument/2006/relationships" r:embed="rId2432">
          <a:extLst>
            <a:ext uri="{28A0092B-C50C-407E-A947-70E740481C1C}">
              <a14:useLocalDpi xmlns:a14="http://schemas.microsoft.com/office/drawing/2010/main" val="0"/>
            </a:ext>
          </a:extLst>
        </a:blip>
        <a:srcRect/>
        <a:stretch>
          <a:fillRect/>
        </a:stretch>
      </xdr:blipFill>
      <xdr:spPr bwMode="auto">
        <a:xfrm>
          <a:off x="1228725" y="46156530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2437</xdr:row>
      <xdr:rowOff>19050</xdr:rowOff>
    </xdr:from>
    <xdr:to>
      <xdr:col>2</xdr:col>
      <xdr:colOff>1733550</xdr:colOff>
      <xdr:row>2437</xdr:row>
      <xdr:rowOff>1733550</xdr:rowOff>
    </xdr:to>
    <xdr:pic>
      <xdr:nvPicPr>
        <xdr:cNvPr id="2436" name="Picture 2435"/>
        <xdr:cNvPicPr>
          <a:picLocks noChangeAspect="1" noChangeArrowheads="1"/>
        </xdr:cNvPicPr>
      </xdr:nvPicPr>
      <xdr:blipFill>
        <a:blip xmlns:r="http://schemas.openxmlformats.org/officeDocument/2006/relationships" r:embed="rId2433">
          <a:extLst>
            <a:ext uri="{28A0092B-C50C-407E-A947-70E740481C1C}">
              <a14:useLocalDpi xmlns:a14="http://schemas.microsoft.com/office/drawing/2010/main" val="0"/>
            </a:ext>
          </a:extLst>
        </a:blip>
        <a:srcRect/>
        <a:stretch>
          <a:fillRect/>
        </a:stretch>
      </xdr:blipFill>
      <xdr:spPr bwMode="auto">
        <a:xfrm>
          <a:off x="1228725" y="46176533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2438</xdr:row>
      <xdr:rowOff>19050</xdr:rowOff>
    </xdr:from>
    <xdr:to>
      <xdr:col>2</xdr:col>
      <xdr:colOff>1733550</xdr:colOff>
      <xdr:row>2438</xdr:row>
      <xdr:rowOff>1733550</xdr:rowOff>
    </xdr:to>
    <xdr:pic>
      <xdr:nvPicPr>
        <xdr:cNvPr id="2437" name="Picture 2436"/>
        <xdr:cNvPicPr>
          <a:picLocks noChangeAspect="1" noChangeArrowheads="1"/>
        </xdr:cNvPicPr>
      </xdr:nvPicPr>
      <xdr:blipFill>
        <a:blip xmlns:r="http://schemas.openxmlformats.org/officeDocument/2006/relationships" r:embed="rId2434">
          <a:extLst>
            <a:ext uri="{28A0092B-C50C-407E-A947-70E740481C1C}">
              <a14:useLocalDpi xmlns:a14="http://schemas.microsoft.com/office/drawing/2010/main" val="0"/>
            </a:ext>
          </a:extLst>
        </a:blip>
        <a:srcRect/>
        <a:stretch>
          <a:fillRect/>
        </a:stretch>
      </xdr:blipFill>
      <xdr:spPr bwMode="auto">
        <a:xfrm>
          <a:off x="1228725" y="46196535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2439</xdr:row>
      <xdr:rowOff>19050</xdr:rowOff>
    </xdr:from>
    <xdr:to>
      <xdr:col>2</xdr:col>
      <xdr:colOff>1733550</xdr:colOff>
      <xdr:row>2439</xdr:row>
      <xdr:rowOff>1733550</xdr:rowOff>
    </xdr:to>
    <xdr:pic>
      <xdr:nvPicPr>
        <xdr:cNvPr id="2438" name="Picture 2437"/>
        <xdr:cNvPicPr>
          <a:picLocks noChangeAspect="1" noChangeArrowheads="1"/>
        </xdr:cNvPicPr>
      </xdr:nvPicPr>
      <xdr:blipFill>
        <a:blip xmlns:r="http://schemas.openxmlformats.org/officeDocument/2006/relationships" r:embed="rId2435">
          <a:extLst>
            <a:ext uri="{28A0092B-C50C-407E-A947-70E740481C1C}">
              <a14:useLocalDpi xmlns:a14="http://schemas.microsoft.com/office/drawing/2010/main" val="0"/>
            </a:ext>
          </a:extLst>
        </a:blip>
        <a:srcRect/>
        <a:stretch>
          <a:fillRect/>
        </a:stretch>
      </xdr:blipFill>
      <xdr:spPr bwMode="auto">
        <a:xfrm>
          <a:off x="1228725" y="4621653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2440</xdr:row>
      <xdr:rowOff>19050</xdr:rowOff>
    </xdr:from>
    <xdr:to>
      <xdr:col>2</xdr:col>
      <xdr:colOff>1733550</xdr:colOff>
      <xdr:row>2440</xdr:row>
      <xdr:rowOff>1733550</xdr:rowOff>
    </xdr:to>
    <xdr:pic>
      <xdr:nvPicPr>
        <xdr:cNvPr id="2439" name="Picture 2438"/>
        <xdr:cNvPicPr>
          <a:picLocks noChangeAspect="1" noChangeArrowheads="1"/>
        </xdr:cNvPicPr>
      </xdr:nvPicPr>
      <xdr:blipFill>
        <a:blip xmlns:r="http://schemas.openxmlformats.org/officeDocument/2006/relationships" r:embed="rId2436">
          <a:extLst>
            <a:ext uri="{28A0092B-C50C-407E-A947-70E740481C1C}">
              <a14:useLocalDpi xmlns:a14="http://schemas.microsoft.com/office/drawing/2010/main" val="0"/>
            </a:ext>
          </a:extLst>
        </a:blip>
        <a:srcRect/>
        <a:stretch>
          <a:fillRect/>
        </a:stretch>
      </xdr:blipFill>
      <xdr:spPr bwMode="auto">
        <a:xfrm>
          <a:off x="1228725" y="46236540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2441</xdr:row>
      <xdr:rowOff>19050</xdr:rowOff>
    </xdr:from>
    <xdr:to>
      <xdr:col>2</xdr:col>
      <xdr:colOff>1733550</xdr:colOff>
      <xdr:row>2441</xdr:row>
      <xdr:rowOff>1733550</xdr:rowOff>
    </xdr:to>
    <xdr:pic>
      <xdr:nvPicPr>
        <xdr:cNvPr id="2440" name="Picture 2439"/>
        <xdr:cNvPicPr>
          <a:picLocks noChangeAspect="1" noChangeArrowheads="1"/>
        </xdr:cNvPicPr>
      </xdr:nvPicPr>
      <xdr:blipFill>
        <a:blip xmlns:r="http://schemas.openxmlformats.org/officeDocument/2006/relationships" r:embed="rId2437">
          <a:extLst>
            <a:ext uri="{28A0092B-C50C-407E-A947-70E740481C1C}">
              <a14:useLocalDpi xmlns:a14="http://schemas.microsoft.com/office/drawing/2010/main" val="0"/>
            </a:ext>
          </a:extLst>
        </a:blip>
        <a:srcRect/>
        <a:stretch>
          <a:fillRect/>
        </a:stretch>
      </xdr:blipFill>
      <xdr:spPr bwMode="auto">
        <a:xfrm>
          <a:off x="1228725" y="46256543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2442</xdr:row>
      <xdr:rowOff>19050</xdr:rowOff>
    </xdr:from>
    <xdr:to>
      <xdr:col>2</xdr:col>
      <xdr:colOff>1733550</xdr:colOff>
      <xdr:row>2442</xdr:row>
      <xdr:rowOff>1685925</xdr:rowOff>
    </xdr:to>
    <xdr:pic>
      <xdr:nvPicPr>
        <xdr:cNvPr id="2441" name="Picture 2440"/>
        <xdr:cNvPicPr>
          <a:picLocks noChangeAspect="1" noChangeArrowheads="1"/>
        </xdr:cNvPicPr>
      </xdr:nvPicPr>
      <xdr:blipFill>
        <a:blip xmlns:r="http://schemas.openxmlformats.org/officeDocument/2006/relationships" r:embed="rId2438">
          <a:extLst>
            <a:ext uri="{28A0092B-C50C-407E-A947-70E740481C1C}">
              <a14:useLocalDpi xmlns:a14="http://schemas.microsoft.com/office/drawing/2010/main" val="0"/>
            </a:ext>
          </a:extLst>
        </a:blip>
        <a:srcRect/>
        <a:stretch>
          <a:fillRect/>
        </a:stretch>
      </xdr:blipFill>
      <xdr:spPr bwMode="auto">
        <a:xfrm>
          <a:off x="1228725" y="46276545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2443</xdr:row>
      <xdr:rowOff>9525</xdr:rowOff>
    </xdr:from>
    <xdr:to>
      <xdr:col>2</xdr:col>
      <xdr:colOff>1733550</xdr:colOff>
      <xdr:row>2443</xdr:row>
      <xdr:rowOff>1524000</xdr:rowOff>
    </xdr:to>
    <xdr:pic>
      <xdr:nvPicPr>
        <xdr:cNvPr id="2442" name="Picture 2441"/>
        <xdr:cNvPicPr>
          <a:picLocks noChangeAspect="1" noChangeArrowheads="1"/>
        </xdr:cNvPicPr>
      </xdr:nvPicPr>
      <xdr:blipFill>
        <a:blip xmlns:r="http://schemas.openxmlformats.org/officeDocument/2006/relationships" r:embed="rId2439">
          <a:extLst>
            <a:ext uri="{28A0092B-C50C-407E-A947-70E740481C1C}">
              <a14:useLocalDpi xmlns:a14="http://schemas.microsoft.com/office/drawing/2010/main" val="0"/>
            </a:ext>
          </a:extLst>
        </a:blip>
        <a:srcRect/>
        <a:stretch>
          <a:fillRect/>
        </a:stretch>
      </xdr:blipFill>
      <xdr:spPr bwMode="auto">
        <a:xfrm>
          <a:off x="1228725" y="4629588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2444</xdr:row>
      <xdr:rowOff>9525</xdr:rowOff>
    </xdr:from>
    <xdr:to>
      <xdr:col>2</xdr:col>
      <xdr:colOff>1733550</xdr:colOff>
      <xdr:row>2444</xdr:row>
      <xdr:rowOff>1524000</xdr:rowOff>
    </xdr:to>
    <xdr:pic>
      <xdr:nvPicPr>
        <xdr:cNvPr id="2443" name="Picture 2442"/>
        <xdr:cNvPicPr>
          <a:picLocks noChangeAspect="1" noChangeArrowheads="1"/>
        </xdr:cNvPicPr>
      </xdr:nvPicPr>
      <xdr:blipFill>
        <a:blip xmlns:r="http://schemas.openxmlformats.org/officeDocument/2006/relationships" r:embed="rId2440">
          <a:extLst>
            <a:ext uri="{28A0092B-C50C-407E-A947-70E740481C1C}">
              <a14:useLocalDpi xmlns:a14="http://schemas.microsoft.com/office/drawing/2010/main" val="0"/>
            </a:ext>
          </a:extLst>
        </a:blip>
        <a:srcRect/>
        <a:stretch>
          <a:fillRect/>
        </a:stretch>
      </xdr:blipFill>
      <xdr:spPr bwMode="auto">
        <a:xfrm>
          <a:off x="1228725" y="4631340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2445</xdr:row>
      <xdr:rowOff>19050</xdr:rowOff>
    </xdr:from>
    <xdr:to>
      <xdr:col>2</xdr:col>
      <xdr:colOff>1733550</xdr:colOff>
      <xdr:row>2445</xdr:row>
      <xdr:rowOff>1733550</xdr:rowOff>
    </xdr:to>
    <xdr:pic>
      <xdr:nvPicPr>
        <xdr:cNvPr id="2444" name="Picture 2443"/>
        <xdr:cNvPicPr>
          <a:picLocks noChangeAspect="1" noChangeArrowheads="1"/>
        </xdr:cNvPicPr>
      </xdr:nvPicPr>
      <xdr:blipFill>
        <a:blip xmlns:r="http://schemas.openxmlformats.org/officeDocument/2006/relationships" r:embed="rId2441">
          <a:extLst>
            <a:ext uri="{28A0092B-C50C-407E-A947-70E740481C1C}">
              <a14:useLocalDpi xmlns:a14="http://schemas.microsoft.com/office/drawing/2010/main" val="0"/>
            </a:ext>
          </a:extLst>
        </a:blip>
        <a:srcRect/>
        <a:stretch>
          <a:fillRect/>
        </a:stretch>
      </xdr:blipFill>
      <xdr:spPr bwMode="auto">
        <a:xfrm>
          <a:off x="1228725" y="46331028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2446</xdr:row>
      <xdr:rowOff>19050</xdr:rowOff>
    </xdr:from>
    <xdr:to>
      <xdr:col>2</xdr:col>
      <xdr:colOff>1733550</xdr:colOff>
      <xdr:row>2446</xdr:row>
      <xdr:rowOff>1733550</xdr:rowOff>
    </xdr:to>
    <xdr:pic>
      <xdr:nvPicPr>
        <xdr:cNvPr id="2445" name="Picture 2444"/>
        <xdr:cNvPicPr>
          <a:picLocks noChangeAspect="1" noChangeArrowheads="1"/>
        </xdr:cNvPicPr>
      </xdr:nvPicPr>
      <xdr:blipFill>
        <a:blip xmlns:r="http://schemas.openxmlformats.org/officeDocument/2006/relationships" r:embed="rId2442">
          <a:extLst>
            <a:ext uri="{28A0092B-C50C-407E-A947-70E740481C1C}">
              <a14:useLocalDpi xmlns:a14="http://schemas.microsoft.com/office/drawing/2010/main" val="0"/>
            </a:ext>
          </a:extLst>
        </a:blip>
        <a:srcRect/>
        <a:stretch>
          <a:fillRect/>
        </a:stretch>
      </xdr:blipFill>
      <xdr:spPr bwMode="auto">
        <a:xfrm>
          <a:off x="1228725" y="46351031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2447</xdr:row>
      <xdr:rowOff>19050</xdr:rowOff>
    </xdr:from>
    <xdr:to>
      <xdr:col>2</xdr:col>
      <xdr:colOff>1733550</xdr:colOff>
      <xdr:row>2447</xdr:row>
      <xdr:rowOff>1733550</xdr:rowOff>
    </xdr:to>
    <xdr:pic>
      <xdr:nvPicPr>
        <xdr:cNvPr id="2446" name="Picture 2445"/>
        <xdr:cNvPicPr>
          <a:picLocks noChangeAspect="1" noChangeArrowheads="1"/>
        </xdr:cNvPicPr>
      </xdr:nvPicPr>
      <xdr:blipFill>
        <a:blip xmlns:r="http://schemas.openxmlformats.org/officeDocument/2006/relationships" r:embed="rId2443">
          <a:extLst>
            <a:ext uri="{28A0092B-C50C-407E-A947-70E740481C1C}">
              <a14:useLocalDpi xmlns:a14="http://schemas.microsoft.com/office/drawing/2010/main" val="0"/>
            </a:ext>
          </a:extLst>
        </a:blip>
        <a:srcRect/>
        <a:stretch>
          <a:fillRect/>
        </a:stretch>
      </xdr:blipFill>
      <xdr:spPr bwMode="auto">
        <a:xfrm>
          <a:off x="1228725" y="46371033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2448</xdr:row>
      <xdr:rowOff>19050</xdr:rowOff>
    </xdr:from>
    <xdr:to>
      <xdr:col>2</xdr:col>
      <xdr:colOff>1733550</xdr:colOff>
      <xdr:row>2448</xdr:row>
      <xdr:rowOff>1733550</xdr:rowOff>
    </xdr:to>
    <xdr:pic>
      <xdr:nvPicPr>
        <xdr:cNvPr id="2447" name="Picture 2446"/>
        <xdr:cNvPicPr>
          <a:picLocks noChangeAspect="1" noChangeArrowheads="1"/>
        </xdr:cNvPicPr>
      </xdr:nvPicPr>
      <xdr:blipFill>
        <a:blip xmlns:r="http://schemas.openxmlformats.org/officeDocument/2006/relationships" r:embed="rId2444">
          <a:extLst>
            <a:ext uri="{28A0092B-C50C-407E-A947-70E740481C1C}">
              <a14:useLocalDpi xmlns:a14="http://schemas.microsoft.com/office/drawing/2010/main" val="0"/>
            </a:ext>
          </a:extLst>
        </a:blip>
        <a:srcRect/>
        <a:stretch>
          <a:fillRect/>
        </a:stretch>
      </xdr:blipFill>
      <xdr:spPr bwMode="auto">
        <a:xfrm>
          <a:off x="1228725" y="46391036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2449</xdr:row>
      <xdr:rowOff>19050</xdr:rowOff>
    </xdr:from>
    <xdr:to>
      <xdr:col>2</xdr:col>
      <xdr:colOff>1733550</xdr:colOff>
      <xdr:row>2449</xdr:row>
      <xdr:rowOff>1733550</xdr:rowOff>
    </xdr:to>
    <xdr:pic>
      <xdr:nvPicPr>
        <xdr:cNvPr id="2448" name="Picture 2447"/>
        <xdr:cNvPicPr>
          <a:picLocks noChangeAspect="1" noChangeArrowheads="1"/>
        </xdr:cNvPicPr>
      </xdr:nvPicPr>
      <xdr:blipFill>
        <a:blip xmlns:r="http://schemas.openxmlformats.org/officeDocument/2006/relationships" r:embed="rId2445">
          <a:extLst>
            <a:ext uri="{28A0092B-C50C-407E-A947-70E740481C1C}">
              <a14:useLocalDpi xmlns:a14="http://schemas.microsoft.com/office/drawing/2010/main" val="0"/>
            </a:ext>
          </a:extLst>
        </a:blip>
        <a:srcRect/>
        <a:stretch>
          <a:fillRect/>
        </a:stretch>
      </xdr:blipFill>
      <xdr:spPr bwMode="auto">
        <a:xfrm>
          <a:off x="1228725" y="46411038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2450</xdr:row>
      <xdr:rowOff>19050</xdr:rowOff>
    </xdr:from>
    <xdr:to>
      <xdr:col>2</xdr:col>
      <xdr:colOff>1733550</xdr:colOff>
      <xdr:row>2450</xdr:row>
      <xdr:rowOff>1733550</xdr:rowOff>
    </xdr:to>
    <xdr:pic>
      <xdr:nvPicPr>
        <xdr:cNvPr id="2449" name="Picture 2448"/>
        <xdr:cNvPicPr>
          <a:picLocks noChangeAspect="1" noChangeArrowheads="1"/>
        </xdr:cNvPicPr>
      </xdr:nvPicPr>
      <xdr:blipFill>
        <a:blip xmlns:r="http://schemas.openxmlformats.org/officeDocument/2006/relationships" r:embed="rId2446">
          <a:extLst>
            <a:ext uri="{28A0092B-C50C-407E-A947-70E740481C1C}">
              <a14:useLocalDpi xmlns:a14="http://schemas.microsoft.com/office/drawing/2010/main" val="0"/>
            </a:ext>
          </a:extLst>
        </a:blip>
        <a:srcRect/>
        <a:stretch>
          <a:fillRect/>
        </a:stretch>
      </xdr:blipFill>
      <xdr:spPr bwMode="auto">
        <a:xfrm>
          <a:off x="1228725" y="46431041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2451</xdr:row>
      <xdr:rowOff>19050</xdr:rowOff>
    </xdr:from>
    <xdr:to>
      <xdr:col>2</xdr:col>
      <xdr:colOff>1733550</xdr:colOff>
      <xdr:row>2451</xdr:row>
      <xdr:rowOff>1733550</xdr:rowOff>
    </xdr:to>
    <xdr:pic>
      <xdr:nvPicPr>
        <xdr:cNvPr id="2450" name="Picture 2449"/>
        <xdr:cNvPicPr>
          <a:picLocks noChangeAspect="1" noChangeArrowheads="1"/>
        </xdr:cNvPicPr>
      </xdr:nvPicPr>
      <xdr:blipFill>
        <a:blip xmlns:r="http://schemas.openxmlformats.org/officeDocument/2006/relationships" r:embed="rId2447">
          <a:extLst>
            <a:ext uri="{28A0092B-C50C-407E-A947-70E740481C1C}">
              <a14:useLocalDpi xmlns:a14="http://schemas.microsoft.com/office/drawing/2010/main" val="0"/>
            </a:ext>
          </a:extLst>
        </a:blip>
        <a:srcRect/>
        <a:stretch>
          <a:fillRect/>
        </a:stretch>
      </xdr:blipFill>
      <xdr:spPr bwMode="auto">
        <a:xfrm>
          <a:off x="1228725" y="46451043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2452</xdr:row>
      <xdr:rowOff>19050</xdr:rowOff>
    </xdr:from>
    <xdr:to>
      <xdr:col>2</xdr:col>
      <xdr:colOff>1733550</xdr:colOff>
      <xdr:row>2452</xdr:row>
      <xdr:rowOff>1733550</xdr:rowOff>
    </xdr:to>
    <xdr:pic>
      <xdr:nvPicPr>
        <xdr:cNvPr id="2451" name="Picture 2450"/>
        <xdr:cNvPicPr>
          <a:picLocks noChangeAspect="1" noChangeArrowheads="1"/>
        </xdr:cNvPicPr>
      </xdr:nvPicPr>
      <xdr:blipFill>
        <a:blip xmlns:r="http://schemas.openxmlformats.org/officeDocument/2006/relationships" r:embed="rId2448">
          <a:extLst>
            <a:ext uri="{28A0092B-C50C-407E-A947-70E740481C1C}">
              <a14:useLocalDpi xmlns:a14="http://schemas.microsoft.com/office/drawing/2010/main" val="0"/>
            </a:ext>
          </a:extLst>
        </a:blip>
        <a:srcRect/>
        <a:stretch>
          <a:fillRect/>
        </a:stretch>
      </xdr:blipFill>
      <xdr:spPr bwMode="auto">
        <a:xfrm>
          <a:off x="1228725" y="46471046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2453</xdr:row>
      <xdr:rowOff>19050</xdr:rowOff>
    </xdr:from>
    <xdr:to>
      <xdr:col>2</xdr:col>
      <xdr:colOff>1733550</xdr:colOff>
      <xdr:row>2453</xdr:row>
      <xdr:rowOff>1733550</xdr:rowOff>
    </xdr:to>
    <xdr:pic>
      <xdr:nvPicPr>
        <xdr:cNvPr id="2452" name="Picture 2451"/>
        <xdr:cNvPicPr>
          <a:picLocks noChangeAspect="1" noChangeArrowheads="1"/>
        </xdr:cNvPicPr>
      </xdr:nvPicPr>
      <xdr:blipFill>
        <a:blip xmlns:r="http://schemas.openxmlformats.org/officeDocument/2006/relationships" r:embed="rId2449">
          <a:extLst>
            <a:ext uri="{28A0092B-C50C-407E-A947-70E740481C1C}">
              <a14:useLocalDpi xmlns:a14="http://schemas.microsoft.com/office/drawing/2010/main" val="0"/>
            </a:ext>
          </a:extLst>
        </a:blip>
        <a:srcRect/>
        <a:stretch>
          <a:fillRect/>
        </a:stretch>
      </xdr:blipFill>
      <xdr:spPr bwMode="auto">
        <a:xfrm>
          <a:off x="1228725" y="46491048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2454</xdr:row>
      <xdr:rowOff>19050</xdr:rowOff>
    </xdr:from>
    <xdr:to>
      <xdr:col>2</xdr:col>
      <xdr:colOff>1733550</xdr:colOff>
      <xdr:row>2454</xdr:row>
      <xdr:rowOff>1733550</xdr:rowOff>
    </xdr:to>
    <xdr:pic>
      <xdr:nvPicPr>
        <xdr:cNvPr id="2453" name="Picture 2452"/>
        <xdr:cNvPicPr>
          <a:picLocks noChangeAspect="1" noChangeArrowheads="1"/>
        </xdr:cNvPicPr>
      </xdr:nvPicPr>
      <xdr:blipFill>
        <a:blip xmlns:r="http://schemas.openxmlformats.org/officeDocument/2006/relationships" r:embed="rId2450">
          <a:extLst>
            <a:ext uri="{28A0092B-C50C-407E-A947-70E740481C1C}">
              <a14:useLocalDpi xmlns:a14="http://schemas.microsoft.com/office/drawing/2010/main" val="0"/>
            </a:ext>
          </a:extLst>
        </a:blip>
        <a:srcRect/>
        <a:stretch>
          <a:fillRect/>
        </a:stretch>
      </xdr:blipFill>
      <xdr:spPr bwMode="auto">
        <a:xfrm>
          <a:off x="1228725" y="46511051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2455</xdr:row>
      <xdr:rowOff>9525</xdr:rowOff>
    </xdr:from>
    <xdr:to>
      <xdr:col>2</xdr:col>
      <xdr:colOff>1733550</xdr:colOff>
      <xdr:row>2455</xdr:row>
      <xdr:rowOff>1524000</xdr:rowOff>
    </xdr:to>
    <xdr:pic>
      <xdr:nvPicPr>
        <xdr:cNvPr id="2454" name="Picture 2453"/>
        <xdr:cNvPicPr>
          <a:picLocks noChangeAspect="1" noChangeArrowheads="1"/>
        </xdr:cNvPicPr>
      </xdr:nvPicPr>
      <xdr:blipFill>
        <a:blip xmlns:r="http://schemas.openxmlformats.org/officeDocument/2006/relationships" r:embed="rId2451">
          <a:extLst>
            <a:ext uri="{28A0092B-C50C-407E-A947-70E740481C1C}">
              <a14:useLocalDpi xmlns:a14="http://schemas.microsoft.com/office/drawing/2010/main" val="0"/>
            </a:ext>
          </a:extLst>
        </a:blip>
        <a:srcRect/>
        <a:stretch>
          <a:fillRect/>
        </a:stretch>
      </xdr:blipFill>
      <xdr:spPr bwMode="auto">
        <a:xfrm>
          <a:off x="1228725" y="46530958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2456</xdr:row>
      <xdr:rowOff>9525</xdr:rowOff>
    </xdr:from>
    <xdr:to>
      <xdr:col>2</xdr:col>
      <xdr:colOff>1733550</xdr:colOff>
      <xdr:row>2456</xdr:row>
      <xdr:rowOff>1524000</xdr:rowOff>
    </xdr:to>
    <xdr:pic>
      <xdr:nvPicPr>
        <xdr:cNvPr id="2455" name="Picture 2454"/>
        <xdr:cNvPicPr>
          <a:picLocks noChangeAspect="1" noChangeArrowheads="1"/>
        </xdr:cNvPicPr>
      </xdr:nvPicPr>
      <xdr:blipFill>
        <a:blip xmlns:r="http://schemas.openxmlformats.org/officeDocument/2006/relationships" r:embed="rId2452">
          <a:extLst>
            <a:ext uri="{28A0092B-C50C-407E-A947-70E740481C1C}">
              <a14:useLocalDpi xmlns:a14="http://schemas.microsoft.com/office/drawing/2010/main" val="0"/>
            </a:ext>
          </a:extLst>
        </a:blip>
        <a:srcRect/>
        <a:stretch>
          <a:fillRect/>
        </a:stretch>
      </xdr:blipFill>
      <xdr:spPr bwMode="auto">
        <a:xfrm>
          <a:off x="1228725" y="46548484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2457</xdr:row>
      <xdr:rowOff>9525</xdr:rowOff>
    </xdr:from>
    <xdr:to>
      <xdr:col>2</xdr:col>
      <xdr:colOff>1733550</xdr:colOff>
      <xdr:row>2457</xdr:row>
      <xdr:rowOff>1524000</xdr:rowOff>
    </xdr:to>
    <xdr:pic>
      <xdr:nvPicPr>
        <xdr:cNvPr id="2456" name="Picture 2455"/>
        <xdr:cNvPicPr>
          <a:picLocks noChangeAspect="1" noChangeArrowheads="1"/>
        </xdr:cNvPicPr>
      </xdr:nvPicPr>
      <xdr:blipFill>
        <a:blip xmlns:r="http://schemas.openxmlformats.org/officeDocument/2006/relationships" r:embed="rId2453">
          <a:extLst>
            <a:ext uri="{28A0092B-C50C-407E-A947-70E740481C1C}">
              <a14:useLocalDpi xmlns:a14="http://schemas.microsoft.com/office/drawing/2010/main" val="0"/>
            </a:ext>
          </a:extLst>
        </a:blip>
        <a:srcRect/>
        <a:stretch>
          <a:fillRect/>
        </a:stretch>
      </xdr:blipFill>
      <xdr:spPr bwMode="auto">
        <a:xfrm>
          <a:off x="1228725" y="46566010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2458</xdr:row>
      <xdr:rowOff>9525</xdr:rowOff>
    </xdr:from>
    <xdr:to>
      <xdr:col>2</xdr:col>
      <xdr:colOff>1733550</xdr:colOff>
      <xdr:row>2458</xdr:row>
      <xdr:rowOff>1524000</xdr:rowOff>
    </xdr:to>
    <xdr:pic>
      <xdr:nvPicPr>
        <xdr:cNvPr id="2457" name="Picture 2456"/>
        <xdr:cNvPicPr>
          <a:picLocks noChangeAspect="1" noChangeArrowheads="1"/>
        </xdr:cNvPicPr>
      </xdr:nvPicPr>
      <xdr:blipFill>
        <a:blip xmlns:r="http://schemas.openxmlformats.org/officeDocument/2006/relationships" r:embed="rId2454">
          <a:extLst>
            <a:ext uri="{28A0092B-C50C-407E-A947-70E740481C1C}">
              <a14:useLocalDpi xmlns:a14="http://schemas.microsoft.com/office/drawing/2010/main" val="0"/>
            </a:ext>
          </a:extLst>
        </a:blip>
        <a:srcRect/>
        <a:stretch>
          <a:fillRect/>
        </a:stretch>
      </xdr:blipFill>
      <xdr:spPr bwMode="auto">
        <a:xfrm>
          <a:off x="1228725" y="46583536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2459</xdr:row>
      <xdr:rowOff>19050</xdr:rowOff>
    </xdr:from>
    <xdr:to>
      <xdr:col>2</xdr:col>
      <xdr:colOff>1733550</xdr:colOff>
      <xdr:row>2459</xdr:row>
      <xdr:rowOff>1733550</xdr:rowOff>
    </xdr:to>
    <xdr:pic>
      <xdr:nvPicPr>
        <xdr:cNvPr id="2458" name="Picture 2457"/>
        <xdr:cNvPicPr>
          <a:picLocks noChangeAspect="1" noChangeArrowheads="1"/>
        </xdr:cNvPicPr>
      </xdr:nvPicPr>
      <xdr:blipFill>
        <a:blip xmlns:r="http://schemas.openxmlformats.org/officeDocument/2006/relationships" r:embed="rId2455">
          <a:extLst>
            <a:ext uri="{28A0092B-C50C-407E-A947-70E740481C1C}">
              <a14:useLocalDpi xmlns:a14="http://schemas.microsoft.com/office/drawing/2010/main" val="0"/>
            </a:ext>
          </a:extLst>
        </a:blip>
        <a:srcRect/>
        <a:stretch>
          <a:fillRect/>
        </a:stretch>
      </xdr:blipFill>
      <xdr:spPr bwMode="auto">
        <a:xfrm>
          <a:off x="1228725" y="4660115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2460</xdr:row>
      <xdr:rowOff>19050</xdr:rowOff>
    </xdr:from>
    <xdr:to>
      <xdr:col>2</xdr:col>
      <xdr:colOff>1733550</xdr:colOff>
      <xdr:row>2460</xdr:row>
      <xdr:rowOff>1733550</xdr:rowOff>
    </xdr:to>
    <xdr:pic>
      <xdr:nvPicPr>
        <xdr:cNvPr id="2459" name="Picture 2458"/>
        <xdr:cNvPicPr>
          <a:picLocks noChangeAspect="1" noChangeArrowheads="1"/>
        </xdr:cNvPicPr>
      </xdr:nvPicPr>
      <xdr:blipFill>
        <a:blip xmlns:r="http://schemas.openxmlformats.org/officeDocument/2006/relationships" r:embed="rId2456">
          <a:extLst>
            <a:ext uri="{28A0092B-C50C-407E-A947-70E740481C1C}">
              <a14:useLocalDpi xmlns:a14="http://schemas.microsoft.com/office/drawing/2010/main" val="0"/>
            </a:ext>
          </a:extLst>
        </a:blip>
        <a:srcRect/>
        <a:stretch>
          <a:fillRect/>
        </a:stretch>
      </xdr:blipFill>
      <xdr:spPr bwMode="auto">
        <a:xfrm>
          <a:off x="1228725" y="4662116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2461</xdr:row>
      <xdr:rowOff>19050</xdr:rowOff>
    </xdr:from>
    <xdr:to>
      <xdr:col>2</xdr:col>
      <xdr:colOff>1733550</xdr:colOff>
      <xdr:row>2461</xdr:row>
      <xdr:rowOff>1733550</xdr:rowOff>
    </xdr:to>
    <xdr:pic>
      <xdr:nvPicPr>
        <xdr:cNvPr id="2460" name="Picture 2459"/>
        <xdr:cNvPicPr>
          <a:picLocks noChangeAspect="1" noChangeArrowheads="1"/>
        </xdr:cNvPicPr>
      </xdr:nvPicPr>
      <xdr:blipFill>
        <a:blip xmlns:r="http://schemas.openxmlformats.org/officeDocument/2006/relationships" r:embed="rId2457">
          <a:extLst>
            <a:ext uri="{28A0092B-C50C-407E-A947-70E740481C1C}">
              <a14:useLocalDpi xmlns:a14="http://schemas.microsoft.com/office/drawing/2010/main" val="0"/>
            </a:ext>
          </a:extLst>
        </a:blip>
        <a:srcRect/>
        <a:stretch>
          <a:fillRect/>
        </a:stretch>
      </xdr:blipFill>
      <xdr:spPr bwMode="auto">
        <a:xfrm>
          <a:off x="1228725" y="4664116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2462</xdr:row>
      <xdr:rowOff>19050</xdr:rowOff>
    </xdr:from>
    <xdr:to>
      <xdr:col>2</xdr:col>
      <xdr:colOff>1733550</xdr:colOff>
      <xdr:row>2462</xdr:row>
      <xdr:rowOff>1733550</xdr:rowOff>
    </xdr:to>
    <xdr:pic>
      <xdr:nvPicPr>
        <xdr:cNvPr id="2461" name="Picture 2460"/>
        <xdr:cNvPicPr>
          <a:picLocks noChangeAspect="1" noChangeArrowheads="1"/>
        </xdr:cNvPicPr>
      </xdr:nvPicPr>
      <xdr:blipFill>
        <a:blip xmlns:r="http://schemas.openxmlformats.org/officeDocument/2006/relationships" r:embed="rId2458">
          <a:extLst>
            <a:ext uri="{28A0092B-C50C-407E-A947-70E740481C1C}">
              <a14:useLocalDpi xmlns:a14="http://schemas.microsoft.com/office/drawing/2010/main" val="0"/>
            </a:ext>
          </a:extLst>
        </a:blip>
        <a:srcRect/>
        <a:stretch>
          <a:fillRect/>
        </a:stretch>
      </xdr:blipFill>
      <xdr:spPr bwMode="auto">
        <a:xfrm>
          <a:off x="1228725" y="4666116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2463</xdr:row>
      <xdr:rowOff>19050</xdr:rowOff>
    </xdr:from>
    <xdr:to>
      <xdr:col>2</xdr:col>
      <xdr:colOff>1733550</xdr:colOff>
      <xdr:row>2463</xdr:row>
      <xdr:rowOff>1733550</xdr:rowOff>
    </xdr:to>
    <xdr:pic>
      <xdr:nvPicPr>
        <xdr:cNvPr id="2462" name="Picture 2461"/>
        <xdr:cNvPicPr>
          <a:picLocks noChangeAspect="1" noChangeArrowheads="1"/>
        </xdr:cNvPicPr>
      </xdr:nvPicPr>
      <xdr:blipFill>
        <a:blip xmlns:r="http://schemas.openxmlformats.org/officeDocument/2006/relationships" r:embed="rId2459">
          <a:extLst>
            <a:ext uri="{28A0092B-C50C-407E-A947-70E740481C1C}">
              <a14:useLocalDpi xmlns:a14="http://schemas.microsoft.com/office/drawing/2010/main" val="0"/>
            </a:ext>
          </a:extLst>
        </a:blip>
        <a:srcRect/>
        <a:stretch>
          <a:fillRect/>
        </a:stretch>
      </xdr:blipFill>
      <xdr:spPr bwMode="auto">
        <a:xfrm>
          <a:off x="1228725" y="4668116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2464</xdr:row>
      <xdr:rowOff>19050</xdr:rowOff>
    </xdr:from>
    <xdr:to>
      <xdr:col>2</xdr:col>
      <xdr:colOff>1733550</xdr:colOff>
      <xdr:row>2464</xdr:row>
      <xdr:rowOff>1733550</xdr:rowOff>
    </xdr:to>
    <xdr:pic>
      <xdr:nvPicPr>
        <xdr:cNvPr id="2463" name="Picture 2462"/>
        <xdr:cNvPicPr>
          <a:picLocks noChangeAspect="1" noChangeArrowheads="1"/>
        </xdr:cNvPicPr>
      </xdr:nvPicPr>
      <xdr:blipFill>
        <a:blip xmlns:r="http://schemas.openxmlformats.org/officeDocument/2006/relationships" r:embed="rId2460">
          <a:extLst>
            <a:ext uri="{28A0092B-C50C-407E-A947-70E740481C1C}">
              <a14:useLocalDpi xmlns:a14="http://schemas.microsoft.com/office/drawing/2010/main" val="0"/>
            </a:ext>
          </a:extLst>
        </a:blip>
        <a:srcRect/>
        <a:stretch>
          <a:fillRect/>
        </a:stretch>
      </xdr:blipFill>
      <xdr:spPr bwMode="auto">
        <a:xfrm>
          <a:off x="1228725" y="4670117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2465</xdr:row>
      <xdr:rowOff>19050</xdr:rowOff>
    </xdr:from>
    <xdr:to>
      <xdr:col>2</xdr:col>
      <xdr:colOff>1733550</xdr:colOff>
      <xdr:row>2465</xdr:row>
      <xdr:rowOff>1733550</xdr:rowOff>
    </xdr:to>
    <xdr:pic>
      <xdr:nvPicPr>
        <xdr:cNvPr id="2464" name="Picture 2463"/>
        <xdr:cNvPicPr>
          <a:picLocks noChangeAspect="1" noChangeArrowheads="1"/>
        </xdr:cNvPicPr>
      </xdr:nvPicPr>
      <xdr:blipFill>
        <a:blip xmlns:r="http://schemas.openxmlformats.org/officeDocument/2006/relationships" r:embed="rId2461">
          <a:extLst>
            <a:ext uri="{28A0092B-C50C-407E-A947-70E740481C1C}">
              <a14:useLocalDpi xmlns:a14="http://schemas.microsoft.com/office/drawing/2010/main" val="0"/>
            </a:ext>
          </a:extLst>
        </a:blip>
        <a:srcRect/>
        <a:stretch>
          <a:fillRect/>
        </a:stretch>
      </xdr:blipFill>
      <xdr:spPr bwMode="auto">
        <a:xfrm>
          <a:off x="1228725" y="4672117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2466</xdr:row>
      <xdr:rowOff>19050</xdr:rowOff>
    </xdr:from>
    <xdr:to>
      <xdr:col>2</xdr:col>
      <xdr:colOff>1733550</xdr:colOff>
      <xdr:row>2466</xdr:row>
      <xdr:rowOff>1733550</xdr:rowOff>
    </xdr:to>
    <xdr:pic>
      <xdr:nvPicPr>
        <xdr:cNvPr id="2465" name="Picture 2464"/>
        <xdr:cNvPicPr>
          <a:picLocks noChangeAspect="1" noChangeArrowheads="1"/>
        </xdr:cNvPicPr>
      </xdr:nvPicPr>
      <xdr:blipFill>
        <a:blip xmlns:r="http://schemas.openxmlformats.org/officeDocument/2006/relationships" r:embed="rId2462">
          <a:extLst>
            <a:ext uri="{28A0092B-C50C-407E-A947-70E740481C1C}">
              <a14:useLocalDpi xmlns:a14="http://schemas.microsoft.com/office/drawing/2010/main" val="0"/>
            </a:ext>
          </a:extLst>
        </a:blip>
        <a:srcRect/>
        <a:stretch>
          <a:fillRect/>
        </a:stretch>
      </xdr:blipFill>
      <xdr:spPr bwMode="auto">
        <a:xfrm>
          <a:off x="1228725" y="4674117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2467</xdr:row>
      <xdr:rowOff>19050</xdr:rowOff>
    </xdr:from>
    <xdr:to>
      <xdr:col>2</xdr:col>
      <xdr:colOff>1733550</xdr:colOff>
      <xdr:row>2467</xdr:row>
      <xdr:rowOff>1733550</xdr:rowOff>
    </xdr:to>
    <xdr:pic>
      <xdr:nvPicPr>
        <xdr:cNvPr id="2466" name="Picture 2465"/>
        <xdr:cNvPicPr>
          <a:picLocks noChangeAspect="1" noChangeArrowheads="1"/>
        </xdr:cNvPicPr>
      </xdr:nvPicPr>
      <xdr:blipFill>
        <a:blip xmlns:r="http://schemas.openxmlformats.org/officeDocument/2006/relationships" r:embed="rId2463">
          <a:extLst>
            <a:ext uri="{28A0092B-C50C-407E-A947-70E740481C1C}">
              <a14:useLocalDpi xmlns:a14="http://schemas.microsoft.com/office/drawing/2010/main" val="0"/>
            </a:ext>
          </a:extLst>
        </a:blip>
        <a:srcRect/>
        <a:stretch>
          <a:fillRect/>
        </a:stretch>
      </xdr:blipFill>
      <xdr:spPr bwMode="auto">
        <a:xfrm>
          <a:off x="1228725" y="4676117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2468</xdr:row>
      <xdr:rowOff>9525</xdr:rowOff>
    </xdr:from>
    <xdr:to>
      <xdr:col>2</xdr:col>
      <xdr:colOff>1733550</xdr:colOff>
      <xdr:row>2468</xdr:row>
      <xdr:rowOff>1524000</xdr:rowOff>
    </xdr:to>
    <xdr:pic>
      <xdr:nvPicPr>
        <xdr:cNvPr id="2467" name="Picture 2466"/>
        <xdr:cNvPicPr>
          <a:picLocks noChangeAspect="1" noChangeArrowheads="1"/>
        </xdr:cNvPicPr>
      </xdr:nvPicPr>
      <xdr:blipFill>
        <a:blip xmlns:r="http://schemas.openxmlformats.org/officeDocument/2006/relationships" r:embed="rId2464">
          <a:extLst>
            <a:ext uri="{28A0092B-C50C-407E-A947-70E740481C1C}">
              <a14:useLocalDpi xmlns:a14="http://schemas.microsoft.com/office/drawing/2010/main" val="0"/>
            </a:ext>
          </a:extLst>
        </a:blip>
        <a:srcRect/>
        <a:stretch>
          <a:fillRect/>
        </a:stretch>
      </xdr:blipFill>
      <xdr:spPr bwMode="auto">
        <a:xfrm>
          <a:off x="1228725" y="46781085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2469</xdr:row>
      <xdr:rowOff>9525</xdr:rowOff>
    </xdr:from>
    <xdr:to>
      <xdr:col>2</xdr:col>
      <xdr:colOff>1733550</xdr:colOff>
      <xdr:row>2469</xdr:row>
      <xdr:rowOff>1524000</xdr:rowOff>
    </xdr:to>
    <xdr:pic>
      <xdr:nvPicPr>
        <xdr:cNvPr id="2468" name="Picture 2467"/>
        <xdr:cNvPicPr>
          <a:picLocks noChangeAspect="1" noChangeArrowheads="1"/>
        </xdr:cNvPicPr>
      </xdr:nvPicPr>
      <xdr:blipFill>
        <a:blip xmlns:r="http://schemas.openxmlformats.org/officeDocument/2006/relationships" r:embed="rId2465">
          <a:extLst>
            <a:ext uri="{28A0092B-C50C-407E-A947-70E740481C1C}">
              <a14:useLocalDpi xmlns:a14="http://schemas.microsoft.com/office/drawing/2010/main" val="0"/>
            </a:ext>
          </a:extLst>
        </a:blip>
        <a:srcRect/>
        <a:stretch>
          <a:fillRect/>
        </a:stretch>
      </xdr:blipFill>
      <xdr:spPr bwMode="auto">
        <a:xfrm>
          <a:off x="1228725" y="4679861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2470</xdr:row>
      <xdr:rowOff>9525</xdr:rowOff>
    </xdr:from>
    <xdr:to>
      <xdr:col>2</xdr:col>
      <xdr:colOff>1733550</xdr:colOff>
      <xdr:row>2470</xdr:row>
      <xdr:rowOff>1524000</xdr:rowOff>
    </xdr:to>
    <xdr:pic>
      <xdr:nvPicPr>
        <xdr:cNvPr id="2469" name="Picture 2468"/>
        <xdr:cNvPicPr>
          <a:picLocks noChangeAspect="1" noChangeArrowheads="1"/>
        </xdr:cNvPicPr>
      </xdr:nvPicPr>
      <xdr:blipFill>
        <a:blip xmlns:r="http://schemas.openxmlformats.org/officeDocument/2006/relationships" r:embed="rId2466">
          <a:extLst>
            <a:ext uri="{28A0092B-C50C-407E-A947-70E740481C1C}">
              <a14:useLocalDpi xmlns:a14="http://schemas.microsoft.com/office/drawing/2010/main" val="0"/>
            </a:ext>
          </a:extLst>
        </a:blip>
        <a:srcRect/>
        <a:stretch>
          <a:fillRect/>
        </a:stretch>
      </xdr:blipFill>
      <xdr:spPr bwMode="auto">
        <a:xfrm>
          <a:off x="1228725" y="46816137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2471</xdr:row>
      <xdr:rowOff>19050</xdr:rowOff>
    </xdr:from>
    <xdr:to>
      <xdr:col>2</xdr:col>
      <xdr:colOff>1733550</xdr:colOff>
      <xdr:row>2471</xdr:row>
      <xdr:rowOff>1733550</xdr:rowOff>
    </xdr:to>
    <xdr:pic>
      <xdr:nvPicPr>
        <xdr:cNvPr id="2470" name="Picture 2469"/>
        <xdr:cNvPicPr>
          <a:picLocks noChangeAspect="1" noChangeArrowheads="1"/>
        </xdr:cNvPicPr>
      </xdr:nvPicPr>
      <xdr:blipFill>
        <a:blip xmlns:r="http://schemas.openxmlformats.org/officeDocument/2006/relationships" r:embed="rId2467">
          <a:extLst>
            <a:ext uri="{28A0092B-C50C-407E-A947-70E740481C1C}">
              <a14:useLocalDpi xmlns:a14="http://schemas.microsoft.com/office/drawing/2010/main" val="0"/>
            </a:ext>
          </a:extLst>
        </a:blip>
        <a:srcRect/>
        <a:stretch>
          <a:fillRect/>
        </a:stretch>
      </xdr:blipFill>
      <xdr:spPr bwMode="auto">
        <a:xfrm>
          <a:off x="1228725" y="46833758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2472</xdr:row>
      <xdr:rowOff>9525</xdr:rowOff>
    </xdr:from>
    <xdr:to>
      <xdr:col>2</xdr:col>
      <xdr:colOff>1733550</xdr:colOff>
      <xdr:row>2472</xdr:row>
      <xdr:rowOff>1524000</xdr:rowOff>
    </xdr:to>
    <xdr:pic>
      <xdr:nvPicPr>
        <xdr:cNvPr id="2471" name="Picture 2470"/>
        <xdr:cNvPicPr>
          <a:picLocks noChangeAspect="1" noChangeArrowheads="1"/>
        </xdr:cNvPicPr>
      </xdr:nvPicPr>
      <xdr:blipFill>
        <a:blip xmlns:r="http://schemas.openxmlformats.org/officeDocument/2006/relationships" r:embed="rId2468">
          <a:extLst>
            <a:ext uri="{28A0092B-C50C-407E-A947-70E740481C1C}">
              <a14:useLocalDpi xmlns:a14="http://schemas.microsoft.com/office/drawing/2010/main" val="0"/>
            </a:ext>
          </a:extLst>
        </a:blip>
        <a:srcRect/>
        <a:stretch>
          <a:fillRect/>
        </a:stretch>
      </xdr:blipFill>
      <xdr:spPr bwMode="auto">
        <a:xfrm>
          <a:off x="1228725" y="46853665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2473</xdr:row>
      <xdr:rowOff>19050</xdr:rowOff>
    </xdr:from>
    <xdr:to>
      <xdr:col>2</xdr:col>
      <xdr:colOff>1733550</xdr:colOff>
      <xdr:row>2473</xdr:row>
      <xdr:rowOff>1733550</xdr:rowOff>
    </xdr:to>
    <xdr:pic>
      <xdr:nvPicPr>
        <xdr:cNvPr id="2472" name="Picture 2471"/>
        <xdr:cNvPicPr>
          <a:picLocks noChangeAspect="1" noChangeArrowheads="1"/>
        </xdr:cNvPicPr>
      </xdr:nvPicPr>
      <xdr:blipFill>
        <a:blip xmlns:r="http://schemas.openxmlformats.org/officeDocument/2006/relationships" r:embed="rId2469">
          <a:extLst>
            <a:ext uri="{28A0092B-C50C-407E-A947-70E740481C1C}">
              <a14:useLocalDpi xmlns:a14="http://schemas.microsoft.com/office/drawing/2010/main" val="0"/>
            </a:ext>
          </a:extLst>
        </a:blip>
        <a:srcRect/>
        <a:stretch>
          <a:fillRect/>
        </a:stretch>
      </xdr:blipFill>
      <xdr:spPr bwMode="auto">
        <a:xfrm>
          <a:off x="1228725" y="46871286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2474</xdr:row>
      <xdr:rowOff>19050</xdr:rowOff>
    </xdr:from>
    <xdr:to>
      <xdr:col>2</xdr:col>
      <xdr:colOff>1733550</xdr:colOff>
      <xdr:row>2474</xdr:row>
      <xdr:rowOff>1733550</xdr:rowOff>
    </xdr:to>
    <xdr:pic>
      <xdr:nvPicPr>
        <xdr:cNvPr id="2473" name="Picture 2472"/>
        <xdr:cNvPicPr>
          <a:picLocks noChangeAspect="1" noChangeArrowheads="1"/>
        </xdr:cNvPicPr>
      </xdr:nvPicPr>
      <xdr:blipFill>
        <a:blip xmlns:r="http://schemas.openxmlformats.org/officeDocument/2006/relationships" r:embed="rId2470">
          <a:extLst>
            <a:ext uri="{28A0092B-C50C-407E-A947-70E740481C1C}">
              <a14:useLocalDpi xmlns:a14="http://schemas.microsoft.com/office/drawing/2010/main" val="0"/>
            </a:ext>
          </a:extLst>
        </a:blip>
        <a:srcRect/>
        <a:stretch>
          <a:fillRect/>
        </a:stretch>
      </xdr:blipFill>
      <xdr:spPr bwMode="auto">
        <a:xfrm>
          <a:off x="1228725" y="46891289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2475</xdr:row>
      <xdr:rowOff>19050</xdr:rowOff>
    </xdr:from>
    <xdr:to>
      <xdr:col>2</xdr:col>
      <xdr:colOff>1733550</xdr:colOff>
      <xdr:row>2475</xdr:row>
      <xdr:rowOff>1733550</xdr:rowOff>
    </xdr:to>
    <xdr:pic>
      <xdr:nvPicPr>
        <xdr:cNvPr id="2474" name="Picture 2473"/>
        <xdr:cNvPicPr>
          <a:picLocks noChangeAspect="1" noChangeArrowheads="1"/>
        </xdr:cNvPicPr>
      </xdr:nvPicPr>
      <xdr:blipFill>
        <a:blip xmlns:r="http://schemas.openxmlformats.org/officeDocument/2006/relationships" r:embed="rId2471">
          <a:extLst>
            <a:ext uri="{28A0092B-C50C-407E-A947-70E740481C1C}">
              <a14:useLocalDpi xmlns:a14="http://schemas.microsoft.com/office/drawing/2010/main" val="0"/>
            </a:ext>
          </a:extLst>
        </a:blip>
        <a:srcRect/>
        <a:stretch>
          <a:fillRect/>
        </a:stretch>
      </xdr:blipFill>
      <xdr:spPr bwMode="auto">
        <a:xfrm>
          <a:off x="1228725" y="46911291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2476</xdr:row>
      <xdr:rowOff>19050</xdr:rowOff>
    </xdr:from>
    <xdr:to>
      <xdr:col>2</xdr:col>
      <xdr:colOff>1733550</xdr:colOff>
      <xdr:row>2476</xdr:row>
      <xdr:rowOff>1733550</xdr:rowOff>
    </xdr:to>
    <xdr:pic>
      <xdr:nvPicPr>
        <xdr:cNvPr id="2475" name="Picture 2474"/>
        <xdr:cNvPicPr>
          <a:picLocks noChangeAspect="1" noChangeArrowheads="1"/>
        </xdr:cNvPicPr>
      </xdr:nvPicPr>
      <xdr:blipFill>
        <a:blip xmlns:r="http://schemas.openxmlformats.org/officeDocument/2006/relationships" r:embed="rId2472">
          <a:extLst>
            <a:ext uri="{28A0092B-C50C-407E-A947-70E740481C1C}">
              <a14:useLocalDpi xmlns:a14="http://schemas.microsoft.com/office/drawing/2010/main" val="0"/>
            </a:ext>
          </a:extLst>
        </a:blip>
        <a:srcRect/>
        <a:stretch>
          <a:fillRect/>
        </a:stretch>
      </xdr:blipFill>
      <xdr:spPr bwMode="auto">
        <a:xfrm>
          <a:off x="1228725" y="46931294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2477</xdr:row>
      <xdr:rowOff>19050</xdr:rowOff>
    </xdr:from>
    <xdr:to>
      <xdr:col>2</xdr:col>
      <xdr:colOff>1733550</xdr:colOff>
      <xdr:row>2477</xdr:row>
      <xdr:rowOff>1733550</xdr:rowOff>
    </xdr:to>
    <xdr:pic>
      <xdr:nvPicPr>
        <xdr:cNvPr id="2476" name="Picture 2475"/>
        <xdr:cNvPicPr>
          <a:picLocks noChangeAspect="1" noChangeArrowheads="1"/>
        </xdr:cNvPicPr>
      </xdr:nvPicPr>
      <xdr:blipFill>
        <a:blip xmlns:r="http://schemas.openxmlformats.org/officeDocument/2006/relationships" r:embed="rId2473">
          <a:extLst>
            <a:ext uri="{28A0092B-C50C-407E-A947-70E740481C1C}">
              <a14:useLocalDpi xmlns:a14="http://schemas.microsoft.com/office/drawing/2010/main" val="0"/>
            </a:ext>
          </a:extLst>
        </a:blip>
        <a:srcRect/>
        <a:stretch>
          <a:fillRect/>
        </a:stretch>
      </xdr:blipFill>
      <xdr:spPr bwMode="auto">
        <a:xfrm>
          <a:off x="1228725" y="46951296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2478</xdr:row>
      <xdr:rowOff>19050</xdr:rowOff>
    </xdr:from>
    <xdr:to>
      <xdr:col>2</xdr:col>
      <xdr:colOff>1733550</xdr:colOff>
      <xdr:row>2478</xdr:row>
      <xdr:rowOff>1733550</xdr:rowOff>
    </xdr:to>
    <xdr:pic>
      <xdr:nvPicPr>
        <xdr:cNvPr id="2477" name="Picture 2476"/>
        <xdr:cNvPicPr>
          <a:picLocks noChangeAspect="1" noChangeArrowheads="1"/>
        </xdr:cNvPicPr>
      </xdr:nvPicPr>
      <xdr:blipFill>
        <a:blip xmlns:r="http://schemas.openxmlformats.org/officeDocument/2006/relationships" r:embed="rId2474">
          <a:extLst>
            <a:ext uri="{28A0092B-C50C-407E-A947-70E740481C1C}">
              <a14:useLocalDpi xmlns:a14="http://schemas.microsoft.com/office/drawing/2010/main" val="0"/>
            </a:ext>
          </a:extLst>
        </a:blip>
        <a:srcRect/>
        <a:stretch>
          <a:fillRect/>
        </a:stretch>
      </xdr:blipFill>
      <xdr:spPr bwMode="auto">
        <a:xfrm>
          <a:off x="1228725" y="46971299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2479</xdr:row>
      <xdr:rowOff>19050</xdr:rowOff>
    </xdr:from>
    <xdr:to>
      <xdr:col>2</xdr:col>
      <xdr:colOff>1733550</xdr:colOff>
      <xdr:row>2479</xdr:row>
      <xdr:rowOff>1733550</xdr:rowOff>
    </xdr:to>
    <xdr:pic>
      <xdr:nvPicPr>
        <xdr:cNvPr id="2478" name="Picture 2477"/>
        <xdr:cNvPicPr>
          <a:picLocks noChangeAspect="1" noChangeArrowheads="1"/>
        </xdr:cNvPicPr>
      </xdr:nvPicPr>
      <xdr:blipFill>
        <a:blip xmlns:r="http://schemas.openxmlformats.org/officeDocument/2006/relationships" r:embed="rId2475">
          <a:extLst>
            <a:ext uri="{28A0092B-C50C-407E-A947-70E740481C1C}">
              <a14:useLocalDpi xmlns:a14="http://schemas.microsoft.com/office/drawing/2010/main" val="0"/>
            </a:ext>
          </a:extLst>
        </a:blip>
        <a:srcRect/>
        <a:stretch>
          <a:fillRect/>
        </a:stretch>
      </xdr:blipFill>
      <xdr:spPr bwMode="auto">
        <a:xfrm>
          <a:off x="1228725" y="46991301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2480</xdr:row>
      <xdr:rowOff>19050</xdr:rowOff>
    </xdr:from>
    <xdr:to>
      <xdr:col>2</xdr:col>
      <xdr:colOff>1733550</xdr:colOff>
      <xdr:row>2480</xdr:row>
      <xdr:rowOff>1733550</xdr:rowOff>
    </xdr:to>
    <xdr:pic>
      <xdr:nvPicPr>
        <xdr:cNvPr id="2479" name="Picture 2478"/>
        <xdr:cNvPicPr>
          <a:picLocks noChangeAspect="1" noChangeArrowheads="1"/>
        </xdr:cNvPicPr>
      </xdr:nvPicPr>
      <xdr:blipFill>
        <a:blip xmlns:r="http://schemas.openxmlformats.org/officeDocument/2006/relationships" r:embed="rId2476">
          <a:extLst>
            <a:ext uri="{28A0092B-C50C-407E-A947-70E740481C1C}">
              <a14:useLocalDpi xmlns:a14="http://schemas.microsoft.com/office/drawing/2010/main" val="0"/>
            </a:ext>
          </a:extLst>
        </a:blip>
        <a:srcRect/>
        <a:stretch>
          <a:fillRect/>
        </a:stretch>
      </xdr:blipFill>
      <xdr:spPr bwMode="auto">
        <a:xfrm>
          <a:off x="1228725" y="47011304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2481</xdr:row>
      <xdr:rowOff>19050</xdr:rowOff>
    </xdr:from>
    <xdr:to>
      <xdr:col>2</xdr:col>
      <xdr:colOff>1733550</xdr:colOff>
      <xdr:row>2481</xdr:row>
      <xdr:rowOff>1733550</xdr:rowOff>
    </xdr:to>
    <xdr:pic>
      <xdr:nvPicPr>
        <xdr:cNvPr id="2480" name="Picture 2479"/>
        <xdr:cNvPicPr>
          <a:picLocks noChangeAspect="1" noChangeArrowheads="1"/>
        </xdr:cNvPicPr>
      </xdr:nvPicPr>
      <xdr:blipFill>
        <a:blip xmlns:r="http://schemas.openxmlformats.org/officeDocument/2006/relationships" r:embed="rId2477">
          <a:extLst>
            <a:ext uri="{28A0092B-C50C-407E-A947-70E740481C1C}">
              <a14:useLocalDpi xmlns:a14="http://schemas.microsoft.com/office/drawing/2010/main" val="0"/>
            </a:ext>
          </a:extLst>
        </a:blip>
        <a:srcRect/>
        <a:stretch>
          <a:fillRect/>
        </a:stretch>
      </xdr:blipFill>
      <xdr:spPr bwMode="auto">
        <a:xfrm>
          <a:off x="1228725" y="47031306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2482</xdr:row>
      <xdr:rowOff>19050</xdr:rowOff>
    </xdr:from>
    <xdr:to>
      <xdr:col>2</xdr:col>
      <xdr:colOff>1733550</xdr:colOff>
      <xdr:row>2482</xdr:row>
      <xdr:rowOff>1733550</xdr:rowOff>
    </xdr:to>
    <xdr:pic>
      <xdr:nvPicPr>
        <xdr:cNvPr id="2481" name="Picture 2480"/>
        <xdr:cNvPicPr>
          <a:picLocks noChangeAspect="1" noChangeArrowheads="1"/>
        </xdr:cNvPicPr>
      </xdr:nvPicPr>
      <xdr:blipFill>
        <a:blip xmlns:r="http://schemas.openxmlformats.org/officeDocument/2006/relationships" r:embed="rId2478">
          <a:extLst>
            <a:ext uri="{28A0092B-C50C-407E-A947-70E740481C1C}">
              <a14:useLocalDpi xmlns:a14="http://schemas.microsoft.com/office/drawing/2010/main" val="0"/>
            </a:ext>
          </a:extLst>
        </a:blip>
        <a:srcRect/>
        <a:stretch>
          <a:fillRect/>
        </a:stretch>
      </xdr:blipFill>
      <xdr:spPr bwMode="auto">
        <a:xfrm>
          <a:off x="1228725" y="47051309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2483</xdr:row>
      <xdr:rowOff>19050</xdr:rowOff>
    </xdr:from>
    <xdr:to>
      <xdr:col>2</xdr:col>
      <xdr:colOff>1733550</xdr:colOff>
      <xdr:row>2483</xdr:row>
      <xdr:rowOff>1685925</xdr:rowOff>
    </xdr:to>
    <xdr:pic>
      <xdr:nvPicPr>
        <xdr:cNvPr id="2482" name="Picture 2481"/>
        <xdr:cNvPicPr>
          <a:picLocks noChangeAspect="1" noChangeArrowheads="1"/>
        </xdr:cNvPicPr>
      </xdr:nvPicPr>
      <xdr:blipFill>
        <a:blip xmlns:r="http://schemas.openxmlformats.org/officeDocument/2006/relationships" r:embed="rId2479">
          <a:extLst>
            <a:ext uri="{28A0092B-C50C-407E-A947-70E740481C1C}">
              <a14:useLocalDpi xmlns:a14="http://schemas.microsoft.com/office/drawing/2010/main" val="0"/>
            </a:ext>
          </a:extLst>
        </a:blip>
        <a:srcRect/>
        <a:stretch>
          <a:fillRect/>
        </a:stretch>
      </xdr:blipFill>
      <xdr:spPr bwMode="auto">
        <a:xfrm>
          <a:off x="1228725" y="47071311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2484</xdr:row>
      <xdr:rowOff>9525</xdr:rowOff>
    </xdr:from>
    <xdr:to>
      <xdr:col>2</xdr:col>
      <xdr:colOff>1733550</xdr:colOff>
      <xdr:row>2484</xdr:row>
      <xdr:rowOff>1524000</xdr:rowOff>
    </xdr:to>
    <xdr:pic>
      <xdr:nvPicPr>
        <xdr:cNvPr id="2483" name="Picture 2482"/>
        <xdr:cNvPicPr>
          <a:picLocks noChangeAspect="1" noChangeArrowheads="1"/>
        </xdr:cNvPicPr>
      </xdr:nvPicPr>
      <xdr:blipFill>
        <a:blip xmlns:r="http://schemas.openxmlformats.org/officeDocument/2006/relationships" r:embed="rId2480">
          <a:extLst>
            <a:ext uri="{28A0092B-C50C-407E-A947-70E740481C1C}">
              <a14:useLocalDpi xmlns:a14="http://schemas.microsoft.com/office/drawing/2010/main" val="0"/>
            </a:ext>
          </a:extLst>
        </a:blip>
        <a:srcRect/>
        <a:stretch>
          <a:fillRect/>
        </a:stretch>
      </xdr:blipFill>
      <xdr:spPr bwMode="auto">
        <a:xfrm>
          <a:off x="1228725" y="47090647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2485</xdr:row>
      <xdr:rowOff>9525</xdr:rowOff>
    </xdr:from>
    <xdr:to>
      <xdr:col>2</xdr:col>
      <xdr:colOff>1733550</xdr:colOff>
      <xdr:row>2485</xdr:row>
      <xdr:rowOff>1524000</xdr:rowOff>
    </xdr:to>
    <xdr:pic>
      <xdr:nvPicPr>
        <xdr:cNvPr id="2484" name="Picture 2483"/>
        <xdr:cNvPicPr>
          <a:picLocks noChangeAspect="1" noChangeArrowheads="1"/>
        </xdr:cNvPicPr>
      </xdr:nvPicPr>
      <xdr:blipFill>
        <a:blip xmlns:r="http://schemas.openxmlformats.org/officeDocument/2006/relationships" r:embed="rId2481">
          <a:extLst>
            <a:ext uri="{28A0092B-C50C-407E-A947-70E740481C1C}">
              <a14:useLocalDpi xmlns:a14="http://schemas.microsoft.com/office/drawing/2010/main" val="0"/>
            </a:ext>
          </a:extLst>
        </a:blip>
        <a:srcRect/>
        <a:stretch>
          <a:fillRect/>
        </a:stretch>
      </xdr:blipFill>
      <xdr:spPr bwMode="auto">
        <a:xfrm>
          <a:off x="1228725" y="47108173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2486</xdr:row>
      <xdr:rowOff>19050</xdr:rowOff>
    </xdr:from>
    <xdr:to>
      <xdr:col>2</xdr:col>
      <xdr:colOff>1733550</xdr:colOff>
      <xdr:row>2486</xdr:row>
      <xdr:rowOff>1666875</xdr:rowOff>
    </xdr:to>
    <xdr:pic>
      <xdr:nvPicPr>
        <xdr:cNvPr id="2485" name="Picture 2484"/>
        <xdr:cNvPicPr>
          <a:picLocks noChangeAspect="1" noChangeArrowheads="1"/>
        </xdr:cNvPicPr>
      </xdr:nvPicPr>
      <xdr:blipFill>
        <a:blip xmlns:r="http://schemas.openxmlformats.org/officeDocument/2006/relationships" r:embed="rId2482">
          <a:extLst>
            <a:ext uri="{28A0092B-C50C-407E-A947-70E740481C1C}">
              <a14:useLocalDpi xmlns:a14="http://schemas.microsoft.com/office/drawing/2010/main" val="0"/>
            </a:ext>
          </a:extLst>
        </a:blip>
        <a:srcRect/>
        <a:stretch>
          <a:fillRect/>
        </a:stretch>
      </xdr:blipFill>
      <xdr:spPr bwMode="auto">
        <a:xfrm>
          <a:off x="1228725" y="4712579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2487</xdr:row>
      <xdr:rowOff>19050</xdr:rowOff>
    </xdr:from>
    <xdr:to>
      <xdr:col>2</xdr:col>
      <xdr:colOff>1733550</xdr:colOff>
      <xdr:row>2487</xdr:row>
      <xdr:rowOff>1733550</xdr:rowOff>
    </xdr:to>
    <xdr:pic>
      <xdr:nvPicPr>
        <xdr:cNvPr id="2486" name="Picture 2485"/>
        <xdr:cNvPicPr>
          <a:picLocks noChangeAspect="1" noChangeArrowheads="1"/>
        </xdr:cNvPicPr>
      </xdr:nvPicPr>
      <xdr:blipFill>
        <a:blip xmlns:r="http://schemas.openxmlformats.org/officeDocument/2006/relationships" r:embed="rId2483">
          <a:extLst>
            <a:ext uri="{28A0092B-C50C-407E-A947-70E740481C1C}">
              <a14:useLocalDpi xmlns:a14="http://schemas.microsoft.com/office/drawing/2010/main" val="0"/>
            </a:ext>
          </a:extLst>
        </a:blip>
        <a:srcRect/>
        <a:stretch>
          <a:fillRect/>
        </a:stretch>
      </xdr:blipFill>
      <xdr:spPr bwMode="auto">
        <a:xfrm>
          <a:off x="1228725" y="4714494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2488</xdr:row>
      <xdr:rowOff>19050</xdr:rowOff>
    </xdr:from>
    <xdr:to>
      <xdr:col>2</xdr:col>
      <xdr:colOff>1733550</xdr:colOff>
      <xdr:row>2488</xdr:row>
      <xdr:rowOff>1733550</xdr:rowOff>
    </xdr:to>
    <xdr:pic>
      <xdr:nvPicPr>
        <xdr:cNvPr id="2487" name="Picture 2486"/>
        <xdr:cNvPicPr>
          <a:picLocks noChangeAspect="1" noChangeArrowheads="1"/>
        </xdr:cNvPicPr>
      </xdr:nvPicPr>
      <xdr:blipFill>
        <a:blip xmlns:r="http://schemas.openxmlformats.org/officeDocument/2006/relationships" r:embed="rId2484">
          <a:extLst>
            <a:ext uri="{28A0092B-C50C-407E-A947-70E740481C1C}">
              <a14:useLocalDpi xmlns:a14="http://schemas.microsoft.com/office/drawing/2010/main" val="0"/>
            </a:ext>
          </a:extLst>
        </a:blip>
        <a:srcRect/>
        <a:stretch>
          <a:fillRect/>
        </a:stretch>
      </xdr:blipFill>
      <xdr:spPr bwMode="auto">
        <a:xfrm>
          <a:off x="1228725" y="4716494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2489</xdr:row>
      <xdr:rowOff>19050</xdr:rowOff>
    </xdr:from>
    <xdr:to>
      <xdr:col>2</xdr:col>
      <xdr:colOff>1733550</xdr:colOff>
      <xdr:row>2489</xdr:row>
      <xdr:rowOff>1733550</xdr:rowOff>
    </xdr:to>
    <xdr:pic>
      <xdr:nvPicPr>
        <xdr:cNvPr id="2488" name="Picture 2487"/>
        <xdr:cNvPicPr>
          <a:picLocks noChangeAspect="1" noChangeArrowheads="1"/>
        </xdr:cNvPicPr>
      </xdr:nvPicPr>
      <xdr:blipFill>
        <a:blip xmlns:r="http://schemas.openxmlformats.org/officeDocument/2006/relationships" r:embed="rId2485">
          <a:extLst>
            <a:ext uri="{28A0092B-C50C-407E-A947-70E740481C1C}">
              <a14:useLocalDpi xmlns:a14="http://schemas.microsoft.com/office/drawing/2010/main" val="0"/>
            </a:ext>
          </a:extLst>
        </a:blip>
        <a:srcRect/>
        <a:stretch>
          <a:fillRect/>
        </a:stretch>
      </xdr:blipFill>
      <xdr:spPr bwMode="auto">
        <a:xfrm>
          <a:off x="1228725" y="4718494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2490</xdr:row>
      <xdr:rowOff>19050</xdr:rowOff>
    </xdr:from>
    <xdr:to>
      <xdr:col>2</xdr:col>
      <xdr:colOff>1733550</xdr:colOff>
      <xdr:row>2490</xdr:row>
      <xdr:rowOff>1733550</xdr:rowOff>
    </xdr:to>
    <xdr:pic>
      <xdr:nvPicPr>
        <xdr:cNvPr id="2489" name="Picture 2488"/>
        <xdr:cNvPicPr>
          <a:picLocks noChangeAspect="1" noChangeArrowheads="1"/>
        </xdr:cNvPicPr>
      </xdr:nvPicPr>
      <xdr:blipFill>
        <a:blip xmlns:r="http://schemas.openxmlformats.org/officeDocument/2006/relationships" r:embed="rId2486">
          <a:extLst>
            <a:ext uri="{28A0092B-C50C-407E-A947-70E740481C1C}">
              <a14:useLocalDpi xmlns:a14="http://schemas.microsoft.com/office/drawing/2010/main" val="0"/>
            </a:ext>
          </a:extLst>
        </a:blip>
        <a:srcRect/>
        <a:stretch>
          <a:fillRect/>
        </a:stretch>
      </xdr:blipFill>
      <xdr:spPr bwMode="auto">
        <a:xfrm>
          <a:off x="1228725" y="4720494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2491</xdr:row>
      <xdr:rowOff>19050</xdr:rowOff>
    </xdr:from>
    <xdr:to>
      <xdr:col>2</xdr:col>
      <xdr:colOff>1733550</xdr:colOff>
      <xdr:row>2491</xdr:row>
      <xdr:rowOff>1733550</xdr:rowOff>
    </xdr:to>
    <xdr:pic>
      <xdr:nvPicPr>
        <xdr:cNvPr id="2490" name="Picture 2489"/>
        <xdr:cNvPicPr>
          <a:picLocks noChangeAspect="1" noChangeArrowheads="1"/>
        </xdr:cNvPicPr>
      </xdr:nvPicPr>
      <xdr:blipFill>
        <a:blip xmlns:r="http://schemas.openxmlformats.org/officeDocument/2006/relationships" r:embed="rId2487">
          <a:extLst>
            <a:ext uri="{28A0092B-C50C-407E-A947-70E740481C1C}">
              <a14:useLocalDpi xmlns:a14="http://schemas.microsoft.com/office/drawing/2010/main" val="0"/>
            </a:ext>
          </a:extLst>
        </a:blip>
        <a:srcRect/>
        <a:stretch>
          <a:fillRect/>
        </a:stretch>
      </xdr:blipFill>
      <xdr:spPr bwMode="auto">
        <a:xfrm>
          <a:off x="1228725" y="4722495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2492</xdr:row>
      <xdr:rowOff>19050</xdr:rowOff>
    </xdr:from>
    <xdr:to>
      <xdr:col>2</xdr:col>
      <xdr:colOff>1733550</xdr:colOff>
      <xdr:row>2492</xdr:row>
      <xdr:rowOff>1733550</xdr:rowOff>
    </xdr:to>
    <xdr:pic>
      <xdr:nvPicPr>
        <xdr:cNvPr id="2491" name="Picture 2490"/>
        <xdr:cNvPicPr>
          <a:picLocks noChangeAspect="1" noChangeArrowheads="1"/>
        </xdr:cNvPicPr>
      </xdr:nvPicPr>
      <xdr:blipFill>
        <a:blip xmlns:r="http://schemas.openxmlformats.org/officeDocument/2006/relationships" r:embed="rId2488">
          <a:extLst>
            <a:ext uri="{28A0092B-C50C-407E-A947-70E740481C1C}">
              <a14:useLocalDpi xmlns:a14="http://schemas.microsoft.com/office/drawing/2010/main" val="0"/>
            </a:ext>
          </a:extLst>
        </a:blip>
        <a:srcRect/>
        <a:stretch>
          <a:fillRect/>
        </a:stretch>
      </xdr:blipFill>
      <xdr:spPr bwMode="auto">
        <a:xfrm>
          <a:off x="1228725" y="4724495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2493</xdr:row>
      <xdr:rowOff>19050</xdr:rowOff>
    </xdr:from>
    <xdr:to>
      <xdr:col>2</xdr:col>
      <xdr:colOff>1733550</xdr:colOff>
      <xdr:row>2493</xdr:row>
      <xdr:rowOff>1733550</xdr:rowOff>
    </xdr:to>
    <xdr:pic>
      <xdr:nvPicPr>
        <xdr:cNvPr id="2492" name="Picture 2491"/>
        <xdr:cNvPicPr>
          <a:picLocks noChangeAspect="1" noChangeArrowheads="1"/>
        </xdr:cNvPicPr>
      </xdr:nvPicPr>
      <xdr:blipFill>
        <a:blip xmlns:r="http://schemas.openxmlformats.org/officeDocument/2006/relationships" r:embed="rId2489">
          <a:extLst>
            <a:ext uri="{28A0092B-C50C-407E-A947-70E740481C1C}">
              <a14:useLocalDpi xmlns:a14="http://schemas.microsoft.com/office/drawing/2010/main" val="0"/>
            </a:ext>
          </a:extLst>
        </a:blip>
        <a:srcRect/>
        <a:stretch>
          <a:fillRect/>
        </a:stretch>
      </xdr:blipFill>
      <xdr:spPr bwMode="auto">
        <a:xfrm>
          <a:off x="1228725" y="4726495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2494</xdr:row>
      <xdr:rowOff>19050</xdr:rowOff>
    </xdr:from>
    <xdr:to>
      <xdr:col>2</xdr:col>
      <xdr:colOff>1733550</xdr:colOff>
      <xdr:row>2494</xdr:row>
      <xdr:rowOff>1733550</xdr:rowOff>
    </xdr:to>
    <xdr:pic>
      <xdr:nvPicPr>
        <xdr:cNvPr id="2493" name="Picture 2492"/>
        <xdr:cNvPicPr>
          <a:picLocks noChangeAspect="1" noChangeArrowheads="1"/>
        </xdr:cNvPicPr>
      </xdr:nvPicPr>
      <xdr:blipFill>
        <a:blip xmlns:r="http://schemas.openxmlformats.org/officeDocument/2006/relationships" r:embed="rId2490">
          <a:extLst>
            <a:ext uri="{28A0092B-C50C-407E-A947-70E740481C1C}">
              <a14:useLocalDpi xmlns:a14="http://schemas.microsoft.com/office/drawing/2010/main" val="0"/>
            </a:ext>
          </a:extLst>
        </a:blip>
        <a:srcRect/>
        <a:stretch>
          <a:fillRect/>
        </a:stretch>
      </xdr:blipFill>
      <xdr:spPr bwMode="auto">
        <a:xfrm>
          <a:off x="1228725" y="4728495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2495</xdr:row>
      <xdr:rowOff>19050</xdr:rowOff>
    </xdr:from>
    <xdr:to>
      <xdr:col>2</xdr:col>
      <xdr:colOff>1733550</xdr:colOff>
      <xdr:row>2495</xdr:row>
      <xdr:rowOff>1733550</xdr:rowOff>
    </xdr:to>
    <xdr:pic>
      <xdr:nvPicPr>
        <xdr:cNvPr id="2494" name="Picture 2493"/>
        <xdr:cNvPicPr>
          <a:picLocks noChangeAspect="1" noChangeArrowheads="1"/>
        </xdr:cNvPicPr>
      </xdr:nvPicPr>
      <xdr:blipFill>
        <a:blip xmlns:r="http://schemas.openxmlformats.org/officeDocument/2006/relationships" r:embed="rId2491">
          <a:extLst>
            <a:ext uri="{28A0092B-C50C-407E-A947-70E740481C1C}">
              <a14:useLocalDpi xmlns:a14="http://schemas.microsoft.com/office/drawing/2010/main" val="0"/>
            </a:ext>
          </a:extLst>
        </a:blip>
        <a:srcRect/>
        <a:stretch>
          <a:fillRect/>
        </a:stretch>
      </xdr:blipFill>
      <xdr:spPr bwMode="auto">
        <a:xfrm>
          <a:off x="1228725" y="4730496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2496</xdr:row>
      <xdr:rowOff>19050</xdr:rowOff>
    </xdr:from>
    <xdr:to>
      <xdr:col>2</xdr:col>
      <xdr:colOff>1733550</xdr:colOff>
      <xdr:row>2496</xdr:row>
      <xdr:rowOff>1733550</xdr:rowOff>
    </xdr:to>
    <xdr:pic>
      <xdr:nvPicPr>
        <xdr:cNvPr id="2495" name="Picture 2494"/>
        <xdr:cNvPicPr>
          <a:picLocks noChangeAspect="1" noChangeArrowheads="1"/>
        </xdr:cNvPicPr>
      </xdr:nvPicPr>
      <xdr:blipFill>
        <a:blip xmlns:r="http://schemas.openxmlformats.org/officeDocument/2006/relationships" r:embed="rId2492">
          <a:extLst>
            <a:ext uri="{28A0092B-C50C-407E-A947-70E740481C1C}">
              <a14:useLocalDpi xmlns:a14="http://schemas.microsoft.com/office/drawing/2010/main" val="0"/>
            </a:ext>
          </a:extLst>
        </a:blip>
        <a:srcRect/>
        <a:stretch>
          <a:fillRect/>
        </a:stretch>
      </xdr:blipFill>
      <xdr:spPr bwMode="auto">
        <a:xfrm>
          <a:off x="1228725" y="4732496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2497</xdr:row>
      <xdr:rowOff>19050</xdr:rowOff>
    </xdr:from>
    <xdr:to>
      <xdr:col>2</xdr:col>
      <xdr:colOff>1733550</xdr:colOff>
      <xdr:row>2497</xdr:row>
      <xdr:rowOff>1733550</xdr:rowOff>
    </xdr:to>
    <xdr:pic>
      <xdr:nvPicPr>
        <xdr:cNvPr id="2496" name="Picture 2495"/>
        <xdr:cNvPicPr>
          <a:picLocks noChangeAspect="1" noChangeArrowheads="1"/>
        </xdr:cNvPicPr>
      </xdr:nvPicPr>
      <xdr:blipFill>
        <a:blip xmlns:r="http://schemas.openxmlformats.org/officeDocument/2006/relationships" r:embed="rId2493">
          <a:extLst>
            <a:ext uri="{28A0092B-C50C-407E-A947-70E740481C1C}">
              <a14:useLocalDpi xmlns:a14="http://schemas.microsoft.com/office/drawing/2010/main" val="0"/>
            </a:ext>
          </a:extLst>
        </a:blip>
        <a:srcRect/>
        <a:stretch>
          <a:fillRect/>
        </a:stretch>
      </xdr:blipFill>
      <xdr:spPr bwMode="auto">
        <a:xfrm>
          <a:off x="1228725" y="4734496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2498</xdr:row>
      <xdr:rowOff>19050</xdr:rowOff>
    </xdr:from>
    <xdr:to>
      <xdr:col>2</xdr:col>
      <xdr:colOff>1733550</xdr:colOff>
      <xdr:row>2498</xdr:row>
      <xdr:rowOff>1733550</xdr:rowOff>
    </xdr:to>
    <xdr:pic>
      <xdr:nvPicPr>
        <xdr:cNvPr id="2497" name="Picture 2496"/>
        <xdr:cNvPicPr>
          <a:picLocks noChangeAspect="1" noChangeArrowheads="1"/>
        </xdr:cNvPicPr>
      </xdr:nvPicPr>
      <xdr:blipFill>
        <a:blip xmlns:r="http://schemas.openxmlformats.org/officeDocument/2006/relationships" r:embed="rId2494">
          <a:extLst>
            <a:ext uri="{28A0092B-C50C-407E-A947-70E740481C1C}">
              <a14:useLocalDpi xmlns:a14="http://schemas.microsoft.com/office/drawing/2010/main" val="0"/>
            </a:ext>
          </a:extLst>
        </a:blip>
        <a:srcRect/>
        <a:stretch>
          <a:fillRect/>
        </a:stretch>
      </xdr:blipFill>
      <xdr:spPr bwMode="auto">
        <a:xfrm>
          <a:off x="1228725" y="4736496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2499</xdr:row>
      <xdr:rowOff>19050</xdr:rowOff>
    </xdr:from>
    <xdr:to>
      <xdr:col>2</xdr:col>
      <xdr:colOff>1733550</xdr:colOff>
      <xdr:row>2499</xdr:row>
      <xdr:rowOff>1733550</xdr:rowOff>
    </xdr:to>
    <xdr:pic>
      <xdr:nvPicPr>
        <xdr:cNvPr id="2498" name="Picture 2497"/>
        <xdr:cNvPicPr>
          <a:picLocks noChangeAspect="1" noChangeArrowheads="1"/>
        </xdr:cNvPicPr>
      </xdr:nvPicPr>
      <xdr:blipFill>
        <a:blip xmlns:r="http://schemas.openxmlformats.org/officeDocument/2006/relationships" r:embed="rId2495">
          <a:extLst>
            <a:ext uri="{28A0092B-C50C-407E-A947-70E740481C1C}">
              <a14:useLocalDpi xmlns:a14="http://schemas.microsoft.com/office/drawing/2010/main" val="0"/>
            </a:ext>
          </a:extLst>
        </a:blip>
        <a:srcRect/>
        <a:stretch>
          <a:fillRect/>
        </a:stretch>
      </xdr:blipFill>
      <xdr:spPr bwMode="auto">
        <a:xfrm>
          <a:off x="1228725" y="4738497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2500</xdr:row>
      <xdr:rowOff>19050</xdr:rowOff>
    </xdr:from>
    <xdr:to>
      <xdr:col>2</xdr:col>
      <xdr:colOff>1733550</xdr:colOff>
      <xdr:row>2500</xdr:row>
      <xdr:rowOff>1733550</xdr:rowOff>
    </xdr:to>
    <xdr:pic>
      <xdr:nvPicPr>
        <xdr:cNvPr id="2499" name="Picture 2498"/>
        <xdr:cNvPicPr>
          <a:picLocks noChangeAspect="1" noChangeArrowheads="1"/>
        </xdr:cNvPicPr>
      </xdr:nvPicPr>
      <xdr:blipFill>
        <a:blip xmlns:r="http://schemas.openxmlformats.org/officeDocument/2006/relationships" r:embed="rId2496">
          <a:extLst>
            <a:ext uri="{28A0092B-C50C-407E-A947-70E740481C1C}">
              <a14:useLocalDpi xmlns:a14="http://schemas.microsoft.com/office/drawing/2010/main" val="0"/>
            </a:ext>
          </a:extLst>
        </a:blip>
        <a:srcRect/>
        <a:stretch>
          <a:fillRect/>
        </a:stretch>
      </xdr:blipFill>
      <xdr:spPr bwMode="auto">
        <a:xfrm>
          <a:off x="1228725" y="4740497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2501</xdr:row>
      <xdr:rowOff>19050</xdr:rowOff>
    </xdr:from>
    <xdr:to>
      <xdr:col>2</xdr:col>
      <xdr:colOff>1733550</xdr:colOff>
      <xdr:row>2501</xdr:row>
      <xdr:rowOff>1733550</xdr:rowOff>
    </xdr:to>
    <xdr:pic>
      <xdr:nvPicPr>
        <xdr:cNvPr id="2500" name="Picture 2499"/>
        <xdr:cNvPicPr>
          <a:picLocks noChangeAspect="1" noChangeArrowheads="1"/>
        </xdr:cNvPicPr>
      </xdr:nvPicPr>
      <xdr:blipFill>
        <a:blip xmlns:r="http://schemas.openxmlformats.org/officeDocument/2006/relationships" r:embed="rId2497">
          <a:extLst>
            <a:ext uri="{28A0092B-C50C-407E-A947-70E740481C1C}">
              <a14:useLocalDpi xmlns:a14="http://schemas.microsoft.com/office/drawing/2010/main" val="0"/>
            </a:ext>
          </a:extLst>
        </a:blip>
        <a:srcRect/>
        <a:stretch>
          <a:fillRect/>
        </a:stretch>
      </xdr:blipFill>
      <xdr:spPr bwMode="auto">
        <a:xfrm>
          <a:off x="1228725" y="4742497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2502</xdr:row>
      <xdr:rowOff>19050</xdr:rowOff>
    </xdr:from>
    <xdr:to>
      <xdr:col>2</xdr:col>
      <xdr:colOff>1733550</xdr:colOff>
      <xdr:row>2502</xdr:row>
      <xdr:rowOff>1733550</xdr:rowOff>
    </xdr:to>
    <xdr:pic>
      <xdr:nvPicPr>
        <xdr:cNvPr id="2501" name="Picture 2500"/>
        <xdr:cNvPicPr>
          <a:picLocks noChangeAspect="1" noChangeArrowheads="1"/>
        </xdr:cNvPicPr>
      </xdr:nvPicPr>
      <xdr:blipFill>
        <a:blip xmlns:r="http://schemas.openxmlformats.org/officeDocument/2006/relationships" r:embed="rId2498">
          <a:extLst>
            <a:ext uri="{28A0092B-C50C-407E-A947-70E740481C1C}">
              <a14:useLocalDpi xmlns:a14="http://schemas.microsoft.com/office/drawing/2010/main" val="0"/>
            </a:ext>
          </a:extLst>
        </a:blip>
        <a:srcRect/>
        <a:stretch>
          <a:fillRect/>
        </a:stretch>
      </xdr:blipFill>
      <xdr:spPr bwMode="auto">
        <a:xfrm>
          <a:off x="1228725" y="4744497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2503</xdr:row>
      <xdr:rowOff>19050</xdr:rowOff>
    </xdr:from>
    <xdr:to>
      <xdr:col>2</xdr:col>
      <xdr:colOff>1733550</xdr:colOff>
      <xdr:row>2503</xdr:row>
      <xdr:rowOff>1733550</xdr:rowOff>
    </xdr:to>
    <xdr:pic>
      <xdr:nvPicPr>
        <xdr:cNvPr id="2502" name="Picture 2501"/>
        <xdr:cNvPicPr>
          <a:picLocks noChangeAspect="1" noChangeArrowheads="1"/>
        </xdr:cNvPicPr>
      </xdr:nvPicPr>
      <xdr:blipFill>
        <a:blip xmlns:r="http://schemas.openxmlformats.org/officeDocument/2006/relationships" r:embed="rId2499">
          <a:extLst>
            <a:ext uri="{28A0092B-C50C-407E-A947-70E740481C1C}">
              <a14:useLocalDpi xmlns:a14="http://schemas.microsoft.com/office/drawing/2010/main" val="0"/>
            </a:ext>
          </a:extLst>
        </a:blip>
        <a:srcRect/>
        <a:stretch>
          <a:fillRect/>
        </a:stretch>
      </xdr:blipFill>
      <xdr:spPr bwMode="auto">
        <a:xfrm>
          <a:off x="1228725" y="4746498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2504</xdr:row>
      <xdr:rowOff>19050</xdr:rowOff>
    </xdr:from>
    <xdr:to>
      <xdr:col>2</xdr:col>
      <xdr:colOff>1733550</xdr:colOff>
      <xdr:row>2504</xdr:row>
      <xdr:rowOff>1733550</xdr:rowOff>
    </xdr:to>
    <xdr:pic>
      <xdr:nvPicPr>
        <xdr:cNvPr id="2503" name="Picture 2502"/>
        <xdr:cNvPicPr>
          <a:picLocks noChangeAspect="1" noChangeArrowheads="1"/>
        </xdr:cNvPicPr>
      </xdr:nvPicPr>
      <xdr:blipFill>
        <a:blip xmlns:r="http://schemas.openxmlformats.org/officeDocument/2006/relationships" r:embed="rId2500">
          <a:extLst>
            <a:ext uri="{28A0092B-C50C-407E-A947-70E740481C1C}">
              <a14:useLocalDpi xmlns:a14="http://schemas.microsoft.com/office/drawing/2010/main" val="0"/>
            </a:ext>
          </a:extLst>
        </a:blip>
        <a:srcRect/>
        <a:stretch>
          <a:fillRect/>
        </a:stretch>
      </xdr:blipFill>
      <xdr:spPr bwMode="auto">
        <a:xfrm>
          <a:off x="1228725" y="4748498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2505</xdr:row>
      <xdr:rowOff>19050</xdr:rowOff>
    </xdr:from>
    <xdr:to>
      <xdr:col>2</xdr:col>
      <xdr:colOff>1733550</xdr:colOff>
      <xdr:row>2505</xdr:row>
      <xdr:rowOff>1733550</xdr:rowOff>
    </xdr:to>
    <xdr:pic>
      <xdr:nvPicPr>
        <xdr:cNvPr id="2504" name="Picture 2503"/>
        <xdr:cNvPicPr>
          <a:picLocks noChangeAspect="1" noChangeArrowheads="1"/>
        </xdr:cNvPicPr>
      </xdr:nvPicPr>
      <xdr:blipFill>
        <a:blip xmlns:r="http://schemas.openxmlformats.org/officeDocument/2006/relationships" r:embed="rId2501">
          <a:extLst>
            <a:ext uri="{28A0092B-C50C-407E-A947-70E740481C1C}">
              <a14:useLocalDpi xmlns:a14="http://schemas.microsoft.com/office/drawing/2010/main" val="0"/>
            </a:ext>
          </a:extLst>
        </a:blip>
        <a:srcRect/>
        <a:stretch>
          <a:fillRect/>
        </a:stretch>
      </xdr:blipFill>
      <xdr:spPr bwMode="auto">
        <a:xfrm>
          <a:off x="1228725" y="4750498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2506</xdr:row>
      <xdr:rowOff>19050</xdr:rowOff>
    </xdr:from>
    <xdr:to>
      <xdr:col>2</xdr:col>
      <xdr:colOff>1733550</xdr:colOff>
      <xdr:row>2506</xdr:row>
      <xdr:rowOff>1733550</xdr:rowOff>
    </xdr:to>
    <xdr:pic>
      <xdr:nvPicPr>
        <xdr:cNvPr id="2505" name="Picture 2504"/>
        <xdr:cNvPicPr>
          <a:picLocks noChangeAspect="1" noChangeArrowheads="1"/>
        </xdr:cNvPicPr>
      </xdr:nvPicPr>
      <xdr:blipFill>
        <a:blip xmlns:r="http://schemas.openxmlformats.org/officeDocument/2006/relationships" r:embed="rId2502">
          <a:extLst>
            <a:ext uri="{28A0092B-C50C-407E-A947-70E740481C1C}">
              <a14:useLocalDpi xmlns:a14="http://schemas.microsoft.com/office/drawing/2010/main" val="0"/>
            </a:ext>
          </a:extLst>
        </a:blip>
        <a:srcRect/>
        <a:stretch>
          <a:fillRect/>
        </a:stretch>
      </xdr:blipFill>
      <xdr:spPr bwMode="auto">
        <a:xfrm>
          <a:off x="1228725" y="4752498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2507</xdr:row>
      <xdr:rowOff>19050</xdr:rowOff>
    </xdr:from>
    <xdr:to>
      <xdr:col>2</xdr:col>
      <xdr:colOff>1733550</xdr:colOff>
      <xdr:row>2507</xdr:row>
      <xdr:rowOff>1666875</xdr:rowOff>
    </xdr:to>
    <xdr:pic>
      <xdr:nvPicPr>
        <xdr:cNvPr id="2506" name="Picture 2505"/>
        <xdr:cNvPicPr>
          <a:picLocks noChangeAspect="1" noChangeArrowheads="1"/>
        </xdr:cNvPicPr>
      </xdr:nvPicPr>
      <xdr:blipFill>
        <a:blip xmlns:r="http://schemas.openxmlformats.org/officeDocument/2006/relationships" r:embed="rId2503">
          <a:extLst>
            <a:ext uri="{28A0092B-C50C-407E-A947-70E740481C1C}">
              <a14:useLocalDpi xmlns:a14="http://schemas.microsoft.com/office/drawing/2010/main" val="0"/>
            </a:ext>
          </a:extLst>
        </a:blip>
        <a:srcRect/>
        <a:stretch>
          <a:fillRect/>
        </a:stretch>
      </xdr:blipFill>
      <xdr:spPr bwMode="auto">
        <a:xfrm>
          <a:off x="1228725" y="47544990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2508</xdr:row>
      <xdr:rowOff>19050</xdr:rowOff>
    </xdr:from>
    <xdr:to>
      <xdr:col>2</xdr:col>
      <xdr:colOff>1733550</xdr:colOff>
      <xdr:row>2508</xdr:row>
      <xdr:rowOff>1733550</xdr:rowOff>
    </xdr:to>
    <xdr:pic>
      <xdr:nvPicPr>
        <xdr:cNvPr id="2507" name="Picture 2506"/>
        <xdr:cNvPicPr>
          <a:picLocks noChangeAspect="1" noChangeArrowheads="1"/>
        </xdr:cNvPicPr>
      </xdr:nvPicPr>
      <xdr:blipFill>
        <a:blip xmlns:r="http://schemas.openxmlformats.org/officeDocument/2006/relationships" r:embed="rId2504">
          <a:extLst>
            <a:ext uri="{28A0092B-C50C-407E-A947-70E740481C1C}">
              <a14:useLocalDpi xmlns:a14="http://schemas.microsoft.com/office/drawing/2010/main" val="0"/>
            </a:ext>
          </a:extLst>
        </a:blip>
        <a:srcRect/>
        <a:stretch>
          <a:fillRect/>
        </a:stretch>
      </xdr:blipFill>
      <xdr:spPr bwMode="auto">
        <a:xfrm>
          <a:off x="1228725" y="4756413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2509</xdr:row>
      <xdr:rowOff>19050</xdr:rowOff>
    </xdr:from>
    <xdr:to>
      <xdr:col>2</xdr:col>
      <xdr:colOff>1733550</xdr:colOff>
      <xdr:row>2509</xdr:row>
      <xdr:rowOff>1733550</xdr:rowOff>
    </xdr:to>
    <xdr:pic>
      <xdr:nvPicPr>
        <xdr:cNvPr id="2508" name="Picture 2507"/>
        <xdr:cNvPicPr>
          <a:picLocks noChangeAspect="1" noChangeArrowheads="1"/>
        </xdr:cNvPicPr>
      </xdr:nvPicPr>
      <xdr:blipFill>
        <a:blip xmlns:r="http://schemas.openxmlformats.org/officeDocument/2006/relationships" r:embed="rId2505">
          <a:extLst>
            <a:ext uri="{28A0092B-C50C-407E-A947-70E740481C1C}">
              <a14:useLocalDpi xmlns:a14="http://schemas.microsoft.com/office/drawing/2010/main" val="0"/>
            </a:ext>
          </a:extLst>
        </a:blip>
        <a:srcRect/>
        <a:stretch>
          <a:fillRect/>
        </a:stretch>
      </xdr:blipFill>
      <xdr:spPr bwMode="auto">
        <a:xfrm>
          <a:off x="1228725" y="4758413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2510</xdr:row>
      <xdr:rowOff>19050</xdr:rowOff>
    </xdr:from>
    <xdr:to>
      <xdr:col>2</xdr:col>
      <xdr:colOff>1733550</xdr:colOff>
      <xdr:row>2510</xdr:row>
      <xdr:rowOff>1733550</xdr:rowOff>
    </xdr:to>
    <xdr:pic>
      <xdr:nvPicPr>
        <xdr:cNvPr id="2509" name="Picture 2508"/>
        <xdr:cNvPicPr>
          <a:picLocks noChangeAspect="1" noChangeArrowheads="1"/>
        </xdr:cNvPicPr>
      </xdr:nvPicPr>
      <xdr:blipFill>
        <a:blip xmlns:r="http://schemas.openxmlformats.org/officeDocument/2006/relationships" r:embed="rId2506">
          <a:extLst>
            <a:ext uri="{28A0092B-C50C-407E-A947-70E740481C1C}">
              <a14:useLocalDpi xmlns:a14="http://schemas.microsoft.com/office/drawing/2010/main" val="0"/>
            </a:ext>
          </a:extLst>
        </a:blip>
        <a:srcRect/>
        <a:stretch>
          <a:fillRect/>
        </a:stretch>
      </xdr:blipFill>
      <xdr:spPr bwMode="auto">
        <a:xfrm>
          <a:off x="1228725" y="4760414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2511</xdr:row>
      <xdr:rowOff>19050</xdr:rowOff>
    </xdr:from>
    <xdr:to>
      <xdr:col>2</xdr:col>
      <xdr:colOff>1733550</xdr:colOff>
      <xdr:row>2511</xdr:row>
      <xdr:rowOff>1733550</xdr:rowOff>
    </xdr:to>
    <xdr:pic>
      <xdr:nvPicPr>
        <xdr:cNvPr id="2510" name="Picture 2509"/>
        <xdr:cNvPicPr>
          <a:picLocks noChangeAspect="1" noChangeArrowheads="1"/>
        </xdr:cNvPicPr>
      </xdr:nvPicPr>
      <xdr:blipFill>
        <a:blip xmlns:r="http://schemas.openxmlformats.org/officeDocument/2006/relationships" r:embed="rId2507">
          <a:extLst>
            <a:ext uri="{28A0092B-C50C-407E-A947-70E740481C1C}">
              <a14:useLocalDpi xmlns:a14="http://schemas.microsoft.com/office/drawing/2010/main" val="0"/>
            </a:ext>
          </a:extLst>
        </a:blip>
        <a:srcRect/>
        <a:stretch>
          <a:fillRect/>
        </a:stretch>
      </xdr:blipFill>
      <xdr:spPr bwMode="auto">
        <a:xfrm>
          <a:off x="1228725" y="4762414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2512</xdr:row>
      <xdr:rowOff>19050</xdr:rowOff>
    </xdr:from>
    <xdr:to>
      <xdr:col>2</xdr:col>
      <xdr:colOff>1733550</xdr:colOff>
      <xdr:row>2512</xdr:row>
      <xdr:rowOff>1733550</xdr:rowOff>
    </xdr:to>
    <xdr:pic>
      <xdr:nvPicPr>
        <xdr:cNvPr id="2511" name="Picture 2510"/>
        <xdr:cNvPicPr>
          <a:picLocks noChangeAspect="1" noChangeArrowheads="1"/>
        </xdr:cNvPicPr>
      </xdr:nvPicPr>
      <xdr:blipFill>
        <a:blip xmlns:r="http://schemas.openxmlformats.org/officeDocument/2006/relationships" r:embed="rId2508">
          <a:extLst>
            <a:ext uri="{28A0092B-C50C-407E-A947-70E740481C1C}">
              <a14:useLocalDpi xmlns:a14="http://schemas.microsoft.com/office/drawing/2010/main" val="0"/>
            </a:ext>
          </a:extLst>
        </a:blip>
        <a:srcRect/>
        <a:stretch>
          <a:fillRect/>
        </a:stretch>
      </xdr:blipFill>
      <xdr:spPr bwMode="auto">
        <a:xfrm>
          <a:off x="1228725" y="4764414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2513</xdr:row>
      <xdr:rowOff>19050</xdr:rowOff>
    </xdr:from>
    <xdr:to>
      <xdr:col>2</xdr:col>
      <xdr:colOff>1733550</xdr:colOff>
      <xdr:row>2513</xdr:row>
      <xdr:rowOff>1666875</xdr:rowOff>
    </xdr:to>
    <xdr:pic>
      <xdr:nvPicPr>
        <xdr:cNvPr id="2512" name="Picture 2511"/>
        <xdr:cNvPicPr>
          <a:picLocks noChangeAspect="1" noChangeArrowheads="1"/>
        </xdr:cNvPicPr>
      </xdr:nvPicPr>
      <xdr:blipFill>
        <a:blip xmlns:r="http://schemas.openxmlformats.org/officeDocument/2006/relationships" r:embed="rId2509">
          <a:extLst>
            <a:ext uri="{28A0092B-C50C-407E-A947-70E740481C1C}">
              <a14:useLocalDpi xmlns:a14="http://schemas.microsoft.com/office/drawing/2010/main" val="0"/>
            </a:ext>
          </a:extLst>
        </a:blip>
        <a:srcRect/>
        <a:stretch>
          <a:fillRect/>
        </a:stretch>
      </xdr:blipFill>
      <xdr:spPr bwMode="auto">
        <a:xfrm>
          <a:off x="1228725" y="4766414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2514</xdr:row>
      <xdr:rowOff>9525</xdr:rowOff>
    </xdr:from>
    <xdr:to>
      <xdr:col>2</xdr:col>
      <xdr:colOff>1733550</xdr:colOff>
      <xdr:row>2514</xdr:row>
      <xdr:rowOff>1524000</xdr:rowOff>
    </xdr:to>
    <xdr:pic>
      <xdr:nvPicPr>
        <xdr:cNvPr id="2513" name="Picture 2512"/>
        <xdr:cNvPicPr>
          <a:picLocks noChangeAspect="1" noChangeArrowheads="1"/>
        </xdr:cNvPicPr>
      </xdr:nvPicPr>
      <xdr:blipFill>
        <a:blip xmlns:r="http://schemas.openxmlformats.org/officeDocument/2006/relationships" r:embed="rId2510">
          <a:extLst>
            <a:ext uri="{28A0092B-C50C-407E-A947-70E740481C1C}">
              <a14:useLocalDpi xmlns:a14="http://schemas.microsoft.com/office/drawing/2010/main" val="0"/>
            </a:ext>
          </a:extLst>
        </a:blip>
        <a:srcRect/>
        <a:stretch>
          <a:fillRect/>
        </a:stretch>
      </xdr:blipFill>
      <xdr:spPr bwMode="auto">
        <a:xfrm>
          <a:off x="1228725" y="4768319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2515</xdr:row>
      <xdr:rowOff>19050</xdr:rowOff>
    </xdr:from>
    <xdr:to>
      <xdr:col>2</xdr:col>
      <xdr:colOff>1733550</xdr:colOff>
      <xdr:row>2515</xdr:row>
      <xdr:rowOff>1733550</xdr:rowOff>
    </xdr:to>
    <xdr:pic>
      <xdr:nvPicPr>
        <xdr:cNvPr id="2514" name="Picture 2513"/>
        <xdr:cNvPicPr>
          <a:picLocks noChangeAspect="1" noChangeArrowheads="1"/>
        </xdr:cNvPicPr>
      </xdr:nvPicPr>
      <xdr:blipFill>
        <a:blip xmlns:r="http://schemas.openxmlformats.org/officeDocument/2006/relationships" r:embed="rId2511">
          <a:extLst>
            <a:ext uri="{28A0092B-C50C-407E-A947-70E740481C1C}">
              <a14:useLocalDpi xmlns:a14="http://schemas.microsoft.com/office/drawing/2010/main" val="0"/>
            </a:ext>
          </a:extLst>
        </a:blip>
        <a:srcRect/>
        <a:stretch>
          <a:fillRect/>
        </a:stretch>
      </xdr:blipFill>
      <xdr:spPr bwMode="auto">
        <a:xfrm>
          <a:off x="1228725" y="47700819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2516</xdr:row>
      <xdr:rowOff>19050</xdr:rowOff>
    </xdr:from>
    <xdr:to>
      <xdr:col>2</xdr:col>
      <xdr:colOff>1733550</xdr:colOff>
      <xdr:row>2516</xdr:row>
      <xdr:rowOff>1733550</xdr:rowOff>
    </xdr:to>
    <xdr:pic>
      <xdr:nvPicPr>
        <xdr:cNvPr id="2515" name="Picture 2514"/>
        <xdr:cNvPicPr>
          <a:picLocks noChangeAspect="1" noChangeArrowheads="1"/>
        </xdr:cNvPicPr>
      </xdr:nvPicPr>
      <xdr:blipFill>
        <a:blip xmlns:r="http://schemas.openxmlformats.org/officeDocument/2006/relationships" r:embed="rId2512">
          <a:extLst>
            <a:ext uri="{28A0092B-C50C-407E-A947-70E740481C1C}">
              <a14:useLocalDpi xmlns:a14="http://schemas.microsoft.com/office/drawing/2010/main" val="0"/>
            </a:ext>
          </a:extLst>
        </a:blip>
        <a:srcRect/>
        <a:stretch>
          <a:fillRect/>
        </a:stretch>
      </xdr:blipFill>
      <xdr:spPr bwMode="auto">
        <a:xfrm>
          <a:off x="1228725" y="47720821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2517</xdr:row>
      <xdr:rowOff>19050</xdr:rowOff>
    </xdr:from>
    <xdr:to>
      <xdr:col>2</xdr:col>
      <xdr:colOff>1733550</xdr:colOff>
      <xdr:row>2517</xdr:row>
      <xdr:rowOff>1733550</xdr:rowOff>
    </xdr:to>
    <xdr:pic>
      <xdr:nvPicPr>
        <xdr:cNvPr id="2516" name="Picture 2515"/>
        <xdr:cNvPicPr>
          <a:picLocks noChangeAspect="1" noChangeArrowheads="1"/>
        </xdr:cNvPicPr>
      </xdr:nvPicPr>
      <xdr:blipFill>
        <a:blip xmlns:r="http://schemas.openxmlformats.org/officeDocument/2006/relationships" r:embed="rId2513">
          <a:extLst>
            <a:ext uri="{28A0092B-C50C-407E-A947-70E740481C1C}">
              <a14:useLocalDpi xmlns:a14="http://schemas.microsoft.com/office/drawing/2010/main" val="0"/>
            </a:ext>
          </a:extLst>
        </a:blip>
        <a:srcRect/>
        <a:stretch>
          <a:fillRect/>
        </a:stretch>
      </xdr:blipFill>
      <xdr:spPr bwMode="auto">
        <a:xfrm>
          <a:off x="1228725" y="47740824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2518</xdr:row>
      <xdr:rowOff>9525</xdr:rowOff>
    </xdr:from>
    <xdr:to>
      <xdr:col>2</xdr:col>
      <xdr:colOff>1733550</xdr:colOff>
      <xdr:row>2518</xdr:row>
      <xdr:rowOff>1524000</xdr:rowOff>
    </xdr:to>
    <xdr:pic>
      <xdr:nvPicPr>
        <xdr:cNvPr id="2517" name="Picture 2516"/>
        <xdr:cNvPicPr>
          <a:picLocks noChangeAspect="1" noChangeArrowheads="1"/>
        </xdr:cNvPicPr>
      </xdr:nvPicPr>
      <xdr:blipFill>
        <a:blip xmlns:r="http://schemas.openxmlformats.org/officeDocument/2006/relationships" r:embed="rId2514">
          <a:extLst>
            <a:ext uri="{28A0092B-C50C-407E-A947-70E740481C1C}">
              <a14:useLocalDpi xmlns:a14="http://schemas.microsoft.com/office/drawing/2010/main" val="0"/>
            </a:ext>
          </a:extLst>
        </a:blip>
        <a:srcRect/>
        <a:stretch>
          <a:fillRect/>
        </a:stretch>
      </xdr:blipFill>
      <xdr:spPr bwMode="auto">
        <a:xfrm>
          <a:off x="1228725" y="47760731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2519</xdr:row>
      <xdr:rowOff>19050</xdr:rowOff>
    </xdr:from>
    <xdr:to>
      <xdr:col>2</xdr:col>
      <xdr:colOff>1733550</xdr:colOff>
      <xdr:row>2519</xdr:row>
      <xdr:rowOff>1666875</xdr:rowOff>
    </xdr:to>
    <xdr:pic>
      <xdr:nvPicPr>
        <xdr:cNvPr id="2518" name="Picture 2517"/>
        <xdr:cNvPicPr>
          <a:picLocks noChangeAspect="1" noChangeArrowheads="1"/>
        </xdr:cNvPicPr>
      </xdr:nvPicPr>
      <xdr:blipFill>
        <a:blip xmlns:r="http://schemas.openxmlformats.org/officeDocument/2006/relationships" r:embed="rId2515">
          <a:extLst>
            <a:ext uri="{28A0092B-C50C-407E-A947-70E740481C1C}">
              <a14:useLocalDpi xmlns:a14="http://schemas.microsoft.com/office/drawing/2010/main" val="0"/>
            </a:ext>
          </a:extLst>
        </a:blip>
        <a:srcRect/>
        <a:stretch>
          <a:fillRect/>
        </a:stretch>
      </xdr:blipFill>
      <xdr:spPr bwMode="auto">
        <a:xfrm>
          <a:off x="1228725" y="47778352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2520</xdr:row>
      <xdr:rowOff>19050</xdr:rowOff>
    </xdr:from>
    <xdr:to>
      <xdr:col>2</xdr:col>
      <xdr:colOff>1733550</xdr:colOff>
      <xdr:row>2520</xdr:row>
      <xdr:rowOff>1666875</xdr:rowOff>
    </xdr:to>
    <xdr:pic>
      <xdr:nvPicPr>
        <xdr:cNvPr id="2519" name="Picture 2518"/>
        <xdr:cNvPicPr>
          <a:picLocks noChangeAspect="1" noChangeArrowheads="1"/>
        </xdr:cNvPicPr>
      </xdr:nvPicPr>
      <xdr:blipFill>
        <a:blip xmlns:r="http://schemas.openxmlformats.org/officeDocument/2006/relationships" r:embed="rId2516">
          <a:extLst>
            <a:ext uri="{28A0092B-C50C-407E-A947-70E740481C1C}">
              <a14:useLocalDpi xmlns:a14="http://schemas.microsoft.com/office/drawing/2010/main" val="0"/>
            </a:ext>
          </a:extLst>
        </a:blip>
        <a:srcRect/>
        <a:stretch>
          <a:fillRect/>
        </a:stretch>
      </xdr:blipFill>
      <xdr:spPr bwMode="auto">
        <a:xfrm>
          <a:off x="1228725" y="47797497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2521</xdr:row>
      <xdr:rowOff>19050</xdr:rowOff>
    </xdr:from>
    <xdr:to>
      <xdr:col>2</xdr:col>
      <xdr:colOff>1733550</xdr:colOff>
      <xdr:row>2521</xdr:row>
      <xdr:rowOff>1733550</xdr:rowOff>
    </xdr:to>
    <xdr:pic>
      <xdr:nvPicPr>
        <xdr:cNvPr id="2520" name="Picture 2519"/>
        <xdr:cNvPicPr>
          <a:picLocks noChangeAspect="1" noChangeArrowheads="1"/>
        </xdr:cNvPicPr>
      </xdr:nvPicPr>
      <xdr:blipFill>
        <a:blip xmlns:r="http://schemas.openxmlformats.org/officeDocument/2006/relationships" r:embed="rId2517">
          <a:extLst>
            <a:ext uri="{28A0092B-C50C-407E-A947-70E740481C1C}">
              <a14:useLocalDpi xmlns:a14="http://schemas.microsoft.com/office/drawing/2010/main" val="0"/>
            </a:ext>
          </a:extLst>
        </a:blip>
        <a:srcRect/>
        <a:stretch>
          <a:fillRect/>
        </a:stretch>
      </xdr:blipFill>
      <xdr:spPr bwMode="auto">
        <a:xfrm>
          <a:off x="1228725" y="47816643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2522</xdr:row>
      <xdr:rowOff>9525</xdr:rowOff>
    </xdr:from>
    <xdr:to>
      <xdr:col>2</xdr:col>
      <xdr:colOff>1733550</xdr:colOff>
      <xdr:row>2522</xdr:row>
      <xdr:rowOff>1524000</xdr:rowOff>
    </xdr:to>
    <xdr:pic>
      <xdr:nvPicPr>
        <xdr:cNvPr id="2521" name="Picture 2520"/>
        <xdr:cNvPicPr>
          <a:picLocks noChangeAspect="1" noChangeArrowheads="1"/>
        </xdr:cNvPicPr>
      </xdr:nvPicPr>
      <xdr:blipFill>
        <a:blip xmlns:r="http://schemas.openxmlformats.org/officeDocument/2006/relationships" r:embed="rId2518">
          <a:extLst>
            <a:ext uri="{28A0092B-C50C-407E-A947-70E740481C1C}">
              <a14:useLocalDpi xmlns:a14="http://schemas.microsoft.com/office/drawing/2010/main" val="0"/>
            </a:ext>
          </a:extLst>
        </a:blip>
        <a:srcRect/>
        <a:stretch>
          <a:fillRect/>
        </a:stretch>
      </xdr:blipFill>
      <xdr:spPr bwMode="auto">
        <a:xfrm>
          <a:off x="1228725" y="47836550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2523</xdr:row>
      <xdr:rowOff>19050</xdr:rowOff>
    </xdr:from>
    <xdr:to>
      <xdr:col>2</xdr:col>
      <xdr:colOff>1733550</xdr:colOff>
      <xdr:row>2523</xdr:row>
      <xdr:rowOff>1666875</xdr:rowOff>
    </xdr:to>
    <xdr:pic>
      <xdr:nvPicPr>
        <xdr:cNvPr id="2522" name="Picture 2521"/>
        <xdr:cNvPicPr>
          <a:picLocks noChangeAspect="1" noChangeArrowheads="1"/>
        </xdr:cNvPicPr>
      </xdr:nvPicPr>
      <xdr:blipFill>
        <a:blip xmlns:r="http://schemas.openxmlformats.org/officeDocument/2006/relationships" r:embed="rId2519">
          <a:extLst>
            <a:ext uri="{28A0092B-C50C-407E-A947-70E740481C1C}">
              <a14:useLocalDpi xmlns:a14="http://schemas.microsoft.com/office/drawing/2010/main" val="0"/>
            </a:ext>
          </a:extLst>
        </a:blip>
        <a:srcRect/>
        <a:stretch>
          <a:fillRect/>
        </a:stretch>
      </xdr:blipFill>
      <xdr:spPr bwMode="auto">
        <a:xfrm>
          <a:off x="1228725" y="47854171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2524</xdr:row>
      <xdr:rowOff>19050</xdr:rowOff>
    </xdr:from>
    <xdr:to>
      <xdr:col>2</xdr:col>
      <xdr:colOff>1733550</xdr:colOff>
      <xdr:row>2524</xdr:row>
      <xdr:rowOff>1733550</xdr:rowOff>
    </xdr:to>
    <xdr:pic>
      <xdr:nvPicPr>
        <xdr:cNvPr id="2523" name="Picture 2522"/>
        <xdr:cNvPicPr>
          <a:picLocks noChangeAspect="1" noChangeArrowheads="1"/>
        </xdr:cNvPicPr>
      </xdr:nvPicPr>
      <xdr:blipFill>
        <a:blip xmlns:r="http://schemas.openxmlformats.org/officeDocument/2006/relationships" r:embed="rId2520">
          <a:extLst>
            <a:ext uri="{28A0092B-C50C-407E-A947-70E740481C1C}">
              <a14:useLocalDpi xmlns:a14="http://schemas.microsoft.com/office/drawing/2010/main" val="0"/>
            </a:ext>
          </a:extLst>
        </a:blip>
        <a:srcRect/>
        <a:stretch>
          <a:fillRect/>
        </a:stretch>
      </xdr:blipFill>
      <xdr:spPr bwMode="auto">
        <a:xfrm>
          <a:off x="1228725" y="47873316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2525</xdr:row>
      <xdr:rowOff>19050</xdr:rowOff>
    </xdr:from>
    <xdr:to>
      <xdr:col>2</xdr:col>
      <xdr:colOff>1733550</xdr:colOff>
      <xdr:row>2525</xdr:row>
      <xdr:rowOff>1733550</xdr:rowOff>
    </xdr:to>
    <xdr:pic>
      <xdr:nvPicPr>
        <xdr:cNvPr id="2524" name="Picture 2523"/>
        <xdr:cNvPicPr>
          <a:picLocks noChangeAspect="1" noChangeArrowheads="1"/>
        </xdr:cNvPicPr>
      </xdr:nvPicPr>
      <xdr:blipFill>
        <a:blip xmlns:r="http://schemas.openxmlformats.org/officeDocument/2006/relationships" r:embed="rId2521">
          <a:extLst>
            <a:ext uri="{28A0092B-C50C-407E-A947-70E740481C1C}">
              <a14:useLocalDpi xmlns:a14="http://schemas.microsoft.com/office/drawing/2010/main" val="0"/>
            </a:ext>
          </a:extLst>
        </a:blip>
        <a:srcRect/>
        <a:stretch>
          <a:fillRect/>
        </a:stretch>
      </xdr:blipFill>
      <xdr:spPr bwMode="auto">
        <a:xfrm>
          <a:off x="1228725" y="47893319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2526</xdr:row>
      <xdr:rowOff>19050</xdr:rowOff>
    </xdr:from>
    <xdr:to>
      <xdr:col>2</xdr:col>
      <xdr:colOff>1733550</xdr:colOff>
      <xdr:row>2526</xdr:row>
      <xdr:rowOff>1733550</xdr:rowOff>
    </xdr:to>
    <xdr:pic>
      <xdr:nvPicPr>
        <xdr:cNvPr id="2525" name="Picture 2524"/>
        <xdr:cNvPicPr>
          <a:picLocks noChangeAspect="1" noChangeArrowheads="1"/>
        </xdr:cNvPicPr>
      </xdr:nvPicPr>
      <xdr:blipFill>
        <a:blip xmlns:r="http://schemas.openxmlformats.org/officeDocument/2006/relationships" r:embed="rId2522">
          <a:extLst>
            <a:ext uri="{28A0092B-C50C-407E-A947-70E740481C1C}">
              <a14:useLocalDpi xmlns:a14="http://schemas.microsoft.com/office/drawing/2010/main" val="0"/>
            </a:ext>
          </a:extLst>
        </a:blip>
        <a:srcRect/>
        <a:stretch>
          <a:fillRect/>
        </a:stretch>
      </xdr:blipFill>
      <xdr:spPr bwMode="auto">
        <a:xfrm>
          <a:off x="1228725" y="47913321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2527</xdr:row>
      <xdr:rowOff>19050</xdr:rowOff>
    </xdr:from>
    <xdr:to>
      <xdr:col>2</xdr:col>
      <xdr:colOff>1733550</xdr:colOff>
      <xdr:row>2527</xdr:row>
      <xdr:rowOff>1647825</xdr:rowOff>
    </xdr:to>
    <xdr:pic>
      <xdr:nvPicPr>
        <xdr:cNvPr id="2526" name="Picture 2525"/>
        <xdr:cNvPicPr>
          <a:picLocks noChangeAspect="1" noChangeArrowheads="1"/>
        </xdr:cNvPicPr>
      </xdr:nvPicPr>
      <xdr:blipFill>
        <a:blip xmlns:r="http://schemas.openxmlformats.org/officeDocument/2006/relationships" r:embed="rId2523">
          <a:extLst>
            <a:ext uri="{28A0092B-C50C-407E-A947-70E740481C1C}">
              <a14:useLocalDpi xmlns:a14="http://schemas.microsoft.com/office/drawing/2010/main" val="0"/>
            </a:ext>
          </a:extLst>
        </a:blip>
        <a:srcRect/>
        <a:stretch>
          <a:fillRect/>
        </a:stretch>
      </xdr:blipFill>
      <xdr:spPr bwMode="auto">
        <a:xfrm>
          <a:off x="1228725" y="47933324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2528</xdr:row>
      <xdr:rowOff>19050</xdr:rowOff>
    </xdr:from>
    <xdr:to>
      <xdr:col>2</xdr:col>
      <xdr:colOff>1733550</xdr:colOff>
      <xdr:row>2528</xdr:row>
      <xdr:rowOff>1666875</xdr:rowOff>
    </xdr:to>
    <xdr:pic>
      <xdr:nvPicPr>
        <xdr:cNvPr id="2527" name="Picture 2526"/>
        <xdr:cNvPicPr>
          <a:picLocks noChangeAspect="1" noChangeArrowheads="1"/>
        </xdr:cNvPicPr>
      </xdr:nvPicPr>
      <xdr:blipFill>
        <a:blip xmlns:r="http://schemas.openxmlformats.org/officeDocument/2006/relationships" r:embed="rId2524">
          <a:extLst>
            <a:ext uri="{28A0092B-C50C-407E-A947-70E740481C1C}">
              <a14:useLocalDpi xmlns:a14="http://schemas.microsoft.com/office/drawing/2010/main" val="0"/>
            </a:ext>
          </a:extLst>
        </a:blip>
        <a:srcRect/>
        <a:stretch>
          <a:fillRect/>
        </a:stretch>
      </xdr:blipFill>
      <xdr:spPr bwMode="auto">
        <a:xfrm>
          <a:off x="1228725" y="47952279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2529</xdr:row>
      <xdr:rowOff>19050</xdr:rowOff>
    </xdr:from>
    <xdr:to>
      <xdr:col>2</xdr:col>
      <xdr:colOff>1733550</xdr:colOff>
      <xdr:row>2529</xdr:row>
      <xdr:rowOff>1733550</xdr:rowOff>
    </xdr:to>
    <xdr:pic>
      <xdr:nvPicPr>
        <xdr:cNvPr id="2528" name="Picture 2527"/>
        <xdr:cNvPicPr>
          <a:picLocks noChangeAspect="1" noChangeArrowheads="1"/>
        </xdr:cNvPicPr>
      </xdr:nvPicPr>
      <xdr:blipFill>
        <a:blip xmlns:r="http://schemas.openxmlformats.org/officeDocument/2006/relationships" r:embed="rId2525">
          <a:extLst>
            <a:ext uri="{28A0092B-C50C-407E-A947-70E740481C1C}">
              <a14:useLocalDpi xmlns:a14="http://schemas.microsoft.com/office/drawing/2010/main" val="0"/>
            </a:ext>
          </a:extLst>
        </a:blip>
        <a:srcRect/>
        <a:stretch>
          <a:fillRect/>
        </a:stretch>
      </xdr:blipFill>
      <xdr:spPr bwMode="auto">
        <a:xfrm>
          <a:off x="1228725" y="47971424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2530</xdr:row>
      <xdr:rowOff>9525</xdr:rowOff>
    </xdr:from>
    <xdr:to>
      <xdr:col>2</xdr:col>
      <xdr:colOff>1733550</xdr:colOff>
      <xdr:row>2530</xdr:row>
      <xdr:rowOff>1524000</xdr:rowOff>
    </xdr:to>
    <xdr:pic>
      <xdr:nvPicPr>
        <xdr:cNvPr id="2529" name="Picture 2528"/>
        <xdr:cNvPicPr>
          <a:picLocks noChangeAspect="1" noChangeArrowheads="1"/>
        </xdr:cNvPicPr>
      </xdr:nvPicPr>
      <xdr:blipFill>
        <a:blip xmlns:r="http://schemas.openxmlformats.org/officeDocument/2006/relationships" r:embed="rId2526">
          <a:extLst>
            <a:ext uri="{28A0092B-C50C-407E-A947-70E740481C1C}">
              <a14:useLocalDpi xmlns:a14="http://schemas.microsoft.com/office/drawing/2010/main" val="0"/>
            </a:ext>
          </a:extLst>
        </a:blip>
        <a:srcRect/>
        <a:stretch>
          <a:fillRect/>
        </a:stretch>
      </xdr:blipFill>
      <xdr:spPr bwMode="auto">
        <a:xfrm>
          <a:off x="1228725" y="479913315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2531</xdr:row>
      <xdr:rowOff>19050</xdr:rowOff>
    </xdr:from>
    <xdr:to>
      <xdr:col>2</xdr:col>
      <xdr:colOff>1733550</xdr:colOff>
      <xdr:row>2531</xdr:row>
      <xdr:rowOff>1733550</xdr:rowOff>
    </xdr:to>
    <xdr:pic>
      <xdr:nvPicPr>
        <xdr:cNvPr id="2530" name="Picture 2529"/>
        <xdr:cNvPicPr>
          <a:picLocks noChangeAspect="1" noChangeArrowheads="1"/>
        </xdr:cNvPicPr>
      </xdr:nvPicPr>
      <xdr:blipFill>
        <a:blip xmlns:r="http://schemas.openxmlformats.org/officeDocument/2006/relationships" r:embed="rId2527">
          <a:extLst>
            <a:ext uri="{28A0092B-C50C-407E-A947-70E740481C1C}">
              <a14:useLocalDpi xmlns:a14="http://schemas.microsoft.com/office/drawing/2010/main" val="0"/>
            </a:ext>
          </a:extLst>
        </a:blip>
        <a:srcRect/>
        <a:stretch>
          <a:fillRect/>
        </a:stretch>
      </xdr:blipFill>
      <xdr:spPr bwMode="auto">
        <a:xfrm>
          <a:off x="1228725" y="4800895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2532</xdr:row>
      <xdr:rowOff>19050</xdr:rowOff>
    </xdr:from>
    <xdr:to>
      <xdr:col>2</xdr:col>
      <xdr:colOff>1733550</xdr:colOff>
      <xdr:row>2532</xdr:row>
      <xdr:rowOff>1733550</xdr:rowOff>
    </xdr:to>
    <xdr:pic>
      <xdr:nvPicPr>
        <xdr:cNvPr id="2531" name="Picture 2530"/>
        <xdr:cNvPicPr>
          <a:picLocks noChangeAspect="1" noChangeArrowheads="1"/>
        </xdr:cNvPicPr>
      </xdr:nvPicPr>
      <xdr:blipFill>
        <a:blip xmlns:r="http://schemas.openxmlformats.org/officeDocument/2006/relationships" r:embed="rId2528">
          <a:extLst>
            <a:ext uri="{28A0092B-C50C-407E-A947-70E740481C1C}">
              <a14:useLocalDpi xmlns:a14="http://schemas.microsoft.com/office/drawing/2010/main" val="0"/>
            </a:ext>
          </a:extLst>
        </a:blip>
        <a:srcRect/>
        <a:stretch>
          <a:fillRect/>
        </a:stretch>
      </xdr:blipFill>
      <xdr:spPr bwMode="auto">
        <a:xfrm>
          <a:off x="1228725" y="4802895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2533</xdr:row>
      <xdr:rowOff>19050</xdr:rowOff>
    </xdr:from>
    <xdr:to>
      <xdr:col>2</xdr:col>
      <xdr:colOff>1733550</xdr:colOff>
      <xdr:row>2533</xdr:row>
      <xdr:rowOff>1733550</xdr:rowOff>
    </xdr:to>
    <xdr:pic>
      <xdr:nvPicPr>
        <xdr:cNvPr id="2532" name="Picture 2531"/>
        <xdr:cNvPicPr>
          <a:picLocks noChangeAspect="1" noChangeArrowheads="1"/>
        </xdr:cNvPicPr>
      </xdr:nvPicPr>
      <xdr:blipFill>
        <a:blip xmlns:r="http://schemas.openxmlformats.org/officeDocument/2006/relationships" r:embed="rId2529">
          <a:extLst>
            <a:ext uri="{28A0092B-C50C-407E-A947-70E740481C1C}">
              <a14:useLocalDpi xmlns:a14="http://schemas.microsoft.com/office/drawing/2010/main" val="0"/>
            </a:ext>
          </a:extLst>
        </a:blip>
        <a:srcRect/>
        <a:stretch>
          <a:fillRect/>
        </a:stretch>
      </xdr:blipFill>
      <xdr:spPr bwMode="auto">
        <a:xfrm>
          <a:off x="1228725" y="4804895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2534</xdr:row>
      <xdr:rowOff>19050</xdr:rowOff>
    </xdr:from>
    <xdr:to>
      <xdr:col>2</xdr:col>
      <xdr:colOff>1733550</xdr:colOff>
      <xdr:row>2534</xdr:row>
      <xdr:rowOff>1733550</xdr:rowOff>
    </xdr:to>
    <xdr:pic>
      <xdr:nvPicPr>
        <xdr:cNvPr id="2533" name="Picture 2532"/>
        <xdr:cNvPicPr>
          <a:picLocks noChangeAspect="1" noChangeArrowheads="1"/>
        </xdr:cNvPicPr>
      </xdr:nvPicPr>
      <xdr:blipFill>
        <a:blip xmlns:r="http://schemas.openxmlformats.org/officeDocument/2006/relationships" r:embed="rId2530">
          <a:extLst>
            <a:ext uri="{28A0092B-C50C-407E-A947-70E740481C1C}">
              <a14:useLocalDpi xmlns:a14="http://schemas.microsoft.com/office/drawing/2010/main" val="0"/>
            </a:ext>
          </a:extLst>
        </a:blip>
        <a:srcRect/>
        <a:stretch>
          <a:fillRect/>
        </a:stretch>
      </xdr:blipFill>
      <xdr:spPr bwMode="auto">
        <a:xfrm>
          <a:off x="1228725" y="4806896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2535</xdr:row>
      <xdr:rowOff>19050</xdr:rowOff>
    </xdr:from>
    <xdr:to>
      <xdr:col>2</xdr:col>
      <xdr:colOff>1733550</xdr:colOff>
      <xdr:row>2535</xdr:row>
      <xdr:rowOff>1733550</xdr:rowOff>
    </xdr:to>
    <xdr:pic>
      <xdr:nvPicPr>
        <xdr:cNvPr id="2534" name="Picture 2533"/>
        <xdr:cNvPicPr>
          <a:picLocks noChangeAspect="1" noChangeArrowheads="1"/>
        </xdr:cNvPicPr>
      </xdr:nvPicPr>
      <xdr:blipFill>
        <a:blip xmlns:r="http://schemas.openxmlformats.org/officeDocument/2006/relationships" r:embed="rId2531">
          <a:extLst>
            <a:ext uri="{28A0092B-C50C-407E-A947-70E740481C1C}">
              <a14:useLocalDpi xmlns:a14="http://schemas.microsoft.com/office/drawing/2010/main" val="0"/>
            </a:ext>
          </a:extLst>
        </a:blip>
        <a:srcRect/>
        <a:stretch>
          <a:fillRect/>
        </a:stretch>
      </xdr:blipFill>
      <xdr:spPr bwMode="auto">
        <a:xfrm>
          <a:off x="1228725" y="48088962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2536</xdr:row>
      <xdr:rowOff>19050</xdr:rowOff>
    </xdr:from>
    <xdr:to>
      <xdr:col>2</xdr:col>
      <xdr:colOff>1733550</xdr:colOff>
      <xdr:row>2536</xdr:row>
      <xdr:rowOff>1733550</xdr:rowOff>
    </xdr:to>
    <xdr:pic>
      <xdr:nvPicPr>
        <xdr:cNvPr id="2535" name="Picture 2534"/>
        <xdr:cNvPicPr>
          <a:picLocks noChangeAspect="1" noChangeArrowheads="1"/>
        </xdr:cNvPicPr>
      </xdr:nvPicPr>
      <xdr:blipFill>
        <a:blip xmlns:r="http://schemas.openxmlformats.org/officeDocument/2006/relationships" r:embed="rId2532">
          <a:extLst>
            <a:ext uri="{28A0092B-C50C-407E-A947-70E740481C1C}">
              <a14:useLocalDpi xmlns:a14="http://schemas.microsoft.com/office/drawing/2010/main" val="0"/>
            </a:ext>
          </a:extLst>
        </a:blip>
        <a:srcRect/>
        <a:stretch>
          <a:fillRect/>
        </a:stretch>
      </xdr:blipFill>
      <xdr:spPr bwMode="auto">
        <a:xfrm>
          <a:off x="1228725" y="48108965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2537</xdr:row>
      <xdr:rowOff>19050</xdr:rowOff>
    </xdr:from>
    <xdr:to>
      <xdr:col>2</xdr:col>
      <xdr:colOff>1733550</xdr:colOff>
      <xdr:row>2537</xdr:row>
      <xdr:rowOff>1733550</xdr:rowOff>
    </xdr:to>
    <xdr:pic>
      <xdr:nvPicPr>
        <xdr:cNvPr id="2536" name="Picture 2535"/>
        <xdr:cNvPicPr>
          <a:picLocks noChangeAspect="1" noChangeArrowheads="1"/>
        </xdr:cNvPicPr>
      </xdr:nvPicPr>
      <xdr:blipFill>
        <a:blip xmlns:r="http://schemas.openxmlformats.org/officeDocument/2006/relationships" r:embed="rId2533">
          <a:extLst>
            <a:ext uri="{28A0092B-C50C-407E-A947-70E740481C1C}">
              <a14:useLocalDpi xmlns:a14="http://schemas.microsoft.com/office/drawing/2010/main" val="0"/>
            </a:ext>
          </a:extLst>
        </a:blip>
        <a:srcRect/>
        <a:stretch>
          <a:fillRect/>
        </a:stretch>
      </xdr:blipFill>
      <xdr:spPr bwMode="auto">
        <a:xfrm>
          <a:off x="1228725" y="48128967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2538</xdr:row>
      <xdr:rowOff>19050</xdr:rowOff>
    </xdr:from>
    <xdr:to>
      <xdr:col>2</xdr:col>
      <xdr:colOff>1733550</xdr:colOff>
      <xdr:row>2538</xdr:row>
      <xdr:rowOff>1733550</xdr:rowOff>
    </xdr:to>
    <xdr:pic>
      <xdr:nvPicPr>
        <xdr:cNvPr id="2537" name="Picture 2536"/>
        <xdr:cNvPicPr>
          <a:picLocks noChangeAspect="1" noChangeArrowheads="1"/>
        </xdr:cNvPicPr>
      </xdr:nvPicPr>
      <xdr:blipFill>
        <a:blip xmlns:r="http://schemas.openxmlformats.org/officeDocument/2006/relationships" r:embed="rId2534">
          <a:extLst>
            <a:ext uri="{28A0092B-C50C-407E-A947-70E740481C1C}">
              <a14:useLocalDpi xmlns:a14="http://schemas.microsoft.com/office/drawing/2010/main" val="0"/>
            </a:ext>
          </a:extLst>
        </a:blip>
        <a:srcRect/>
        <a:stretch>
          <a:fillRect/>
        </a:stretch>
      </xdr:blipFill>
      <xdr:spPr bwMode="auto">
        <a:xfrm>
          <a:off x="1228725" y="48148970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2539</xdr:row>
      <xdr:rowOff>19050</xdr:rowOff>
    </xdr:from>
    <xdr:to>
      <xdr:col>2</xdr:col>
      <xdr:colOff>1733550</xdr:colOff>
      <xdr:row>2539</xdr:row>
      <xdr:rowOff>1666875</xdr:rowOff>
    </xdr:to>
    <xdr:pic>
      <xdr:nvPicPr>
        <xdr:cNvPr id="2538" name="Picture 2537"/>
        <xdr:cNvPicPr>
          <a:picLocks noChangeAspect="1" noChangeArrowheads="1"/>
        </xdr:cNvPicPr>
      </xdr:nvPicPr>
      <xdr:blipFill>
        <a:blip xmlns:r="http://schemas.openxmlformats.org/officeDocument/2006/relationships" r:embed="rId2535">
          <a:extLst>
            <a:ext uri="{28A0092B-C50C-407E-A947-70E740481C1C}">
              <a14:useLocalDpi xmlns:a14="http://schemas.microsoft.com/office/drawing/2010/main" val="0"/>
            </a:ext>
          </a:extLst>
        </a:blip>
        <a:srcRect/>
        <a:stretch>
          <a:fillRect/>
        </a:stretch>
      </xdr:blipFill>
      <xdr:spPr bwMode="auto">
        <a:xfrm>
          <a:off x="1228725" y="4816897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2540</xdr:row>
      <xdr:rowOff>19050</xdr:rowOff>
    </xdr:from>
    <xdr:to>
      <xdr:col>2</xdr:col>
      <xdr:colOff>1733550</xdr:colOff>
      <xdr:row>2540</xdr:row>
      <xdr:rowOff>1647825</xdr:rowOff>
    </xdr:to>
    <xdr:pic>
      <xdr:nvPicPr>
        <xdr:cNvPr id="2539" name="Picture 2538"/>
        <xdr:cNvPicPr>
          <a:picLocks noChangeAspect="1" noChangeArrowheads="1"/>
        </xdr:cNvPicPr>
      </xdr:nvPicPr>
      <xdr:blipFill>
        <a:blip xmlns:r="http://schemas.openxmlformats.org/officeDocument/2006/relationships" r:embed="rId2536">
          <a:extLst>
            <a:ext uri="{28A0092B-C50C-407E-A947-70E740481C1C}">
              <a14:useLocalDpi xmlns:a14="http://schemas.microsoft.com/office/drawing/2010/main" val="0"/>
            </a:ext>
          </a:extLst>
        </a:blip>
        <a:srcRect/>
        <a:stretch>
          <a:fillRect/>
        </a:stretch>
      </xdr:blipFill>
      <xdr:spPr bwMode="auto">
        <a:xfrm>
          <a:off x="1228725" y="48188118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2541</xdr:row>
      <xdr:rowOff>9525</xdr:rowOff>
    </xdr:from>
    <xdr:to>
      <xdr:col>2</xdr:col>
      <xdr:colOff>1733550</xdr:colOff>
      <xdr:row>2541</xdr:row>
      <xdr:rowOff>1571625</xdr:rowOff>
    </xdr:to>
    <xdr:pic>
      <xdr:nvPicPr>
        <xdr:cNvPr id="2540" name="Picture 2539"/>
        <xdr:cNvPicPr>
          <a:picLocks noChangeAspect="1" noChangeArrowheads="1"/>
        </xdr:cNvPicPr>
      </xdr:nvPicPr>
      <xdr:blipFill>
        <a:blip xmlns:r="http://schemas.openxmlformats.org/officeDocument/2006/relationships" r:embed="rId2537">
          <a:extLst>
            <a:ext uri="{28A0092B-C50C-407E-A947-70E740481C1C}">
              <a14:useLocalDpi xmlns:a14="http://schemas.microsoft.com/office/drawing/2010/main" val="0"/>
            </a:ext>
          </a:extLst>
        </a:blip>
        <a:srcRect/>
        <a:stretch>
          <a:fillRect/>
        </a:stretch>
      </xdr:blipFill>
      <xdr:spPr bwMode="auto">
        <a:xfrm>
          <a:off x="1228725" y="4820697750"/>
          <a:ext cx="1724025" cy="1562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2542</xdr:row>
      <xdr:rowOff>19050</xdr:rowOff>
    </xdr:from>
    <xdr:to>
      <xdr:col>2</xdr:col>
      <xdr:colOff>1733550</xdr:colOff>
      <xdr:row>2542</xdr:row>
      <xdr:rowOff>1666875</xdr:rowOff>
    </xdr:to>
    <xdr:pic>
      <xdr:nvPicPr>
        <xdr:cNvPr id="2541" name="Picture 2540"/>
        <xdr:cNvPicPr>
          <a:picLocks noChangeAspect="1" noChangeArrowheads="1"/>
        </xdr:cNvPicPr>
      </xdr:nvPicPr>
      <xdr:blipFill>
        <a:blip xmlns:r="http://schemas.openxmlformats.org/officeDocument/2006/relationships" r:embed="rId2538">
          <a:extLst>
            <a:ext uri="{28A0092B-C50C-407E-A947-70E740481C1C}">
              <a14:useLocalDpi xmlns:a14="http://schemas.microsoft.com/office/drawing/2010/main" val="0"/>
            </a:ext>
          </a:extLst>
        </a:blip>
        <a:srcRect/>
        <a:stretch>
          <a:fillRect/>
        </a:stretch>
      </xdr:blipFill>
      <xdr:spPr bwMode="auto">
        <a:xfrm>
          <a:off x="1228725" y="48225170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2543</xdr:row>
      <xdr:rowOff>19050</xdr:rowOff>
    </xdr:from>
    <xdr:to>
      <xdr:col>2</xdr:col>
      <xdr:colOff>1733550</xdr:colOff>
      <xdr:row>2543</xdr:row>
      <xdr:rowOff>1733550</xdr:rowOff>
    </xdr:to>
    <xdr:pic>
      <xdr:nvPicPr>
        <xdr:cNvPr id="2542" name="Picture 2541"/>
        <xdr:cNvPicPr>
          <a:picLocks noChangeAspect="1" noChangeArrowheads="1"/>
        </xdr:cNvPicPr>
      </xdr:nvPicPr>
      <xdr:blipFill>
        <a:blip xmlns:r="http://schemas.openxmlformats.org/officeDocument/2006/relationships" r:embed="rId2539">
          <a:extLst>
            <a:ext uri="{28A0092B-C50C-407E-A947-70E740481C1C}">
              <a14:useLocalDpi xmlns:a14="http://schemas.microsoft.com/office/drawing/2010/main" val="0"/>
            </a:ext>
          </a:extLst>
        </a:blip>
        <a:srcRect/>
        <a:stretch>
          <a:fillRect/>
        </a:stretch>
      </xdr:blipFill>
      <xdr:spPr bwMode="auto">
        <a:xfrm>
          <a:off x="1228725" y="48244315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2544</xdr:row>
      <xdr:rowOff>19050</xdr:rowOff>
    </xdr:from>
    <xdr:to>
      <xdr:col>2</xdr:col>
      <xdr:colOff>1733550</xdr:colOff>
      <xdr:row>2544</xdr:row>
      <xdr:rowOff>1666875</xdr:rowOff>
    </xdr:to>
    <xdr:pic>
      <xdr:nvPicPr>
        <xdr:cNvPr id="2543" name="Picture 2542"/>
        <xdr:cNvPicPr>
          <a:picLocks noChangeAspect="1" noChangeArrowheads="1"/>
        </xdr:cNvPicPr>
      </xdr:nvPicPr>
      <xdr:blipFill>
        <a:blip xmlns:r="http://schemas.openxmlformats.org/officeDocument/2006/relationships" r:embed="rId2540">
          <a:extLst>
            <a:ext uri="{28A0092B-C50C-407E-A947-70E740481C1C}">
              <a14:useLocalDpi xmlns:a14="http://schemas.microsoft.com/office/drawing/2010/main" val="0"/>
            </a:ext>
          </a:extLst>
        </a:blip>
        <a:srcRect/>
        <a:stretch>
          <a:fillRect/>
        </a:stretch>
      </xdr:blipFill>
      <xdr:spPr bwMode="auto">
        <a:xfrm>
          <a:off x="1228725" y="4826431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2545</xdr:row>
      <xdr:rowOff>19050</xdr:rowOff>
    </xdr:from>
    <xdr:to>
      <xdr:col>2</xdr:col>
      <xdr:colOff>1733550</xdr:colOff>
      <xdr:row>2545</xdr:row>
      <xdr:rowOff>1733550</xdr:rowOff>
    </xdr:to>
    <xdr:pic>
      <xdr:nvPicPr>
        <xdr:cNvPr id="2544" name="Picture 2543"/>
        <xdr:cNvPicPr>
          <a:picLocks noChangeAspect="1" noChangeArrowheads="1"/>
        </xdr:cNvPicPr>
      </xdr:nvPicPr>
      <xdr:blipFill>
        <a:blip xmlns:r="http://schemas.openxmlformats.org/officeDocument/2006/relationships" r:embed="rId2541">
          <a:extLst>
            <a:ext uri="{28A0092B-C50C-407E-A947-70E740481C1C}">
              <a14:useLocalDpi xmlns:a14="http://schemas.microsoft.com/office/drawing/2010/main" val="0"/>
            </a:ext>
          </a:extLst>
        </a:blip>
        <a:srcRect/>
        <a:stretch>
          <a:fillRect/>
        </a:stretch>
      </xdr:blipFill>
      <xdr:spPr bwMode="auto">
        <a:xfrm>
          <a:off x="1228725" y="48283463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2546</xdr:row>
      <xdr:rowOff>19050</xdr:rowOff>
    </xdr:from>
    <xdr:to>
      <xdr:col>2</xdr:col>
      <xdr:colOff>1733550</xdr:colOff>
      <xdr:row>2546</xdr:row>
      <xdr:rowOff>1685925</xdr:rowOff>
    </xdr:to>
    <xdr:pic>
      <xdr:nvPicPr>
        <xdr:cNvPr id="2545" name="Picture 2544"/>
        <xdr:cNvPicPr>
          <a:picLocks noChangeAspect="1" noChangeArrowheads="1"/>
        </xdr:cNvPicPr>
      </xdr:nvPicPr>
      <xdr:blipFill>
        <a:blip xmlns:r="http://schemas.openxmlformats.org/officeDocument/2006/relationships" r:embed="rId2542">
          <a:extLst>
            <a:ext uri="{28A0092B-C50C-407E-A947-70E740481C1C}">
              <a14:useLocalDpi xmlns:a14="http://schemas.microsoft.com/office/drawing/2010/main" val="0"/>
            </a:ext>
          </a:extLst>
        </a:blip>
        <a:srcRect/>
        <a:stretch>
          <a:fillRect/>
        </a:stretch>
      </xdr:blipFill>
      <xdr:spPr bwMode="auto">
        <a:xfrm>
          <a:off x="1228725" y="483034657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2547</xdr:row>
      <xdr:rowOff>19050</xdr:rowOff>
    </xdr:from>
    <xdr:to>
      <xdr:col>2</xdr:col>
      <xdr:colOff>1733550</xdr:colOff>
      <xdr:row>2547</xdr:row>
      <xdr:rowOff>1666875</xdr:rowOff>
    </xdr:to>
    <xdr:pic>
      <xdr:nvPicPr>
        <xdr:cNvPr id="2546" name="Picture 2545"/>
        <xdr:cNvPicPr>
          <a:picLocks noChangeAspect="1" noChangeArrowheads="1"/>
        </xdr:cNvPicPr>
      </xdr:nvPicPr>
      <xdr:blipFill>
        <a:blip xmlns:r="http://schemas.openxmlformats.org/officeDocument/2006/relationships" r:embed="rId2543">
          <a:extLst>
            <a:ext uri="{28A0092B-C50C-407E-A947-70E740481C1C}">
              <a14:useLocalDpi xmlns:a14="http://schemas.microsoft.com/office/drawing/2010/main" val="0"/>
            </a:ext>
          </a:extLst>
        </a:blip>
        <a:srcRect/>
        <a:stretch>
          <a:fillRect/>
        </a:stretch>
      </xdr:blipFill>
      <xdr:spPr bwMode="auto">
        <a:xfrm>
          <a:off x="1228725" y="48322896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2548</xdr:row>
      <xdr:rowOff>19050</xdr:rowOff>
    </xdr:from>
    <xdr:to>
      <xdr:col>2</xdr:col>
      <xdr:colOff>1733550</xdr:colOff>
      <xdr:row>2548</xdr:row>
      <xdr:rowOff>1733550</xdr:rowOff>
    </xdr:to>
    <xdr:pic>
      <xdr:nvPicPr>
        <xdr:cNvPr id="2547" name="Picture 2546"/>
        <xdr:cNvPicPr>
          <a:picLocks noChangeAspect="1" noChangeArrowheads="1"/>
        </xdr:cNvPicPr>
      </xdr:nvPicPr>
      <xdr:blipFill>
        <a:blip xmlns:r="http://schemas.openxmlformats.org/officeDocument/2006/relationships" r:embed="rId2544">
          <a:extLst>
            <a:ext uri="{28A0092B-C50C-407E-A947-70E740481C1C}">
              <a14:useLocalDpi xmlns:a14="http://schemas.microsoft.com/office/drawing/2010/main" val="0"/>
            </a:ext>
          </a:extLst>
        </a:blip>
        <a:srcRect/>
        <a:stretch>
          <a:fillRect/>
        </a:stretch>
      </xdr:blipFill>
      <xdr:spPr bwMode="auto">
        <a:xfrm>
          <a:off x="1228725" y="48342042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2549</xdr:row>
      <xdr:rowOff>19050</xdr:rowOff>
    </xdr:from>
    <xdr:to>
      <xdr:col>2</xdr:col>
      <xdr:colOff>1733550</xdr:colOff>
      <xdr:row>2549</xdr:row>
      <xdr:rowOff>1733550</xdr:rowOff>
    </xdr:to>
    <xdr:pic>
      <xdr:nvPicPr>
        <xdr:cNvPr id="2548" name="Picture 2547"/>
        <xdr:cNvPicPr>
          <a:picLocks noChangeAspect="1" noChangeArrowheads="1"/>
        </xdr:cNvPicPr>
      </xdr:nvPicPr>
      <xdr:blipFill>
        <a:blip xmlns:r="http://schemas.openxmlformats.org/officeDocument/2006/relationships" r:embed="rId2545">
          <a:extLst>
            <a:ext uri="{28A0092B-C50C-407E-A947-70E740481C1C}">
              <a14:useLocalDpi xmlns:a14="http://schemas.microsoft.com/office/drawing/2010/main" val="0"/>
            </a:ext>
          </a:extLst>
        </a:blip>
        <a:srcRect/>
        <a:stretch>
          <a:fillRect/>
        </a:stretch>
      </xdr:blipFill>
      <xdr:spPr bwMode="auto">
        <a:xfrm>
          <a:off x="1228725" y="48362044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2550</xdr:row>
      <xdr:rowOff>19050</xdr:rowOff>
    </xdr:from>
    <xdr:to>
      <xdr:col>2</xdr:col>
      <xdr:colOff>1733550</xdr:colOff>
      <xdr:row>2550</xdr:row>
      <xdr:rowOff>1733550</xdr:rowOff>
    </xdr:to>
    <xdr:pic>
      <xdr:nvPicPr>
        <xdr:cNvPr id="2549" name="Picture 2548"/>
        <xdr:cNvPicPr>
          <a:picLocks noChangeAspect="1" noChangeArrowheads="1"/>
        </xdr:cNvPicPr>
      </xdr:nvPicPr>
      <xdr:blipFill>
        <a:blip xmlns:r="http://schemas.openxmlformats.org/officeDocument/2006/relationships" r:embed="rId2546">
          <a:extLst>
            <a:ext uri="{28A0092B-C50C-407E-A947-70E740481C1C}">
              <a14:useLocalDpi xmlns:a14="http://schemas.microsoft.com/office/drawing/2010/main" val="0"/>
            </a:ext>
          </a:extLst>
        </a:blip>
        <a:srcRect/>
        <a:stretch>
          <a:fillRect/>
        </a:stretch>
      </xdr:blipFill>
      <xdr:spPr bwMode="auto">
        <a:xfrm>
          <a:off x="1228725" y="48382047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2551</xdr:row>
      <xdr:rowOff>19050</xdr:rowOff>
    </xdr:from>
    <xdr:to>
      <xdr:col>2</xdr:col>
      <xdr:colOff>1733550</xdr:colOff>
      <xdr:row>2551</xdr:row>
      <xdr:rowOff>1733550</xdr:rowOff>
    </xdr:to>
    <xdr:pic>
      <xdr:nvPicPr>
        <xdr:cNvPr id="2550" name="Picture 2549"/>
        <xdr:cNvPicPr>
          <a:picLocks noChangeAspect="1" noChangeArrowheads="1"/>
        </xdr:cNvPicPr>
      </xdr:nvPicPr>
      <xdr:blipFill>
        <a:blip xmlns:r="http://schemas.openxmlformats.org/officeDocument/2006/relationships" r:embed="rId2547">
          <a:extLst>
            <a:ext uri="{28A0092B-C50C-407E-A947-70E740481C1C}">
              <a14:useLocalDpi xmlns:a14="http://schemas.microsoft.com/office/drawing/2010/main" val="0"/>
            </a:ext>
          </a:extLst>
        </a:blip>
        <a:srcRect/>
        <a:stretch>
          <a:fillRect/>
        </a:stretch>
      </xdr:blipFill>
      <xdr:spPr bwMode="auto">
        <a:xfrm>
          <a:off x="1228725" y="48402049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2552</xdr:row>
      <xdr:rowOff>19050</xdr:rowOff>
    </xdr:from>
    <xdr:to>
      <xdr:col>2</xdr:col>
      <xdr:colOff>1733550</xdr:colOff>
      <xdr:row>2552</xdr:row>
      <xdr:rowOff>1733550</xdr:rowOff>
    </xdr:to>
    <xdr:pic>
      <xdr:nvPicPr>
        <xdr:cNvPr id="2551" name="Picture 2550"/>
        <xdr:cNvPicPr>
          <a:picLocks noChangeAspect="1" noChangeArrowheads="1"/>
        </xdr:cNvPicPr>
      </xdr:nvPicPr>
      <xdr:blipFill>
        <a:blip xmlns:r="http://schemas.openxmlformats.org/officeDocument/2006/relationships" r:embed="rId2548">
          <a:extLst>
            <a:ext uri="{28A0092B-C50C-407E-A947-70E740481C1C}">
              <a14:useLocalDpi xmlns:a14="http://schemas.microsoft.com/office/drawing/2010/main" val="0"/>
            </a:ext>
          </a:extLst>
        </a:blip>
        <a:srcRect/>
        <a:stretch>
          <a:fillRect/>
        </a:stretch>
      </xdr:blipFill>
      <xdr:spPr bwMode="auto">
        <a:xfrm>
          <a:off x="1228725" y="48422052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2553</xdr:row>
      <xdr:rowOff>19050</xdr:rowOff>
    </xdr:from>
    <xdr:to>
      <xdr:col>2</xdr:col>
      <xdr:colOff>1733550</xdr:colOff>
      <xdr:row>2553</xdr:row>
      <xdr:rowOff>1733550</xdr:rowOff>
    </xdr:to>
    <xdr:pic>
      <xdr:nvPicPr>
        <xdr:cNvPr id="2552" name="Picture 2551"/>
        <xdr:cNvPicPr>
          <a:picLocks noChangeAspect="1" noChangeArrowheads="1"/>
        </xdr:cNvPicPr>
      </xdr:nvPicPr>
      <xdr:blipFill>
        <a:blip xmlns:r="http://schemas.openxmlformats.org/officeDocument/2006/relationships" r:embed="rId2549">
          <a:extLst>
            <a:ext uri="{28A0092B-C50C-407E-A947-70E740481C1C}">
              <a14:useLocalDpi xmlns:a14="http://schemas.microsoft.com/office/drawing/2010/main" val="0"/>
            </a:ext>
          </a:extLst>
        </a:blip>
        <a:srcRect/>
        <a:stretch>
          <a:fillRect/>
        </a:stretch>
      </xdr:blipFill>
      <xdr:spPr bwMode="auto">
        <a:xfrm>
          <a:off x="1228725" y="48442054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2554</xdr:row>
      <xdr:rowOff>19050</xdr:rowOff>
    </xdr:from>
    <xdr:to>
      <xdr:col>2</xdr:col>
      <xdr:colOff>1733550</xdr:colOff>
      <xdr:row>2554</xdr:row>
      <xdr:rowOff>1733550</xdr:rowOff>
    </xdr:to>
    <xdr:pic>
      <xdr:nvPicPr>
        <xdr:cNvPr id="2553" name="Picture 2552"/>
        <xdr:cNvPicPr>
          <a:picLocks noChangeAspect="1" noChangeArrowheads="1"/>
        </xdr:cNvPicPr>
      </xdr:nvPicPr>
      <xdr:blipFill>
        <a:blip xmlns:r="http://schemas.openxmlformats.org/officeDocument/2006/relationships" r:embed="rId2550">
          <a:extLst>
            <a:ext uri="{28A0092B-C50C-407E-A947-70E740481C1C}">
              <a14:useLocalDpi xmlns:a14="http://schemas.microsoft.com/office/drawing/2010/main" val="0"/>
            </a:ext>
          </a:extLst>
        </a:blip>
        <a:srcRect/>
        <a:stretch>
          <a:fillRect/>
        </a:stretch>
      </xdr:blipFill>
      <xdr:spPr bwMode="auto">
        <a:xfrm>
          <a:off x="1228725" y="48462057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2555</xdr:row>
      <xdr:rowOff>19050</xdr:rowOff>
    </xdr:from>
    <xdr:to>
      <xdr:col>2</xdr:col>
      <xdr:colOff>1733550</xdr:colOff>
      <xdr:row>2555</xdr:row>
      <xdr:rowOff>1733550</xdr:rowOff>
    </xdr:to>
    <xdr:pic>
      <xdr:nvPicPr>
        <xdr:cNvPr id="2554" name="Picture 2553"/>
        <xdr:cNvPicPr>
          <a:picLocks noChangeAspect="1" noChangeArrowheads="1"/>
        </xdr:cNvPicPr>
      </xdr:nvPicPr>
      <xdr:blipFill>
        <a:blip xmlns:r="http://schemas.openxmlformats.org/officeDocument/2006/relationships" r:embed="rId2551">
          <a:extLst>
            <a:ext uri="{28A0092B-C50C-407E-A947-70E740481C1C}">
              <a14:useLocalDpi xmlns:a14="http://schemas.microsoft.com/office/drawing/2010/main" val="0"/>
            </a:ext>
          </a:extLst>
        </a:blip>
        <a:srcRect/>
        <a:stretch>
          <a:fillRect/>
        </a:stretch>
      </xdr:blipFill>
      <xdr:spPr bwMode="auto">
        <a:xfrm>
          <a:off x="1228725" y="48482059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2556</xdr:row>
      <xdr:rowOff>19050</xdr:rowOff>
    </xdr:from>
    <xdr:to>
      <xdr:col>2</xdr:col>
      <xdr:colOff>1733550</xdr:colOff>
      <xdr:row>2556</xdr:row>
      <xdr:rowOff>1733550</xdr:rowOff>
    </xdr:to>
    <xdr:pic>
      <xdr:nvPicPr>
        <xdr:cNvPr id="2555" name="Picture 2554"/>
        <xdr:cNvPicPr>
          <a:picLocks noChangeAspect="1" noChangeArrowheads="1"/>
        </xdr:cNvPicPr>
      </xdr:nvPicPr>
      <xdr:blipFill>
        <a:blip xmlns:r="http://schemas.openxmlformats.org/officeDocument/2006/relationships" r:embed="rId2552">
          <a:extLst>
            <a:ext uri="{28A0092B-C50C-407E-A947-70E740481C1C}">
              <a14:useLocalDpi xmlns:a14="http://schemas.microsoft.com/office/drawing/2010/main" val="0"/>
            </a:ext>
          </a:extLst>
        </a:blip>
        <a:srcRect/>
        <a:stretch>
          <a:fillRect/>
        </a:stretch>
      </xdr:blipFill>
      <xdr:spPr bwMode="auto">
        <a:xfrm>
          <a:off x="1228725" y="48502062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2557</xdr:row>
      <xdr:rowOff>19050</xdr:rowOff>
    </xdr:from>
    <xdr:to>
      <xdr:col>2</xdr:col>
      <xdr:colOff>1733550</xdr:colOff>
      <xdr:row>2557</xdr:row>
      <xdr:rowOff>1666875</xdr:rowOff>
    </xdr:to>
    <xdr:pic>
      <xdr:nvPicPr>
        <xdr:cNvPr id="2556" name="Picture 2555"/>
        <xdr:cNvPicPr>
          <a:picLocks noChangeAspect="1" noChangeArrowheads="1"/>
        </xdr:cNvPicPr>
      </xdr:nvPicPr>
      <xdr:blipFill>
        <a:blip xmlns:r="http://schemas.openxmlformats.org/officeDocument/2006/relationships" r:embed="rId2553">
          <a:extLst>
            <a:ext uri="{28A0092B-C50C-407E-A947-70E740481C1C}">
              <a14:useLocalDpi xmlns:a14="http://schemas.microsoft.com/office/drawing/2010/main" val="0"/>
            </a:ext>
          </a:extLst>
        </a:blip>
        <a:srcRect/>
        <a:stretch>
          <a:fillRect/>
        </a:stretch>
      </xdr:blipFill>
      <xdr:spPr bwMode="auto">
        <a:xfrm>
          <a:off x="1228725" y="48522064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2558</xdr:row>
      <xdr:rowOff>19050</xdr:rowOff>
    </xdr:from>
    <xdr:to>
      <xdr:col>2</xdr:col>
      <xdr:colOff>1733550</xdr:colOff>
      <xdr:row>2558</xdr:row>
      <xdr:rowOff>1733550</xdr:rowOff>
    </xdr:to>
    <xdr:pic>
      <xdr:nvPicPr>
        <xdr:cNvPr id="2557" name="Picture 2556"/>
        <xdr:cNvPicPr>
          <a:picLocks noChangeAspect="1" noChangeArrowheads="1"/>
        </xdr:cNvPicPr>
      </xdr:nvPicPr>
      <xdr:blipFill>
        <a:blip xmlns:r="http://schemas.openxmlformats.org/officeDocument/2006/relationships" r:embed="rId2554">
          <a:extLst>
            <a:ext uri="{28A0092B-C50C-407E-A947-70E740481C1C}">
              <a14:useLocalDpi xmlns:a14="http://schemas.microsoft.com/office/drawing/2010/main" val="0"/>
            </a:ext>
          </a:extLst>
        </a:blip>
        <a:srcRect/>
        <a:stretch>
          <a:fillRect/>
        </a:stretch>
      </xdr:blipFill>
      <xdr:spPr bwMode="auto">
        <a:xfrm>
          <a:off x="1228725" y="48541209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2559</xdr:row>
      <xdr:rowOff>19050</xdr:rowOff>
    </xdr:from>
    <xdr:to>
      <xdr:col>2</xdr:col>
      <xdr:colOff>1733550</xdr:colOff>
      <xdr:row>2559</xdr:row>
      <xdr:rowOff>1733550</xdr:rowOff>
    </xdr:to>
    <xdr:pic>
      <xdr:nvPicPr>
        <xdr:cNvPr id="2558" name="Picture 2557"/>
        <xdr:cNvPicPr>
          <a:picLocks noChangeAspect="1" noChangeArrowheads="1"/>
        </xdr:cNvPicPr>
      </xdr:nvPicPr>
      <xdr:blipFill>
        <a:blip xmlns:r="http://schemas.openxmlformats.org/officeDocument/2006/relationships" r:embed="rId2555">
          <a:extLst>
            <a:ext uri="{28A0092B-C50C-407E-A947-70E740481C1C}">
              <a14:useLocalDpi xmlns:a14="http://schemas.microsoft.com/office/drawing/2010/main" val="0"/>
            </a:ext>
          </a:extLst>
        </a:blip>
        <a:srcRect/>
        <a:stretch>
          <a:fillRect/>
        </a:stretch>
      </xdr:blipFill>
      <xdr:spPr bwMode="auto">
        <a:xfrm>
          <a:off x="1228725" y="48561212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2560</xdr:row>
      <xdr:rowOff>19050</xdr:rowOff>
    </xdr:from>
    <xdr:to>
      <xdr:col>2</xdr:col>
      <xdr:colOff>1733550</xdr:colOff>
      <xdr:row>2560</xdr:row>
      <xdr:rowOff>1733550</xdr:rowOff>
    </xdr:to>
    <xdr:pic>
      <xdr:nvPicPr>
        <xdr:cNvPr id="2559" name="Picture 2558"/>
        <xdr:cNvPicPr>
          <a:picLocks noChangeAspect="1" noChangeArrowheads="1"/>
        </xdr:cNvPicPr>
      </xdr:nvPicPr>
      <xdr:blipFill>
        <a:blip xmlns:r="http://schemas.openxmlformats.org/officeDocument/2006/relationships" r:embed="rId2556">
          <a:extLst>
            <a:ext uri="{28A0092B-C50C-407E-A947-70E740481C1C}">
              <a14:useLocalDpi xmlns:a14="http://schemas.microsoft.com/office/drawing/2010/main" val="0"/>
            </a:ext>
          </a:extLst>
        </a:blip>
        <a:srcRect/>
        <a:stretch>
          <a:fillRect/>
        </a:stretch>
      </xdr:blipFill>
      <xdr:spPr bwMode="auto">
        <a:xfrm>
          <a:off x="1228725" y="48581214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2561</xdr:row>
      <xdr:rowOff>19050</xdr:rowOff>
    </xdr:from>
    <xdr:to>
      <xdr:col>2</xdr:col>
      <xdr:colOff>1733550</xdr:colOff>
      <xdr:row>2561</xdr:row>
      <xdr:rowOff>1733550</xdr:rowOff>
    </xdr:to>
    <xdr:pic>
      <xdr:nvPicPr>
        <xdr:cNvPr id="2560" name="Picture 2559"/>
        <xdr:cNvPicPr>
          <a:picLocks noChangeAspect="1" noChangeArrowheads="1"/>
        </xdr:cNvPicPr>
      </xdr:nvPicPr>
      <xdr:blipFill>
        <a:blip xmlns:r="http://schemas.openxmlformats.org/officeDocument/2006/relationships" r:embed="rId2557">
          <a:extLst>
            <a:ext uri="{28A0092B-C50C-407E-A947-70E740481C1C}">
              <a14:useLocalDpi xmlns:a14="http://schemas.microsoft.com/office/drawing/2010/main" val="0"/>
            </a:ext>
          </a:extLst>
        </a:blip>
        <a:srcRect/>
        <a:stretch>
          <a:fillRect/>
        </a:stretch>
      </xdr:blipFill>
      <xdr:spPr bwMode="auto">
        <a:xfrm>
          <a:off x="1228725" y="48601217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2562</xdr:row>
      <xdr:rowOff>19050</xdr:rowOff>
    </xdr:from>
    <xdr:to>
      <xdr:col>2</xdr:col>
      <xdr:colOff>1733550</xdr:colOff>
      <xdr:row>2562</xdr:row>
      <xdr:rowOff>1733550</xdr:rowOff>
    </xdr:to>
    <xdr:pic>
      <xdr:nvPicPr>
        <xdr:cNvPr id="2561" name="Picture 2560"/>
        <xdr:cNvPicPr>
          <a:picLocks noChangeAspect="1" noChangeArrowheads="1"/>
        </xdr:cNvPicPr>
      </xdr:nvPicPr>
      <xdr:blipFill>
        <a:blip xmlns:r="http://schemas.openxmlformats.org/officeDocument/2006/relationships" r:embed="rId2558">
          <a:extLst>
            <a:ext uri="{28A0092B-C50C-407E-A947-70E740481C1C}">
              <a14:useLocalDpi xmlns:a14="http://schemas.microsoft.com/office/drawing/2010/main" val="0"/>
            </a:ext>
          </a:extLst>
        </a:blip>
        <a:srcRect/>
        <a:stretch>
          <a:fillRect/>
        </a:stretch>
      </xdr:blipFill>
      <xdr:spPr bwMode="auto">
        <a:xfrm>
          <a:off x="1228725" y="486212197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2563</xdr:row>
      <xdr:rowOff>19050</xdr:rowOff>
    </xdr:from>
    <xdr:to>
      <xdr:col>2</xdr:col>
      <xdr:colOff>1733550</xdr:colOff>
      <xdr:row>2563</xdr:row>
      <xdr:rowOff>1733550</xdr:rowOff>
    </xdr:to>
    <xdr:pic>
      <xdr:nvPicPr>
        <xdr:cNvPr id="2562" name="Picture 2561"/>
        <xdr:cNvPicPr>
          <a:picLocks noChangeAspect="1" noChangeArrowheads="1"/>
        </xdr:cNvPicPr>
      </xdr:nvPicPr>
      <xdr:blipFill>
        <a:blip xmlns:r="http://schemas.openxmlformats.org/officeDocument/2006/relationships" r:embed="rId2559">
          <a:extLst>
            <a:ext uri="{28A0092B-C50C-407E-A947-70E740481C1C}">
              <a14:useLocalDpi xmlns:a14="http://schemas.microsoft.com/office/drawing/2010/main" val="0"/>
            </a:ext>
          </a:extLst>
        </a:blip>
        <a:srcRect/>
        <a:stretch>
          <a:fillRect/>
        </a:stretch>
      </xdr:blipFill>
      <xdr:spPr bwMode="auto">
        <a:xfrm>
          <a:off x="1228725" y="4864122225"/>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2564</xdr:row>
      <xdr:rowOff>19050</xdr:rowOff>
    </xdr:from>
    <xdr:to>
      <xdr:col>2</xdr:col>
      <xdr:colOff>1733550</xdr:colOff>
      <xdr:row>2564</xdr:row>
      <xdr:rowOff>1666875</xdr:rowOff>
    </xdr:to>
    <xdr:pic>
      <xdr:nvPicPr>
        <xdr:cNvPr id="2563" name="Picture 2562"/>
        <xdr:cNvPicPr>
          <a:picLocks noChangeAspect="1" noChangeArrowheads="1"/>
        </xdr:cNvPicPr>
      </xdr:nvPicPr>
      <xdr:blipFill>
        <a:blip xmlns:r="http://schemas.openxmlformats.org/officeDocument/2006/relationships" r:embed="rId2560">
          <a:extLst>
            <a:ext uri="{28A0092B-C50C-407E-A947-70E740481C1C}">
              <a14:useLocalDpi xmlns:a14="http://schemas.microsoft.com/office/drawing/2010/main" val="0"/>
            </a:ext>
          </a:extLst>
        </a:blip>
        <a:srcRect/>
        <a:stretch>
          <a:fillRect/>
        </a:stretch>
      </xdr:blipFill>
      <xdr:spPr bwMode="auto">
        <a:xfrm>
          <a:off x="1228725" y="48661224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2565</xdr:row>
      <xdr:rowOff>19050</xdr:rowOff>
    </xdr:from>
    <xdr:to>
      <xdr:col>2</xdr:col>
      <xdr:colOff>1733550</xdr:colOff>
      <xdr:row>2565</xdr:row>
      <xdr:rowOff>1733550</xdr:rowOff>
    </xdr:to>
    <xdr:pic>
      <xdr:nvPicPr>
        <xdr:cNvPr id="2564" name="Picture 2563"/>
        <xdr:cNvPicPr>
          <a:picLocks noChangeAspect="1" noChangeArrowheads="1"/>
        </xdr:cNvPicPr>
      </xdr:nvPicPr>
      <xdr:blipFill>
        <a:blip xmlns:r="http://schemas.openxmlformats.org/officeDocument/2006/relationships" r:embed="rId2561">
          <a:extLst>
            <a:ext uri="{28A0092B-C50C-407E-A947-70E740481C1C}">
              <a14:useLocalDpi xmlns:a14="http://schemas.microsoft.com/office/drawing/2010/main" val="0"/>
            </a:ext>
          </a:extLst>
        </a:blip>
        <a:srcRect/>
        <a:stretch>
          <a:fillRect/>
        </a:stretch>
      </xdr:blipFill>
      <xdr:spPr bwMode="auto">
        <a:xfrm>
          <a:off x="1228725" y="4868037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2566</xdr:row>
      <xdr:rowOff>19050</xdr:rowOff>
    </xdr:from>
    <xdr:to>
      <xdr:col>2</xdr:col>
      <xdr:colOff>1733550</xdr:colOff>
      <xdr:row>2566</xdr:row>
      <xdr:rowOff>1733550</xdr:rowOff>
    </xdr:to>
    <xdr:pic>
      <xdr:nvPicPr>
        <xdr:cNvPr id="2565" name="Picture 2564"/>
        <xdr:cNvPicPr>
          <a:picLocks noChangeAspect="1" noChangeArrowheads="1"/>
        </xdr:cNvPicPr>
      </xdr:nvPicPr>
      <xdr:blipFill>
        <a:blip xmlns:r="http://schemas.openxmlformats.org/officeDocument/2006/relationships" r:embed="rId2562">
          <a:extLst>
            <a:ext uri="{28A0092B-C50C-407E-A947-70E740481C1C}">
              <a14:useLocalDpi xmlns:a14="http://schemas.microsoft.com/office/drawing/2010/main" val="0"/>
            </a:ext>
          </a:extLst>
        </a:blip>
        <a:srcRect/>
        <a:stretch>
          <a:fillRect/>
        </a:stretch>
      </xdr:blipFill>
      <xdr:spPr bwMode="auto">
        <a:xfrm>
          <a:off x="1228725" y="4870037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2567</xdr:row>
      <xdr:rowOff>19050</xdr:rowOff>
    </xdr:from>
    <xdr:to>
      <xdr:col>2</xdr:col>
      <xdr:colOff>1733550</xdr:colOff>
      <xdr:row>2567</xdr:row>
      <xdr:rowOff>1733550</xdr:rowOff>
    </xdr:to>
    <xdr:pic>
      <xdr:nvPicPr>
        <xdr:cNvPr id="2566" name="Picture 2565"/>
        <xdr:cNvPicPr>
          <a:picLocks noChangeAspect="1" noChangeArrowheads="1"/>
        </xdr:cNvPicPr>
      </xdr:nvPicPr>
      <xdr:blipFill>
        <a:blip xmlns:r="http://schemas.openxmlformats.org/officeDocument/2006/relationships" r:embed="rId2563">
          <a:extLst>
            <a:ext uri="{28A0092B-C50C-407E-A947-70E740481C1C}">
              <a14:useLocalDpi xmlns:a14="http://schemas.microsoft.com/office/drawing/2010/main" val="0"/>
            </a:ext>
          </a:extLst>
        </a:blip>
        <a:srcRect/>
        <a:stretch>
          <a:fillRect/>
        </a:stretch>
      </xdr:blipFill>
      <xdr:spPr bwMode="auto">
        <a:xfrm>
          <a:off x="1228725" y="4872037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2568</xdr:row>
      <xdr:rowOff>19050</xdr:rowOff>
    </xdr:from>
    <xdr:to>
      <xdr:col>2</xdr:col>
      <xdr:colOff>1733550</xdr:colOff>
      <xdr:row>2568</xdr:row>
      <xdr:rowOff>1733550</xdr:rowOff>
    </xdr:to>
    <xdr:pic>
      <xdr:nvPicPr>
        <xdr:cNvPr id="2567" name="Picture 2566"/>
        <xdr:cNvPicPr>
          <a:picLocks noChangeAspect="1" noChangeArrowheads="1"/>
        </xdr:cNvPicPr>
      </xdr:nvPicPr>
      <xdr:blipFill>
        <a:blip xmlns:r="http://schemas.openxmlformats.org/officeDocument/2006/relationships" r:embed="rId2564">
          <a:extLst>
            <a:ext uri="{28A0092B-C50C-407E-A947-70E740481C1C}">
              <a14:useLocalDpi xmlns:a14="http://schemas.microsoft.com/office/drawing/2010/main" val="0"/>
            </a:ext>
          </a:extLst>
        </a:blip>
        <a:srcRect/>
        <a:stretch>
          <a:fillRect/>
        </a:stretch>
      </xdr:blipFill>
      <xdr:spPr bwMode="auto">
        <a:xfrm>
          <a:off x="1228725" y="4874037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2569</xdr:row>
      <xdr:rowOff>19050</xdr:rowOff>
    </xdr:from>
    <xdr:to>
      <xdr:col>2</xdr:col>
      <xdr:colOff>1733550</xdr:colOff>
      <xdr:row>2569</xdr:row>
      <xdr:rowOff>1733550</xdr:rowOff>
    </xdr:to>
    <xdr:pic>
      <xdr:nvPicPr>
        <xdr:cNvPr id="2568" name="Picture 2567"/>
        <xdr:cNvPicPr>
          <a:picLocks noChangeAspect="1" noChangeArrowheads="1"/>
        </xdr:cNvPicPr>
      </xdr:nvPicPr>
      <xdr:blipFill>
        <a:blip xmlns:r="http://schemas.openxmlformats.org/officeDocument/2006/relationships" r:embed="rId2565">
          <a:extLst>
            <a:ext uri="{28A0092B-C50C-407E-A947-70E740481C1C}">
              <a14:useLocalDpi xmlns:a14="http://schemas.microsoft.com/office/drawing/2010/main" val="0"/>
            </a:ext>
          </a:extLst>
        </a:blip>
        <a:srcRect/>
        <a:stretch>
          <a:fillRect/>
        </a:stretch>
      </xdr:blipFill>
      <xdr:spPr bwMode="auto">
        <a:xfrm>
          <a:off x="1228725" y="4876038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2570</xdr:row>
      <xdr:rowOff>19050</xdr:rowOff>
    </xdr:from>
    <xdr:to>
      <xdr:col>2</xdr:col>
      <xdr:colOff>1733550</xdr:colOff>
      <xdr:row>2570</xdr:row>
      <xdr:rowOff>1733550</xdr:rowOff>
    </xdr:to>
    <xdr:pic>
      <xdr:nvPicPr>
        <xdr:cNvPr id="2569" name="Picture 2568"/>
        <xdr:cNvPicPr>
          <a:picLocks noChangeAspect="1" noChangeArrowheads="1"/>
        </xdr:cNvPicPr>
      </xdr:nvPicPr>
      <xdr:blipFill>
        <a:blip xmlns:r="http://schemas.openxmlformats.org/officeDocument/2006/relationships" r:embed="rId2566">
          <a:extLst>
            <a:ext uri="{28A0092B-C50C-407E-A947-70E740481C1C}">
              <a14:useLocalDpi xmlns:a14="http://schemas.microsoft.com/office/drawing/2010/main" val="0"/>
            </a:ext>
          </a:extLst>
        </a:blip>
        <a:srcRect/>
        <a:stretch>
          <a:fillRect/>
        </a:stretch>
      </xdr:blipFill>
      <xdr:spPr bwMode="auto">
        <a:xfrm>
          <a:off x="1228725" y="4878038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2571</xdr:row>
      <xdr:rowOff>19050</xdr:rowOff>
    </xdr:from>
    <xdr:to>
      <xdr:col>2</xdr:col>
      <xdr:colOff>1733550</xdr:colOff>
      <xdr:row>2571</xdr:row>
      <xdr:rowOff>1733550</xdr:rowOff>
    </xdr:to>
    <xdr:pic>
      <xdr:nvPicPr>
        <xdr:cNvPr id="2570" name="Picture 2569"/>
        <xdr:cNvPicPr>
          <a:picLocks noChangeAspect="1" noChangeArrowheads="1"/>
        </xdr:cNvPicPr>
      </xdr:nvPicPr>
      <xdr:blipFill>
        <a:blip xmlns:r="http://schemas.openxmlformats.org/officeDocument/2006/relationships" r:embed="rId2567">
          <a:extLst>
            <a:ext uri="{28A0092B-C50C-407E-A947-70E740481C1C}">
              <a14:useLocalDpi xmlns:a14="http://schemas.microsoft.com/office/drawing/2010/main" val="0"/>
            </a:ext>
          </a:extLst>
        </a:blip>
        <a:srcRect/>
        <a:stretch>
          <a:fillRect/>
        </a:stretch>
      </xdr:blipFill>
      <xdr:spPr bwMode="auto">
        <a:xfrm>
          <a:off x="1228725" y="4880038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2572</xdr:row>
      <xdr:rowOff>19050</xdr:rowOff>
    </xdr:from>
    <xdr:to>
      <xdr:col>2</xdr:col>
      <xdr:colOff>1733550</xdr:colOff>
      <xdr:row>2572</xdr:row>
      <xdr:rowOff>1733550</xdr:rowOff>
    </xdr:to>
    <xdr:pic>
      <xdr:nvPicPr>
        <xdr:cNvPr id="2571" name="Picture 2570"/>
        <xdr:cNvPicPr>
          <a:picLocks noChangeAspect="1" noChangeArrowheads="1"/>
        </xdr:cNvPicPr>
      </xdr:nvPicPr>
      <xdr:blipFill>
        <a:blip xmlns:r="http://schemas.openxmlformats.org/officeDocument/2006/relationships" r:embed="rId2568">
          <a:extLst>
            <a:ext uri="{28A0092B-C50C-407E-A947-70E740481C1C}">
              <a14:useLocalDpi xmlns:a14="http://schemas.microsoft.com/office/drawing/2010/main" val="0"/>
            </a:ext>
          </a:extLst>
        </a:blip>
        <a:srcRect/>
        <a:stretch>
          <a:fillRect/>
        </a:stretch>
      </xdr:blipFill>
      <xdr:spPr bwMode="auto">
        <a:xfrm>
          <a:off x="1228725" y="4882038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2573</xdr:row>
      <xdr:rowOff>19050</xdr:rowOff>
    </xdr:from>
    <xdr:to>
      <xdr:col>2</xdr:col>
      <xdr:colOff>1733550</xdr:colOff>
      <xdr:row>2573</xdr:row>
      <xdr:rowOff>1733550</xdr:rowOff>
    </xdr:to>
    <xdr:pic>
      <xdr:nvPicPr>
        <xdr:cNvPr id="2572" name="Picture 2571"/>
        <xdr:cNvPicPr>
          <a:picLocks noChangeAspect="1" noChangeArrowheads="1"/>
        </xdr:cNvPicPr>
      </xdr:nvPicPr>
      <xdr:blipFill>
        <a:blip xmlns:r="http://schemas.openxmlformats.org/officeDocument/2006/relationships" r:embed="rId2569">
          <a:extLst>
            <a:ext uri="{28A0092B-C50C-407E-A947-70E740481C1C}">
              <a14:useLocalDpi xmlns:a14="http://schemas.microsoft.com/office/drawing/2010/main" val="0"/>
            </a:ext>
          </a:extLst>
        </a:blip>
        <a:srcRect/>
        <a:stretch>
          <a:fillRect/>
        </a:stretch>
      </xdr:blipFill>
      <xdr:spPr bwMode="auto">
        <a:xfrm>
          <a:off x="1228725" y="4884039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2574</xdr:row>
      <xdr:rowOff>19050</xdr:rowOff>
    </xdr:from>
    <xdr:to>
      <xdr:col>2</xdr:col>
      <xdr:colOff>1733550</xdr:colOff>
      <xdr:row>2574</xdr:row>
      <xdr:rowOff>1733550</xdr:rowOff>
    </xdr:to>
    <xdr:pic>
      <xdr:nvPicPr>
        <xdr:cNvPr id="2573" name="Picture 2572"/>
        <xdr:cNvPicPr>
          <a:picLocks noChangeAspect="1" noChangeArrowheads="1"/>
        </xdr:cNvPicPr>
      </xdr:nvPicPr>
      <xdr:blipFill>
        <a:blip xmlns:r="http://schemas.openxmlformats.org/officeDocument/2006/relationships" r:embed="rId2570">
          <a:extLst>
            <a:ext uri="{28A0092B-C50C-407E-A947-70E740481C1C}">
              <a14:useLocalDpi xmlns:a14="http://schemas.microsoft.com/office/drawing/2010/main" val="0"/>
            </a:ext>
          </a:extLst>
        </a:blip>
        <a:srcRect/>
        <a:stretch>
          <a:fillRect/>
        </a:stretch>
      </xdr:blipFill>
      <xdr:spPr bwMode="auto">
        <a:xfrm>
          <a:off x="1228725" y="4886039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2575</xdr:row>
      <xdr:rowOff>19050</xdr:rowOff>
    </xdr:from>
    <xdr:to>
      <xdr:col>2</xdr:col>
      <xdr:colOff>1733550</xdr:colOff>
      <xdr:row>2575</xdr:row>
      <xdr:rowOff>1733550</xdr:rowOff>
    </xdr:to>
    <xdr:pic>
      <xdr:nvPicPr>
        <xdr:cNvPr id="2574" name="Picture 2573"/>
        <xdr:cNvPicPr>
          <a:picLocks noChangeAspect="1" noChangeArrowheads="1"/>
        </xdr:cNvPicPr>
      </xdr:nvPicPr>
      <xdr:blipFill>
        <a:blip xmlns:r="http://schemas.openxmlformats.org/officeDocument/2006/relationships" r:embed="rId2571">
          <a:extLst>
            <a:ext uri="{28A0092B-C50C-407E-A947-70E740481C1C}">
              <a14:useLocalDpi xmlns:a14="http://schemas.microsoft.com/office/drawing/2010/main" val="0"/>
            </a:ext>
          </a:extLst>
        </a:blip>
        <a:srcRect/>
        <a:stretch>
          <a:fillRect/>
        </a:stretch>
      </xdr:blipFill>
      <xdr:spPr bwMode="auto">
        <a:xfrm>
          <a:off x="1228725" y="4888039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2576</xdr:row>
      <xdr:rowOff>19050</xdr:rowOff>
    </xdr:from>
    <xdr:to>
      <xdr:col>2</xdr:col>
      <xdr:colOff>1733550</xdr:colOff>
      <xdr:row>2576</xdr:row>
      <xdr:rowOff>1733550</xdr:rowOff>
    </xdr:to>
    <xdr:pic>
      <xdr:nvPicPr>
        <xdr:cNvPr id="2575" name="Picture 2574"/>
        <xdr:cNvPicPr>
          <a:picLocks noChangeAspect="1" noChangeArrowheads="1"/>
        </xdr:cNvPicPr>
      </xdr:nvPicPr>
      <xdr:blipFill>
        <a:blip xmlns:r="http://schemas.openxmlformats.org/officeDocument/2006/relationships" r:embed="rId2572">
          <a:extLst>
            <a:ext uri="{28A0092B-C50C-407E-A947-70E740481C1C}">
              <a14:useLocalDpi xmlns:a14="http://schemas.microsoft.com/office/drawing/2010/main" val="0"/>
            </a:ext>
          </a:extLst>
        </a:blip>
        <a:srcRect/>
        <a:stretch>
          <a:fillRect/>
        </a:stretch>
      </xdr:blipFill>
      <xdr:spPr bwMode="auto">
        <a:xfrm>
          <a:off x="1228725" y="4890039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2577</xdr:row>
      <xdr:rowOff>19050</xdr:rowOff>
    </xdr:from>
    <xdr:to>
      <xdr:col>2</xdr:col>
      <xdr:colOff>1733550</xdr:colOff>
      <xdr:row>2577</xdr:row>
      <xdr:rowOff>1733550</xdr:rowOff>
    </xdr:to>
    <xdr:pic>
      <xdr:nvPicPr>
        <xdr:cNvPr id="2576" name="Picture 2575"/>
        <xdr:cNvPicPr>
          <a:picLocks noChangeAspect="1" noChangeArrowheads="1"/>
        </xdr:cNvPicPr>
      </xdr:nvPicPr>
      <xdr:blipFill>
        <a:blip xmlns:r="http://schemas.openxmlformats.org/officeDocument/2006/relationships" r:embed="rId2573">
          <a:extLst>
            <a:ext uri="{28A0092B-C50C-407E-A947-70E740481C1C}">
              <a14:useLocalDpi xmlns:a14="http://schemas.microsoft.com/office/drawing/2010/main" val="0"/>
            </a:ext>
          </a:extLst>
        </a:blip>
        <a:srcRect/>
        <a:stretch>
          <a:fillRect/>
        </a:stretch>
      </xdr:blipFill>
      <xdr:spPr bwMode="auto">
        <a:xfrm>
          <a:off x="1228725" y="48920400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2578</xdr:row>
      <xdr:rowOff>19050</xdr:rowOff>
    </xdr:from>
    <xdr:to>
      <xdr:col>2</xdr:col>
      <xdr:colOff>1733550</xdr:colOff>
      <xdr:row>2578</xdr:row>
      <xdr:rowOff>1733550</xdr:rowOff>
    </xdr:to>
    <xdr:pic>
      <xdr:nvPicPr>
        <xdr:cNvPr id="2577" name="Picture 2576"/>
        <xdr:cNvPicPr>
          <a:picLocks noChangeAspect="1" noChangeArrowheads="1"/>
        </xdr:cNvPicPr>
      </xdr:nvPicPr>
      <xdr:blipFill>
        <a:blip xmlns:r="http://schemas.openxmlformats.org/officeDocument/2006/relationships" r:embed="rId2574">
          <a:extLst>
            <a:ext uri="{28A0092B-C50C-407E-A947-70E740481C1C}">
              <a14:useLocalDpi xmlns:a14="http://schemas.microsoft.com/office/drawing/2010/main" val="0"/>
            </a:ext>
          </a:extLst>
        </a:blip>
        <a:srcRect/>
        <a:stretch>
          <a:fillRect/>
        </a:stretch>
      </xdr:blipFill>
      <xdr:spPr bwMode="auto">
        <a:xfrm>
          <a:off x="1228725" y="48940402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2579</xdr:row>
      <xdr:rowOff>19050</xdr:rowOff>
    </xdr:from>
    <xdr:to>
      <xdr:col>2</xdr:col>
      <xdr:colOff>1733550</xdr:colOff>
      <xdr:row>2579</xdr:row>
      <xdr:rowOff>1733550</xdr:rowOff>
    </xdr:to>
    <xdr:pic>
      <xdr:nvPicPr>
        <xdr:cNvPr id="2578" name="Picture 2577"/>
        <xdr:cNvPicPr>
          <a:picLocks noChangeAspect="1" noChangeArrowheads="1"/>
        </xdr:cNvPicPr>
      </xdr:nvPicPr>
      <xdr:blipFill>
        <a:blip xmlns:r="http://schemas.openxmlformats.org/officeDocument/2006/relationships" r:embed="rId2575">
          <a:extLst>
            <a:ext uri="{28A0092B-C50C-407E-A947-70E740481C1C}">
              <a14:useLocalDpi xmlns:a14="http://schemas.microsoft.com/office/drawing/2010/main" val="0"/>
            </a:ext>
          </a:extLst>
        </a:blip>
        <a:srcRect/>
        <a:stretch>
          <a:fillRect/>
        </a:stretch>
      </xdr:blipFill>
      <xdr:spPr bwMode="auto">
        <a:xfrm>
          <a:off x="1228725" y="489604050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2580</xdr:row>
      <xdr:rowOff>19050</xdr:rowOff>
    </xdr:from>
    <xdr:to>
      <xdr:col>2</xdr:col>
      <xdr:colOff>1733550</xdr:colOff>
      <xdr:row>2580</xdr:row>
      <xdr:rowOff>1733550</xdr:rowOff>
    </xdr:to>
    <xdr:pic>
      <xdr:nvPicPr>
        <xdr:cNvPr id="2579" name="Picture 2578"/>
        <xdr:cNvPicPr>
          <a:picLocks noChangeAspect="1" noChangeArrowheads="1"/>
        </xdr:cNvPicPr>
      </xdr:nvPicPr>
      <xdr:blipFill>
        <a:blip xmlns:r="http://schemas.openxmlformats.org/officeDocument/2006/relationships" r:embed="rId2576">
          <a:extLst>
            <a:ext uri="{28A0092B-C50C-407E-A947-70E740481C1C}">
              <a14:useLocalDpi xmlns:a14="http://schemas.microsoft.com/office/drawing/2010/main" val="0"/>
            </a:ext>
          </a:extLst>
        </a:blip>
        <a:srcRect/>
        <a:stretch>
          <a:fillRect/>
        </a:stretch>
      </xdr:blipFill>
      <xdr:spPr bwMode="auto">
        <a:xfrm>
          <a:off x="1228725" y="4898040750"/>
          <a:ext cx="1724025" cy="1714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2581</xdr:row>
      <xdr:rowOff>19050</xdr:rowOff>
    </xdr:from>
    <xdr:to>
      <xdr:col>2</xdr:col>
      <xdr:colOff>1733550</xdr:colOff>
      <xdr:row>2581</xdr:row>
      <xdr:rowOff>1619250</xdr:rowOff>
    </xdr:to>
    <xdr:pic>
      <xdr:nvPicPr>
        <xdr:cNvPr id="2580" name="Picture 2579"/>
        <xdr:cNvPicPr>
          <a:picLocks noChangeAspect="1" noChangeArrowheads="1"/>
        </xdr:cNvPicPr>
      </xdr:nvPicPr>
      <xdr:blipFill>
        <a:blip xmlns:r="http://schemas.openxmlformats.org/officeDocument/2006/relationships" r:embed="rId2577">
          <a:extLst>
            <a:ext uri="{28A0092B-C50C-407E-A947-70E740481C1C}">
              <a14:useLocalDpi xmlns:a14="http://schemas.microsoft.com/office/drawing/2010/main" val="0"/>
            </a:ext>
          </a:extLst>
        </a:blip>
        <a:srcRect/>
        <a:stretch>
          <a:fillRect/>
        </a:stretch>
      </xdr:blipFill>
      <xdr:spPr bwMode="auto">
        <a:xfrm>
          <a:off x="1228725" y="4900041000"/>
          <a:ext cx="1724025" cy="160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2582</xdr:row>
      <xdr:rowOff>19050</xdr:rowOff>
    </xdr:from>
    <xdr:to>
      <xdr:col>2</xdr:col>
      <xdr:colOff>1733550</xdr:colOff>
      <xdr:row>2582</xdr:row>
      <xdr:rowOff>1647825</xdr:rowOff>
    </xdr:to>
    <xdr:pic>
      <xdr:nvPicPr>
        <xdr:cNvPr id="2581" name="Picture 2580"/>
        <xdr:cNvPicPr>
          <a:picLocks noChangeAspect="1" noChangeArrowheads="1"/>
        </xdr:cNvPicPr>
      </xdr:nvPicPr>
      <xdr:blipFill>
        <a:blip xmlns:r="http://schemas.openxmlformats.org/officeDocument/2006/relationships" r:embed="rId2578">
          <a:extLst>
            <a:ext uri="{28A0092B-C50C-407E-A947-70E740481C1C}">
              <a14:useLocalDpi xmlns:a14="http://schemas.microsoft.com/office/drawing/2010/main" val="0"/>
            </a:ext>
          </a:extLst>
        </a:blip>
        <a:srcRect/>
        <a:stretch>
          <a:fillRect/>
        </a:stretch>
      </xdr:blipFill>
      <xdr:spPr bwMode="auto">
        <a:xfrm>
          <a:off x="1228725" y="49018983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2583</xdr:row>
      <xdr:rowOff>19050</xdr:rowOff>
    </xdr:from>
    <xdr:to>
      <xdr:col>2</xdr:col>
      <xdr:colOff>1733550</xdr:colOff>
      <xdr:row>2583</xdr:row>
      <xdr:rowOff>1666875</xdr:rowOff>
    </xdr:to>
    <xdr:pic>
      <xdr:nvPicPr>
        <xdr:cNvPr id="2582" name="Picture 2581"/>
        <xdr:cNvPicPr>
          <a:picLocks noChangeAspect="1" noChangeArrowheads="1"/>
        </xdr:cNvPicPr>
      </xdr:nvPicPr>
      <xdr:blipFill>
        <a:blip xmlns:r="http://schemas.openxmlformats.org/officeDocument/2006/relationships" r:embed="rId2579">
          <a:extLst>
            <a:ext uri="{28A0092B-C50C-407E-A947-70E740481C1C}">
              <a14:useLocalDpi xmlns:a14="http://schemas.microsoft.com/office/drawing/2010/main" val="0"/>
            </a:ext>
          </a:extLst>
        </a:blip>
        <a:srcRect/>
        <a:stretch>
          <a:fillRect/>
        </a:stretch>
      </xdr:blipFill>
      <xdr:spPr bwMode="auto">
        <a:xfrm>
          <a:off x="1228725" y="49037938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2584</xdr:row>
      <xdr:rowOff>19050</xdr:rowOff>
    </xdr:from>
    <xdr:to>
      <xdr:col>2</xdr:col>
      <xdr:colOff>1733550</xdr:colOff>
      <xdr:row>2584</xdr:row>
      <xdr:rowOff>1809750</xdr:rowOff>
    </xdr:to>
    <xdr:pic>
      <xdr:nvPicPr>
        <xdr:cNvPr id="2583" name="Picture 2582"/>
        <xdr:cNvPicPr>
          <a:picLocks noChangeAspect="1" noChangeArrowheads="1"/>
        </xdr:cNvPicPr>
      </xdr:nvPicPr>
      <xdr:blipFill>
        <a:blip xmlns:r="http://schemas.openxmlformats.org/officeDocument/2006/relationships" r:embed="rId2580">
          <a:extLst>
            <a:ext uri="{28A0092B-C50C-407E-A947-70E740481C1C}">
              <a14:useLocalDpi xmlns:a14="http://schemas.microsoft.com/office/drawing/2010/main" val="0"/>
            </a:ext>
          </a:extLst>
        </a:blip>
        <a:srcRect/>
        <a:stretch>
          <a:fillRect/>
        </a:stretch>
      </xdr:blipFill>
      <xdr:spPr bwMode="auto">
        <a:xfrm>
          <a:off x="1228725" y="4905708375"/>
          <a:ext cx="1724025" cy="1790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2585</xdr:row>
      <xdr:rowOff>19050</xdr:rowOff>
    </xdr:from>
    <xdr:to>
      <xdr:col>2</xdr:col>
      <xdr:colOff>1733550</xdr:colOff>
      <xdr:row>2585</xdr:row>
      <xdr:rowOff>1666875</xdr:rowOff>
    </xdr:to>
    <xdr:pic>
      <xdr:nvPicPr>
        <xdr:cNvPr id="2584" name="Picture 2583"/>
        <xdr:cNvPicPr>
          <a:picLocks noChangeAspect="1" noChangeArrowheads="1"/>
        </xdr:cNvPicPr>
      </xdr:nvPicPr>
      <xdr:blipFill>
        <a:blip xmlns:r="http://schemas.openxmlformats.org/officeDocument/2006/relationships" r:embed="rId2581">
          <a:extLst>
            <a:ext uri="{28A0092B-C50C-407E-A947-70E740481C1C}">
              <a14:useLocalDpi xmlns:a14="http://schemas.microsoft.com/office/drawing/2010/main" val="0"/>
            </a:ext>
          </a:extLst>
        </a:blip>
        <a:srcRect/>
        <a:stretch>
          <a:fillRect/>
        </a:stretch>
      </xdr:blipFill>
      <xdr:spPr bwMode="auto">
        <a:xfrm>
          <a:off x="1228725" y="49077848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2586</xdr:row>
      <xdr:rowOff>9525</xdr:rowOff>
    </xdr:from>
    <xdr:to>
      <xdr:col>2</xdr:col>
      <xdr:colOff>1733550</xdr:colOff>
      <xdr:row>2586</xdr:row>
      <xdr:rowOff>1409700</xdr:rowOff>
    </xdr:to>
    <xdr:pic>
      <xdr:nvPicPr>
        <xdr:cNvPr id="2585" name="Picture 2584"/>
        <xdr:cNvPicPr>
          <a:picLocks noChangeAspect="1" noChangeArrowheads="1"/>
        </xdr:cNvPicPr>
      </xdr:nvPicPr>
      <xdr:blipFill>
        <a:blip xmlns:r="http://schemas.openxmlformats.org/officeDocument/2006/relationships" r:embed="rId2582">
          <a:extLst>
            <a:ext uri="{28A0092B-C50C-407E-A947-70E740481C1C}">
              <a14:useLocalDpi xmlns:a14="http://schemas.microsoft.com/office/drawing/2010/main" val="0"/>
            </a:ext>
          </a:extLst>
        </a:blip>
        <a:srcRect/>
        <a:stretch>
          <a:fillRect/>
        </a:stretch>
      </xdr:blipFill>
      <xdr:spPr bwMode="auto">
        <a:xfrm>
          <a:off x="1228725" y="4909689825"/>
          <a:ext cx="1724025" cy="140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2587</xdr:row>
      <xdr:rowOff>19050</xdr:rowOff>
    </xdr:from>
    <xdr:to>
      <xdr:col>2</xdr:col>
      <xdr:colOff>1733550</xdr:colOff>
      <xdr:row>2587</xdr:row>
      <xdr:rowOff>1685925</xdr:rowOff>
    </xdr:to>
    <xdr:pic>
      <xdr:nvPicPr>
        <xdr:cNvPr id="2586" name="Picture 2585"/>
        <xdr:cNvPicPr>
          <a:picLocks noChangeAspect="1" noChangeArrowheads="1"/>
        </xdr:cNvPicPr>
      </xdr:nvPicPr>
      <xdr:blipFill>
        <a:blip xmlns:r="http://schemas.openxmlformats.org/officeDocument/2006/relationships" r:embed="rId2583">
          <a:extLst>
            <a:ext uri="{28A0092B-C50C-407E-A947-70E740481C1C}">
              <a14:useLocalDpi xmlns:a14="http://schemas.microsoft.com/office/drawing/2010/main" val="0"/>
            </a:ext>
          </a:extLst>
        </a:blip>
        <a:srcRect/>
        <a:stretch>
          <a:fillRect/>
        </a:stretch>
      </xdr:blipFill>
      <xdr:spPr bwMode="auto">
        <a:xfrm>
          <a:off x="1228725" y="4911328125"/>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2588</xdr:row>
      <xdr:rowOff>19050</xdr:rowOff>
    </xdr:from>
    <xdr:to>
      <xdr:col>2</xdr:col>
      <xdr:colOff>1733550</xdr:colOff>
      <xdr:row>2588</xdr:row>
      <xdr:rowOff>1609725</xdr:rowOff>
    </xdr:to>
    <xdr:pic>
      <xdr:nvPicPr>
        <xdr:cNvPr id="2587" name="Picture 2586"/>
        <xdr:cNvPicPr>
          <a:picLocks noChangeAspect="1" noChangeArrowheads="1"/>
        </xdr:cNvPicPr>
      </xdr:nvPicPr>
      <xdr:blipFill>
        <a:blip xmlns:r="http://schemas.openxmlformats.org/officeDocument/2006/relationships" r:embed="rId2584">
          <a:extLst>
            <a:ext uri="{28A0092B-C50C-407E-A947-70E740481C1C}">
              <a14:useLocalDpi xmlns:a14="http://schemas.microsoft.com/office/drawing/2010/main" val="0"/>
            </a:ext>
          </a:extLst>
        </a:blip>
        <a:srcRect/>
        <a:stretch>
          <a:fillRect/>
        </a:stretch>
      </xdr:blipFill>
      <xdr:spPr bwMode="auto">
        <a:xfrm>
          <a:off x="1228725" y="4913271225"/>
          <a:ext cx="1724025" cy="1590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2589</xdr:row>
      <xdr:rowOff>9525</xdr:rowOff>
    </xdr:from>
    <xdr:to>
      <xdr:col>2</xdr:col>
      <xdr:colOff>1733550</xdr:colOff>
      <xdr:row>2589</xdr:row>
      <xdr:rowOff>1562100</xdr:rowOff>
    </xdr:to>
    <xdr:pic>
      <xdr:nvPicPr>
        <xdr:cNvPr id="2588" name="Picture 2587"/>
        <xdr:cNvPicPr>
          <a:picLocks noChangeAspect="1" noChangeArrowheads="1"/>
        </xdr:cNvPicPr>
      </xdr:nvPicPr>
      <xdr:blipFill>
        <a:blip xmlns:r="http://schemas.openxmlformats.org/officeDocument/2006/relationships" r:embed="rId2585">
          <a:extLst>
            <a:ext uri="{28A0092B-C50C-407E-A947-70E740481C1C}">
              <a14:useLocalDpi xmlns:a14="http://schemas.microsoft.com/office/drawing/2010/main" val="0"/>
            </a:ext>
          </a:extLst>
        </a:blip>
        <a:srcRect/>
        <a:stretch>
          <a:fillRect/>
        </a:stretch>
      </xdr:blipFill>
      <xdr:spPr bwMode="auto">
        <a:xfrm>
          <a:off x="1228725" y="4915109550"/>
          <a:ext cx="1724025" cy="1552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2590</xdr:row>
      <xdr:rowOff>19050</xdr:rowOff>
    </xdr:from>
    <xdr:to>
      <xdr:col>2</xdr:col>
      <xdr:colOff>1733550</xdr:colOff>
      <xdr:row>2590</xdr:row>
      <xdr:rowOff>1685925</xdr:rowOff>
    </xdr:to>
    <xdr:pic>
      <xdr:nvPicPr>
        <xdr:cNvPr id="2589" name="Picture 2588"/>
        <xdr:cNvPicPr>
          <a:picLocks noChangeAspect="1" noChangeArrowheads="1"/>
        </xdr:cNvPicPr>
      </xdr:nvPicPr>
      <xdr:blipFill>
        <a:blip xmlns:r="http://schemas.openxmlformats.org/officeDocument/2006/relationships" r:embed="rId2586">
          <a:extLst>
            <a:ext uri="{28A0092B-C50C-407E-A947-70E740481C1C}">
              <a14:useLocalDpi xmlns:a14="http://schemas.microsoft.com/office/drawing/2010/main" val="0"/>
            </a:ext>
          </a:extLst>
        </a:blip>
        <a:srcRect/>
        <a:stretch>
          <a:fillRect/>
        </a:stretch>
      </xdr:blipFill>
      <xdr:spPr bwMode="auto">
        <a:xfrm>
          <a:off x="1228725" y="49169193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2591</xdr:row>
      <xdr:rowOff>19050</xdr:rowOff>
    </xdr:from>
    <xdr:to>
      <xdr:col>2</xdr:col>
      <xdr:colOff>1733550</xdr:colOff>
      <xdr:row>2591</xdr:row>
      <xdr:rowOff>1685925</xdr:rowOff>
    </xdr:to>
    <xdr:pic>
      <xdr:nvPicPr>
        <xdr:cNvPr id="2590" name="Picture 2589"/>
        <xdr:cNvPicPr>
          <a:picLocks noChangeAspect="1" noChangeArrowheads="1"/>
        </xdr:cNvPicPr>
      </xdr:nvPicPr>
      <xdr:blipFill>
        <a:blip xmlns:r="http://schemas.openxmlformats.org/officeDocument/2006/relationships" r:embed="rId2587">
          <a:extLst>
            <a:ext uri="{28A0092B-C50C-407E-A947-70E740481C1C}">
              <a14:useLocalDpi xmlns:a14="http://schemas.microsoft.com/office/drawing/2010/main" val="0"/>
            </a:ext>
          </a:extLst>
        </a:blip>
        <a:srcRect/>
        <a:stretch>
          <a:fillRect/>
        </a:stretch>
      </xdr:blipFill>
      <xdr:spPr bwMode="auto">
        <a:xfrm>
          <a:off x="1228725" y="49188624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2592</xdr:row>
      <xdr:rowOff>9525</xdr:rowOff>
    </xdr:from>
    <xdr:to>
      <xdr:col>2</xdr:col>
      <xdr:colOff>1733550</xdr:colOff>
      <xdr:row>2592</xdr:row>
      <xdr:rowOff>1524000</xdr:rowOff>
    </xdr:to>
    <xdr:pic>
      <xdr:nvPicPr>
        <xdr:cNvPr id="2591" name="Picture 2590"/>
        <xdr:cNvPicPr>
          <a:picLocks noChangeAspect="1" noChangeArrowheads="1"/>
        </xdr:cNvPicPr>
      </xdr:nvPicPr>
      <xdr:blipFill>
        <a:blip xmlns:r="http://schemas.openxmlformats.org/officeDocument/2006/relationships" r:embed="rId2588">
          <a:extLst>
            <a:ext uri="{28A0092B-C50C-407E-A947-70E740481C1C}">
              <a14:useLocalDpi xmlns:a14="http://schemas.microsoft.com/office/drawing/2010/main" val="0"/>
            </a:ext>
          </a:extLst>
        </a:blip>
        <a:srcRect/>
        <a:stretch>
          <a:fillRect/>
        </a:stretch>
      </xdr:blipFill>
      <xdr:spPr bwMode="auto">
        <a:xfrm>
          <a:off x="1228725" y="4920795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2593</xdr:row>
      <xdr:rowOff>9525</xdr:rowOff>
    </xdr:from>
    <xdr:to>
      <xdr:col>2</xdr:col>
      <xdr:colOff>1733550</xdr:colOff>
      <xdr:row>2593</xdr:row>
      <xdr:rowOff>1524000</xdr:rowOff>
    </xdr:to>
    <xdr:pic>
      <xdr:nvPicPr>
        <xdr:cNvPr id="2592" name="Picture 2591"/>
        <xdr:cNvPicPr>
          <a:picLocks noChangeAspect="1" noChangeArrowheads="1"/>
        </xdr:cNvPicPr>
      </xdr:nvPicPr>
      <xdr:blipFill>
        <a:blip xmlns:r="http://schemas.openxmlformats.org/officeDocument/2006/relationships" r:embed="rId2589">
          <a:extLst>
            <a:ext uri="{28A0092B-C50C-407E-A947-70E740481C1C}">
              <a14:useLocalDpi xmlns:a14="http://schemas.microsoft.com/office/drawing/2010/main" val="0"/>
            </a:ext>
          </a:extLst>
        </a:blip>
        <a:srcRect/>
        <a:stretch>
          <a:fillRect/>
        </a:stretch>
      </xdr:blipFill>
      <xdr:spPr bwMode="auto">
        <a:xfrm>
          <a:off x="1228725" y="4922548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2594</xdr:row>
      <xdr:rowOff>19050</xdr:rowOff>
    </xdr:from>
    <xdr:to>
      <xdr:col>2</xdr:col>
      <xdr:colOff>1733550</xdr:colOff>
      <xdr:row>2594</xdr:row>
      <xdr:rowOff>1685925</xdr:rowOff>
    </xdr:to>
    <xdr:pic>
      <xdr:nvPicPr>
        <xdr:cNvPr id="2593" name="Picture 2592"/>
        <xdr:cNvPicPr>
          <a:picLocks noChangeAspect="1" noChangeArrowheads="1"/>
        </xdr:cNvPicPr>
      </xdr:nvPicPr>
      <xdr:blipFill>
        <a:blip xmlns:r="http://schemas.openxmlformats.org/officeDocument/2006/relationships" r:embed="rId2590">
          <a:extLst>
            <a:ext uri="{28A0092B-C50C-407E-A947-70E740481C1C}">
              <a14:useLocalDpi xmlns:a14="http://schemas.microsoft.com/office/drawing/2010/main" val="0"/>
            </a:ext>
          </a:extLst>
        </a:blip>
        <a:srcRect/>
        <a:stretch>
          <a:fillRect/>
        </a:stretch>
      </xdr:blipFill>
      <xdr:spPr bwMode="auto">
        <a:xfrm>
          <a:off x="1228725" y="49243107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2595</xdr:row>
      <xdr:rowOff>9525</xdr:rowOff>
    </xdr:from>
    <xdr:to>
      <xdr:col>2</xdr:col>
      <xdr:colOff>1733550</xdr:colOff>
      <xdr:row>2595</xdr:row>
      <xdr:rowOff>1524000</xdr:rowOff>
    </xdr:to>
    <xdr:pic>
      <xdr:nvPicPr>
        <xdr:cNvPr id="2594" name="Picture 2593"/>
        <xdr:cNvPicPr>
          <a:picLocks noChangeAspect="1" noChangeArrowheads="1"/>
        </xdr:cNvPicPr>
      </xdr:nvPicPr>
      <xdr:blipFill>
        <a:blip xmlns:r="http://schemas.openxmlformats.org/officeDocument/2006/relationships" r:embed="rId2591">
          <a:extLst>
            <a:ext uri="{28A0092B-C50C-407E-A947-70E740481C1C}">
              <a14:useLocalDpi xmlns:a14="http://schemas.microsoft.com/office/drawing/2010/main" val="0"/>
            </a:ext>
          </a:extLst>
        </a:blip>
        <a:srcRect/>
        <a:stretch>
          <a:fillRect/>
        </a:stretch>
      </xdr:blipFill>
      <xdr:spPr bwMode="auto">
        <a:xfrm>
          <a:off x="1228725" y="4926244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2596</xdr:row>
      <xdr:rowOff>9525</xdr:rowOff>
    </xdr:from>
    <xdr:to>
      <xdr:col>2</xdr:col>
      <xdr:colOff>1733550</xdr:colOff>
      <xdr:row>2596</xdr:row>
      <xdr:rowOff>1524000</xdr:rowOff>
    </xdr:to>
    <xdr:pic>
      <xdr:nvPicPr>
        <xdr:cNvPr id="2595" name="Picture 2594"/>
        <xdr:cNvPicPr>
          <a:picLocks noChangeAspect="1" noChangeArrowheads="1"/>
        </xdr:cNvPicPr>
      </xdr:nvPicPr>
      <xdr:blipFill>
        <a:blip xmlns:r="http://schemas.openxmlformats.org/officeDocument/2006/relationships" r:embed="rId2592">
          <a:extLst>
            <a:ext uri="{28A0092B-C50C-407E-A947-70E740481C1C}">
              <a14:useLocalDpi xmlns:a14="http://schemas.microsoft.com/office/drawing/2010/main" val="0"/>
            </a:ext>
          </a:extLst>
        </a:blip>
        <a:srcRect/>
        <a:stretch>
          <a:fillRect/>
        </a:stretch>
      </xdr:blipFill>
      <xdr:spPr bwMode="auto">
        <a:xfrm>
          <a:off x="1228725" y="49279968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2597</xdr:row>
      <xdr:rowOff>19050</xdr:rowOff>
    </xdr:from>
    <xdr:to>
      <xdr:col>2</xdr:col>
      <xdr:colOff>1733550</xdr:colOff>
      <xdr:row>2597</xdr:row>
      <xdr:rowOff>1685925</xdr:rowOff>
    </xdr:to>
    <xdr:pic>
      <xdr:nvPicPr>
        <xdr:cNvPr id="2596" name="Picture 2595"/>
        <xdr:cNvPicPr>
          <a:picLocks noChangeAspect="1" noChangeArrowheads="1"/>
        </xdr:cNvPicPr>
      </xdr:nvPicPr>
      <xdr:blipFill>
        <a:blip xmlns:r="http://schemas.openxmlformats.org/officeDocument/2006/relationships" r:embed="rId2593">
          <a:extLst>
            <a:ext uri="{28A0092B-C50C-407E-A947-70E740481C1C}">
              <a14:useLocalDpi xmlns:a14="http://schemas.microsoft.com/office/drawing/2010/main" val="0"/>
            </a:ext>
          </a:extLst>
        </a:blip>
        <a:srcRect/>
        <a:stretch>
          <a:fillRect/>
        </a:stretch>
      </xdr:blipFill>
      <xdr:spPr bwMode="auto">
        <a:xfrm>
          <a:off x="1228725" y="49297590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2598</xdr:row>
      <xdr:rowOff>19050</xdr:rowOff>
    </xdr:from>
    <xdr:to>
      <xdr:col>2</xdr:col>
      <xdr:colOff>1733550</xdr:colOff>
      <xdr:row>2598</xdr:row>
      <xdr:rowOff>1685925</xdr:rowOff>
    </xdr:to>
    <xdr:pic>
      <xdr:nvPicPr>
        <xdr:cNvPr id="2597" name="Picture 2596"/>
        <xdr:cNvPicPr>
          <a:picLocks noChangeAspect="1" noChangeArrowheads="1"/>
        </xdr:cNvPicPr>
      </xdr:nvPicPr>
      <xdr:blipFill>
        <a:blip xmlns:r="http://schemas.openxmlformats.org/officeDocument/2006/relationships" r:embed="rId2594">
          <a:extLst>
            <a:ext uri="{28A0092B-C50C-407E-A947-70E740481C1C}">
              <a14:useLocalDpi xmlns:a14="http://schemas.microsoft.com/office/drawing/2010/main" val="0"/>
            </a:ext>
          </a:extLst>
        </a:blip>
        <a:srcRect/>
        <a:stretch>
          <a:fillRect/>
        </a:stretch>
      </xdr:blipFill>
      <xdr:spPr bwMode="auto">
        <a:xfrm>
          <a:off x="1228725" y="49317021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2599</xdr:row>
      <xdr:rowOff>19050</xdr:rowOff>
    </xdr:from>
    <xdr:to>
      <xdr:col>2</xdr:col>
      <xdr:colOff>1733550</xdr:colOff>
      <xdr:row>2599</xdr:row>
      <xdr:rowOff>1685925</xdr:rowOff>
    </xdr:to>
    <xdr:pic>
      <xdr:nvPicPr>
        <xdr:cNvPr id="2598" name="Picture 2597"/>
        <xdr:cNvPicPr>
          <a:picLocks noChangeAspect="1" noChangeArrowheads="1"/>
        </xdr:cNvPicPr>
      </xdr:nvPicPr>
      <xdr:blipFill>
        <a:blip xmlns:r="http://schemas.openxmlformats.org/officeDocument/2006/relationships" r:embed="rId2595">
          <a:extLst>
            <a:ext uri="{28A0092B-C50C-407E-A947-70E740481C1C}">
              <a14:useLocalDpi xmlns:a14="http://schemas.microsoft.com/office/drawing/2010/main" val="0"/>
            </a:ext>
          </a:extLst>
        </a:blip>
        <a:srcRect/>
        <a:stretch>
          <a:fillRect/>
        </a:stretch>
      </xdr:blipFill>
      <xdr:spPr bwMode="auto">
        <a:xfrm>
          <a:off x="1228725" y="493364520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2600</xdr:row>
      <xdr:rowOff>9525</xdr:rowOff>
    </xdr:from>
    <xdr:to>
      <xdr:col>2</xdr:col>
      <xdr:colOff>1733550</xdr:colOff>
      <xdr:row>2600</xdr:row>
      <xdr:rowOff>1524000</xdr:rowOff>
    </xdr:to>
    <xdr:pic>
      <xdr:nvPicPr>
        <xdr:cNvPr id="2599" name="Picture 2598"/>
        <xdr:cNvPicPr>
          <a:picLocks noChangeAspect="1" noChangeArrowheads="1"/>
        </xdr:cNvPicPr>
      </xdr:nvPicPr>
      <xdr:blipFill>
        <a:blip xmlns:r="http://schemas.openxmlformats.org/officeDocument/2006/relationships" r:embed="rId2596">
          <a:extLst>
            <a:ext uri="{28A0092B-C50C-407E-A947-70E740481C1C}">
              <a14:useLocalDpi xmlns:a14="http://schemas.microsoft.com/office/drawing/2010/main" val="0"/>
            </a:ext>
          </a:extLst>
        </a:blip>
        <a:srcRect/>
        <a:stretch>
          <a:fillRect/>
        </a:stretch>
      </xdr:blipFill>
      <xdr:spPr bwMode="auto">
        <a:xfrm>
          <a:off x="1228725" y="4935578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2601</xdr:row>
      <xdr:rowOff>9525</xdr:rowOff>
    </xdr:from>
    <xdr:to>
      <xdr:col>2</xdr:col>
      <xdr:colOff>1733550</xdr:colOff>
      <xdr:row>2601</xdr:row>
      <xdr:rowOff>1524000</xdr:rowOff>
    </xdr:to>
    <xdr:pic>
      <xdr:nvPicPr>
        <xdr:cNvPr id="2600" name="Picture 2599"/>
        <xdr:cNvPicPr>
          <a:picLocks noChangeAspect="1" noChangeArrowheads="1"/>
        </xdr:cNvPicPr>
      </xdr:nvPicPr>
      <xdr:blipFill>
        <a:blip xmlns:r="http://schemas.openxmlformats.org/officeDocument/2006/relationships" r:embed="rId2597">
          <a:extLst>
            <a:ext uri="{28A0092B-C50C-407E-A947-70E740481C1C}">
              <a14:useLocalDpi xmlns:a14="http://schemas.microsoft.com/office/drawing/2010/main" val="0"/>
            </a:ext>
          </a:extLst>
        </a:blip>
        <a:srcRect/>
        <a:stretch>
          <a:fillRect/>
        </a:stretch>
      </xdr:blipFill>
      <xdr:spPr bwMode="auto">
        <a:xfrm>
          <a:off x="1228725" y="4937331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2602</xdr:row>
      <xdr:rowOff>9525</xdr:rowOff>
    </xdr:from>
    <xdr:to>
      <xdr:col>2</xdr:col>
      <xdr:colOff>1733550</xdr:colOff>
      <xdr:row>2602</xdr:row>
      <xdr:rowOff>1524000</xdr:rowOff>
    </xdr:to>
    <xdr:pic>
      <xdr:nvPicPr>
        <xdr:cNvPr id="2601" name="Picture 2600"/>
        <xdr:cNvPicPr>
          <a:picLocks noChangeAspect="1" noChangeArrowheads="1"/>
        </xdr:cNvPicPr>
      </xdr:nvPicPr>
      <xdr:blipFill>
        <a:blip xmlns:r="http://schemas.openxmlformats.org/officeDocument/2006/relationships" r:embed="rId2598">
          <a:extLst>
            <a:ext uri="{28A0092B-C50C-407E-A947-70E740481C1C}">
              <a14:useLocalDpi xmlns:a14="http://schemas.microsoft.com/office/drawing/2010/main" val="0"/>
            </a:ext>
          </a:extLst>
        </a:blip>
        <a:srcRect/>
        <a:stretch>
          <a:fillRect/>
        </a:stretch>
      </xdr:blipFill>
      <xdr:spPr bwMode="auto">
        <a:xfrm>
          <a:off x="1228725" y="4939083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2603</xdr:row>
      <xdr:rowOff>9525</xdr:rowOff>
    </xdr:from>
    <xdr:to>
      <xdr:col>2</xdr:col>
      <xdr:colOff>1733550</xdr:colOff>
      <xdr:row>2603</xdr:row>
      <xdr:rowOff>1524000</xdr:rowOff>
    </xdr:to>
    <xdr:pic>
      <xdr:nvPicPr>
        <xdr:cNvPr id="2602" name="Picture 2601"/>
        <xdr:cNvPicPr>
          <a:picLocks noChangeAspect="1" noChangeArrowheads="1"/>
        </xdr:cNvPicPr>
      </xdr:nvPicPr>
      <xdr:blipFill>
        <a:blip xmlns:r="http://schemas.openxmlformats.org/officeDocument/2006/relationships" r:embed="rId2599">
          <a:extLst>
            <a:ext uri="{28A0092B-C50C-407E-A947-70E740481C1C}">
              <a14:useLocalDpi xmlns:a14="http://schemas.microsoft.com/office/drawing/2010/main" val="0"/>
            </a:ext>
          </a:extLst>
        </a:blip>
        <a:srcRect/>
        <a:stretch>
          <a:fillRect/>
        </a:stretch>
      </xdr:blipFill>
      <xdr:spPr bwMode="auto">
        <a:xfrm>
          <a:off x="1228725" y="4940836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2604</xdr:row>
      <xdr:rowOff>9525</xdr:rowOff>
    </xdr:from>
    <xdr:to>
      <xdr:col>2</xdr:col>
      <xdr:colOff>1733550</xdr:colOff>
      <xdr:row>2604</xdr:row>
      <xdr:rowOff>1524000</xdr:rowOff>
    </xdr:to>
    <xdr:pic>
      <xdr:nvPicPr>
        <xdr:cNvPr id="2603" name="Picture 2602"/>
        <xdr:cNvPicPr>
          <a:picLocks noChangeAspect="1" noChangeArrowheads="1"/>
        </xdr:cNvPicPr>
      </xdr:nvPicPr>
      <xdr:blipFill>
        <a:blip xmlns:r="http://schemas.openxmlformats.org/officeDocument/2006/relationships" r:embed="rId2600">
          <a:extLst>
            <a:ext uri="{28A0092B-C50C-407E-A947-70E740481C1C}">
              <a14:useLocalDpi xmlns:a14="http://schemas.microsoft.com/office/drawing/2010/main" val="0"/>
            </a:ext>
          </a:extLst>
        </a:blip>
        <a:srcRect/>
        <a:stretch>
          <a:fillRect/>
        </a:stretch>
      </xdr:blipFill>
      <xdr:spPr bwMode="auto">
        <a:xfrm>
          <a:off x="1228725" y="49425891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2605</xdr:row>
      <xdr:rowOff>9525</xdr:rowOff>
    </xdr:from>
    <xdr:to>
      <xdr:col>2</xdr:col>
      <xdr:colOff>1733550</xdr:colOff>
      <xdr:row>2605</xdr:row>
      <xdr:rowOff>1524000</xdr:rowOff>
    </xdr:to>
    <xdr:pic>
      <xdr:nvPicPr>
        <xdr:cNvPr id="2604" name="Picture 2603"/>
        <xdr:cNvPicPr>
          <a:picLocks noChangeAspect="1" noChangeArrowheads="1"/>
        </xdr:cNvPicPr>
      </xdr:nvPicPr>
      <xdr:blipFill>
        <a:blip xmlns:r="http://schemas.openxmlformats.org/officeDocument/2006/relationships" r:embed="rId2601">
          <a:extLst>
            <a:ext uri="{28A0092B-C50C-407E-A947-70E740481C1C}">
              <a14:useLocalDpi xmlns:a14="http://schemas.microsoft.com/office/drawing/2010/main" val="0"/>
            </a:ext>
          </a:extLst>
        </a:blip>
        <a:srcRect/>
        <a:stretch>
          <a:fillRect/>
        </a:stretch>
      </xdr:blipFill>
      <xdr:spPr bwMode="auto">
        <a:xfrm>
          <a:off x="1228725" y="49443417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2606</xdr:row>
      <xdr:rowOff>9525</xdr:rowOff>
    </xdr:from>
    <xdr:to>
      <xdr:col>2</xdr:col>
      <xdr:colOff>1733550</xdr:colOff>
      <xdr:row>2606</xdr:row>
      <xdr:rowOff>1524000</xdr:rowOff>
    </xdr:to>
    <xdr:pic>
      <xdr:nvPicPr>
        <xdr:cNvPr id="2605" name="Picture 2604"/>
        <xdr:cNvPicPr>
          <a:picLocks noChangeAspect="1" noChangeArrowheads="1"/>
        </xdr:cNvPicPr>
      </xdr:nvPicPr>
      <xdr:blipFill>
        <a:blip xmlns:r="http://schemas.openxmlformats.org/officeDocument/2006/relationships" r:embed="rId2602">
          <a:extLst>
            <a:ext uri="{28A0092B-C50C-407E-A947-70E740481C1C}">
              <a14:useLocalDpi xmlns:a14="http://schemas.microsoft.com/office/drawing/2010/main" val="0"/>
            </a:ext>
          </a:extLst>
        </a:blip>
        <a:srcRect/>
        <a:stretch>
          <a:fillRect/>
        </a:stretch>
      </xdr:blipFill>
      <xdr:spPr bwMode="auto">
        <a:xfrm>
          <a:off x="1228725" y="49460943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2607</xdr:row>
      <xdr:rowOff>9525</xdr:rowOff>
    </xdr:from>
    <xdr:to>
      <xdr:col>2</xdr:col>
      <xdr:colOff>1733550</xdr:colOff>
      <xdr:row>2607</xdr:row>
      <xdr:rowOff>1524000</xdr:rowOff>
    </xdr:to>
    <xdr:pic>
      <xdr:nvPicPr>
        <xdr:cNvPr id="2606" name="Picture 2605"/>
        <xdr:cNvPicPr>
          <a:picLocks noChangeAspect="1" noChangeArrowheads="1"/>
        </xdr:cNvPicPr>
      </xdr:nvPicPr>
      <xdr:blipFill>
        <a:blip xmlns:r="http://schemas.openxmlformats.org/officeDocument/2006/relationships" r:embed="rId2603">
          <a:extLst>
            <a:ext uri="{28A0092B-C50C-407E-A947-70E740481C1C}">
              <a14:useLocalDpi xmlns:a14="http://schemas.microsoft.com/office/drawing/2010/main" val="0"/>
            </a:ext>
          </a:extLst>
        </a:blip>
        <a:srcRect/>
        <a:stretch>
          <a:fillRect/>
        </a:stretch>
      </xdr:blipFill>
      <xdr:spPr bwMode="auto">
        <a:xfrm>
          <a:off x="1228725" y="49478469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2608</xdr:row>
      <xdr:rowOff>9525</xdr:rowOff>
    </xdr:from>
    <xdr:to>
      <xdr:col>2</xdr:col>
      <xdr:colOff>1733550</xdr:colOff>
      <xdr:row>2608</xdr:row>
      <xdr:rowOff>1524000</xdr:rowOff>
    </xdr:to>
    <xdr:pic>
      <xdr:nvPicPr>
        <xdr:cNvPr id="2607" name="Picture 2606"/>
        <xdr:cNvPicPr>
          <a:picLocks noChangeAspect="1" noChangeArrowheads="1"/>
        </xdr:cNvPicPr>
      </xdr:nvPicPr>
      <xdr:blipFill>
        <a:blip xmlns:r="http://schemas.openxmlformats.org/officeDocument/2006/relationships" r:embed="rId2604">
          <a:extLst>
            <a:ext uri="{28A0092B-C50C-407E-A947-70E740481C1C}">
              <a14:useLocalDpi xmlns:a14="http://schemas.microsoft.com/office/drawing/2010/main" val="0"/>
            </a:ext>
          </a:extLst>
        </a:blip>
        <a:srcRect/>
        <a:stretch>
          <a:fillRect/>
        </a:stretch>
      </xdr:blipFill>
      <xdr:spPr bwMode="auto">
        <a:xfrm>
          <a:off x="1228725" y="49495995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2609</xdr:row>
      <xdr:rowOff>19050</xdr:rowOff>
    </xdr:from>
    <xdr:to>
      <xdr:col>2</xdr:col>
      <xdr:colOff>1733550</xdr:colOff>
      <xdr:row>2609</xdr:row>
      <xdr:rowOff>1666875</xdr:rowOff>
    </xdr:to>
    <xdr:pic>
      <xdr:nvPicPr>
        <xdr:cNvPr id="2608" name="Picture 2607"/>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28725" y="4951361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2610</xdr:row>
      <xdr:rowOff>19050</xdr:rowOff>
    </xdr:from>
    <xdr:to>
      <xdr:col>2</xdr:col>
      <xdr:colOff>1733550</xdr:colOff>
      <xdr:row>2610</xdr:row>
      <xdr:rowOff>1666875</xdr:rowOff>
    </xdr:to>
    <xdr:pic>
      <xdr:nvPicPr>
        <xdr:cNvPr id="2609" name="Picture 2608"/>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495327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2611</xdr:row>
      <xdr:rowOff>9525</xdr:rowOff>
    </xdr:from>
    <xdr:to>
      <xdr:col>2</xdr:col>
      <xdr:colOff>1733550</xdr:colOff>
      <xdr:row>2611</xdr:row>
      <xdr:rowOff>1524000</xdr:rowOff>
    </xdr:to>
    <xdr:pic>
      <xdr:nvPicPr>
        <xdr:cNvPr id="2610" name="Picture 2609"/>
        <xdr:cNvPicPr>
          <a:picLocks noChangeAspect="1" noChangeArrowheads="1"/>
        </xdr:cNvPicPr>
      </xdr:nvPicPr>
      <xdr:blipFill>
        <a:blip xmlns:r="http://schemas.openxmlformats.org/officeDocument/2006/relationships" r:embed="rId2605">
          <a:extLst>
            <a:ext uri="{28A0092B-C50C-407E-A947-70E740481C1C}">
              <a14:useLocalDpi xmlns:a14="http://schemas.microsoft.com/office/drawing/2010/main" val="0"/>
            </a:ext>
          </a:extLst>
        </a:blip>
        <a:srcRect/>
        <a:stretch>
          <a:fillRect/>
        </a:stretch>
      </xdr:blipFill>
      <xdr:spPr bwMode="auto">
        <a:xfrm>
          <a:off x="1228725" y="49551812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2612</xdr:row>
      <xdr:rowOff>9525</xdr:rowOff>
    </xdr:from>
    <xdr:to>
      <xdr:col>2</xdr:col>
      <xdr:colOff>1733550</xdr:colOff>
      <xdr:row>2612</xdr:row>
      <xdr:rowOff>1524000</xdr:rowOff>
    </xdr:to>
    <xdr:pic>
      <xdr:nvPicPr>
        <xdr:cNvPr id="2611" name="Picture 2610"/>
        <xdr:cNvPicPr>
          <a:picLocks noChangeAspect="1" noChangeArrowheads="1"/>
        </xdr:cNvPicPr>
      </xdr:nvPicPr>
      <xdr:blipFill>
        <a:blip xmlns:r="http://schemas.openxmlformats.org/officeDocument/2006/relationships" r:embed="rId2606">
          <a:extLst>
            <a:ext uri="{28A0092B-C50C-407E-A947-70E740481C1C}">
              <a14:useLocalDpi xmlns:a14="http://schemas.microsoft.com/office/drawing/2010/main" val="0"/>
            </a:ext>
          </a:extLst>
        </a:blip>
        <a:srcRect/>
        <a:stretch>
          <a:fillRect/>
        </a:stretch>
      </xdr:blipFill>
      <xdr:spPr bwMode="auto">
        <a:xfrm>
          <a:off x="1228725" y="49569338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2613</xdr:row>
      <xdr:rowOff>9525</xdr:rowOff>
    </xdr:from>
    <xdr:to>
      <xdr:col>2</xdr:col>
      <xdr:colOff>1733550</xdr:colOff>
      <xdr:row>2613</xdr:row>
      <xdr:rowOff>1524000</xdr:rowOff>
    </xdr:to>
    <xdr:pic>
      <xdr:nvPicPr>
        <xdr:cNvPr id="2612" name="Picture 2611"/>
        <xdr:cNvPicPr>
          <a:picLocks noChangeAspect="1" noChangeArrowheads="1"/>
        </xdr:cNvPicPr>
      </xdr:nvPicPr>
      <xdr:blipFill>
        <a:blip xmlns:r="http://schemas.openxmlformats.org/officeDocument/2006/relationships" r:embed="rId2607">
          <a:extLst>
            <a:ext uri="{28A0092B-C50C-407E-A947-70E740481C1C}">
              <a14:useLocalDpi xmlns:a14="http://schemas.microsoft.com/office/drawing/2010/main" val="0"/>
            </a:ext>
          </a:extLst>
        </a:blip>
        <a:srcRect/>
        <a:stretch>
          <a:fillRect/>
        </a:stretch>
      </xdr:blipFill>
      <xdr:spPr bwMode="auto">
        <a:xfrm>
          <a:off x="1228725" y="49586864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2614</xdr:row>
      <xdr:rowOff>19050</xdr:rowOff>
    </xdr:from>
    <xdr:to>
      <xdr:col>2</xdr:col>
      <xdr:colOff>1733550</xdr:colOff>
      <xdr:row>2614</xdr:row>
      <xdr:rowOff>1666875</xdr:rowOff>
    </xdr:to>
    <xdr:pic>
      <xdr:nvPicPr>
        <xdr:cNvPr id="2613" name="Picture 2612"/>
        <xdr:cNvPicPr>
          <a:picLocks noChangeAspect="1" noChangeArrowheads="1"/>
        </xdr:cNvPicPr>
      </xdr:nvPicPr>
      <xdr:blipFill>
        <a:blip xmlns:r="http://schemas.openxmlformats.org/officeDocument/2006/relationships" r:embed="rId2608">
          <a:extLst>
            <a:ext uri="{28A0092B-C50C-407E-A947-70E740481C1C}">
              <a14:useLocalDpi xmlns:a14="http://schemas.microsoft.com/office/drawing/2010/main" val="0"/>
            </a:ext>
          </a:extLst>
        </a:blip>
        <a:srcRect/>
        <a:stretch>
          <a:fillRect/>
        </a:stretch>
      </xdr:blipFill>
      <xdr:spPr bwMode="auto">
        <a:xfrm>
          <a:off x="1228725" y="4960448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2616</xdr:row>
      <xdr:rowOff>9525</xdr:rowOff>
    </xdr:from>
    <xdr:to>
      <xdr:col>2</xdr:col>
      <xdr:colOff>1733550</xdr:colOff>
      <xdr:row>2616</xdr:row>
      <xdr:rowOff>1524000</xdr:rowOff>
    </xdr:to>
    <xdr:pic>
      <xdr:nvPicPr>
        <xdr:cNvPr id="2614" name="Picture 2613"/>
        <xdr:cNvPicPr>
          <a:picLocks noChangeAspect="1" noChangeArrowheads="1"/>
        </xdr:cNvPicPr>
      </xdr:nvPicPr>
      <xdr:blipFill>
        <a:blip xmlns:r="http://schemas.openxmlformats.org/officeDocument/2006/relationships" r:embed="rId2609">
          <a:extLst>
            <a:ext uri="{28A0092B-C50C-407E-A947-70E740481C1C}">
              <a14:useLocalDpi xmlns:a14="http://schemas.microsoft.com/office/drawing/2010/main" val="0"/>
            </a:ext>
          </a:extLst>
        </a:blip>
        <a:srcRect/>
        <a:stretch>
          <a:fillRect/>
        </a:stretch>
      </xdr:blipFill>
      <xdr:spPr bwMode="auto">
        <a:xfrm>
          <a:off x="1228725" y="4962677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2617</xdr:row>
      <xdr:rowOff>9525</xdr:rowOff>
    </xdr:from>
    <xdr:to>
      <xdr:col>2</xdr:col>
      <xdr:colOff>1733550</xdr:colOff>
      <xdr:row>2617</xdr:row>
      <xdr:rowOff>1524000</xdr:rowOff>
    </xdr:to>
    <xdr:pic>
      <xdr:nvPicPr>
        <xdr:cNvPr id="2615" name="Picture 2614"/>
        <xdr:cNvPicPr>
          <a:picLocks noChangeAspect="1" noChangeArrowheads="1"/>
        </xdr:cNvPicPr>
      </xdr:nvPicPr>
      <xdr:blipFill>
        <a:blip xmlns:r="http://schemas.openxmlformats.org/officeDocument/2006/relationships" r:embed="rId2610">
          <a:extLst>
            <a:ext uri="{28A0092B-C50C-407E-A947-70E740481C1C}">
              <a14:useLocalDpi xmlns:a14="http://schemas.microsoft.com/office/drawing/2010/main" val="0"/>
            </a:ext>
          </a:extLst>
        </a:blip>
        <a:srcRect/>
        <a:stretch>
          <a:fillRect/>
        </a:stretch>
      </xdr:blipFill>
      <xdr:spPr bwMode="auto">
        <a:xfrm>
          <a:off x="1228725" y="4964430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2618</xdr:row>
      <xdr:rowOff>9525</xdr:rowOff>
    </xdr:from>
    <xdr:to>
      <xdr:col>2</xdr:col>
      <xdr:colOff>1733550</xdr:colOff>
      <xdr:row>2618</xdr:row>
      <xdr:rowOff>1524000</xdr:rowOff>
    </xdr:to>
    <xdr:pic>
      <xdr:nvPicPr>
        <xdr:cNvPr id="2616" name="Picture 2615"/>
        <xdr:cNvPicPr>
          <a:picLocks noChangeAspect="1" noChangeArrowheads="1"/>
        </xdr:cNvPicPr>
      </xdr:nvPicPr>
      <xdr:blipFill>
        <a:blip xmlns:r="http://schemas.openxmlformats.org/officeDocument/2006/relationships" r:embed="rId2611">
          <a:extLst>
            <a:ext uri="{28A0092B-C50C-407E-A947-70E740481C1C}">
              <a14:useLocalDpi xmlns:a14="http://schemas.microsoft.com/office/drawing/2010/main" val="0"/>
            </a:ext>
          </a:extLst>
        </a:blip>
        <a:srcRect/>
        <a:stretch>
          <a:fillRect/>
        </a:stretch>
      </xdr:blipFill>
      <xdr:spPr bwMode="auto">
        <a:xfrm>
          <a:off x="1228725" y="4966182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2619</xdr:row>
      <xdr:rowOff>9525</xdr:rowOff>
    </xdr:from>
    <xdr:to>
      <xdr:col>2</xdr:col>
      <xdr:colOff>1733550</xdr:colOff>
      <xdr:row>2619</xdr:row>
      <xdr:rowOff>1524000</xdr:rowOff>
    </xdr:to>
    <xdr:pic>
      <xdr:nvPicPr>
        <xdr:cNvPr id="2617" name="Picture 2616"/>
        <xdr:cNvPicPr>
          <a:picLocks noChangeAspect="1" noChangeArrowheads="1"/>
        </xdr:cNvPicPr>
      </xdr:nvPicPr>
      <xdr:blipFill>
        <a:blip xmlns:r="http://schemas.openxmlformats.org/officeDocument/2006/relationships" r:embed="rId2612">
          <a:extLst>
            <a:ext uri="{28A0092B-C50C-407E-A947-70E740481C1C}">
              <a14:useLocalDpi xmlns:a14="http://schemas.microsoft.com/office/drawing/2010/main" val="0"/>
            </a:ext>
          </a:extLst>
        </a:blip>
        <a:srcRect/>
        <a:stretch>
          <a:fillRect/>
        </a:stretch>
      </xdr:blipFill>
      <xdr:spPr bwMode="auto">
        <a:xfrm>
          <a:off x="1228725" y="49679352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2620</xdr:row>
      <xdr:rowOff>9525</xdr:rowOff>
    </xdr:from>
    <xdr:to>
      <xdr:col>2</xdr:col>
      <xdr:colOff>1733550</xdr:colOff>
      <xdr:row>2620</xdr:row>
      <xdr:rowOff>1524000</xdr:rowOff>
    </xdr:to>
    <xdr:pic>
      <xdr:nvPicPr>
        <xdr:cNvPr id="2618" name="Picture 2617"/>
        <xdr:cNvPicPr>
          <a:picLocks noChangeAspect="1" noChangeArrowheads="1"/>
        </xdr:cNvPicPr>
      </xdr:nvPicPr>
      <xdr:blipFill>
        <a:blip xmlns:r="http://schemas.openxmlformats.org/officeDocument/2006/relationships" r:embed="rId2613">
          <a:extLst>
            <a:ext uri="{28A0092B-C50C-407E-A947-70E740481C1C}">
              <a14:useLocalDpi xmlns:a14="http://schemas.microsoft.com/office/drawing/2010/main" val="0"/>
            </a:ext>
          </a:extLst>
        </a:blip>
        <a:srcRect/>
        <a:stretch>
          <a:fillRect/>
        </a:stretch>
      </xdr:blipFill>
      <xdr:spPr bwMode="auto">
        <a:xfrm>
          <a:off x="1228725" y="49696878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2621</xdr:row>
      <xdr:rowOff>9525</xdr:rowOff>
    </xdr:from>
    <xdr:to>
      <xdr:col>2</xdr:col>
      <xdr:colOff>1733550</xdr:colOff>
      <xdr:row>2621</xdr:row>
      <xdr:rowOff>1524000</xdr:rowOff>
    </xdr:to>
    <xdr:pic>
      <xdr:nvPicPr>
        <xdr:cNvPr id="2619" name="Picture 2618"/>
        <xdr:cNvPicPr>
          <a:picLocks noChangeAspect="1" noChangeArrowheads="1"/>
        </xdr:cNvPicPr>
      </xdr:nvPicPr>
      <xdr:blipFill>
        <a:blip xmlns:r="http://schemas.openxmlformats.org/officeDocument/2006/relationships" r:embed="rId2614">
          <a:extLst>
            <a:ext uri="{28A0092B-C50C-407E-A947-70E740481C1C}">
              <a14:useLocalDpi xmlns:a14="http://schemas.microsoft.com/office/drawing/2010/main" val="0"/>
            </a:ext>
          </a:extLst>
        </a:blip>
        <a:srcRect/>
        <a:stretch>
          <a:fillRect/>
        </a:stretch>
      </xdr:blipFill>
      <xdr:spPr bwMode="auto">
        <a:xfrm>
          <a:off x="1228725" y="49714404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2622</xdr:row>
      <xdr:rowOff>9525</xdr:rowOff>
    </xdr:from>
    <xdr:to>
      <xdr:col>2</xdr:col>
      <xdr:colOff>1733550</xdr:colOff>
      <xdr:row>2622</xdr:row>
      <xdr:rowOff>1524000</xdr:rowOff>
    </xdr:to>
    <xdr:pic>
      <xdr:nvPicPr>
        <xdr:cNvPr id="2620" name="Picture 2619"/>
        <xdr:cNvPicPr>
          <a:picLocks noChangeAspect="1" noChangeArrowheads="1"/>
        </xdr:cNvPicPr>
      </xdr:nvPicPr>
      <xdr:blipFill>
        <a:blip xmlns:r="http://schemas.openxmlformats.org/officeDocument/2006/relationships" r:embed="rId2615">
          <a:extLst>
            <a:ext uri="{28A0092B-C50C-407E-A947-70E740481C1C}">
              <a14:useLocalDpi xmlns:a14="http://schemas.microsoft.com/office/drawing/2010/main" val="0"/>
            </a:ext>
          </a:extLst>
        </a:blip>
        <a:srcRect/>
        <a:stretch>
          <a:fillRect/>
        </a:stretch>
      </xdr:blipFill>
      <xdr:spPr bwMode="auto">
        <a:xfrm>
          <a:off x="1228725" y="49731930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2623</xdr:row>
      <xdr:rowOff>9525</xdr:rowOff>
    </xdr:from>
    <xdr:to>
      <xdr:col>2</xdr:col>
      <xdr:colOff>1733550</xdr:colOff>
      <xdr:row>2623</xdr:row>
      <xdr:rowOff>1524000</xdr:rowOff>
    </xdr:to>
    <xdr:pic>
      <xdr:nvPicPr>
        <xdr:cNvPr id="2621" name="Picture 2620"/>
        <xdr:cNvPicPr>
          <a:picLocks noChangeAspect="1" noChangeArrowheads="1"/>
        </xdr:cNvPicPr>
      </xdr:nvPicPr>
      <xdr:blipFill>
        <a:blip xmlns:r="http://schemas.openxmlformats.org/officeDocument/2006/relationships" r:embed="rId2615">
          <a:extLst>
            <a:ext uri="{28A0092B-C50C-407E-A947-70E740481C1C}">
              <a14:useLocalDpi xmlns:a14="http://schemas.microsoft.com/office/drawing/2010/main" val="0"/>
            </a:ext>
          </a:extLst>
        </a:blip>
        <a:srcRect/>
        <a:stretch>
          <a:fillRect/>
        </a:stretch>
      </xdr:blipFill>
      <xdr:spPr bwMode="auto">
        <a:xfrm>
          <a:off x="1228725" y="4974945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2624</xdr:row>
      <xdr:rowOff>19050</xdr:rowOff>
    </xdr:from>
    <xdr:to>
      <xdr:col>2</xdr:col>
      <xdr:colOff>1733550</xdr:colOff>
      <xdr:row>2624</xdr:row>
      <xdr:rowOff>1647825</xdr:rowOff>
    </xdr:to>
    <xdr:pic>
      <xdr:nvPicPr>
        <xdr:cNvPr id="2622" name="Picture 2621"/>
        <xdr:cNvPicPr>
          <a:picLocks noChangeAspect="1" noChangeArrowheads="1"/>
        </xdr:cNvPicPr>
      </xdr:nvPicPr>
      <xdr:blipFill>
        <a:blip xmlns:r="http://schemas.openxmlformats.org/officeDocument/2006/relationships" r:embed="rId2616">
          <a:extLst>
            <a:ext uri="{28A0092B-C50C-407E-A947-70E740481C1C}">
              <a14:useLocalDpi xmlns:a14="http://schemas.microsoft.com/office/drawing/2010/main" val="0"/>
            </a:ext>
          </a:extLst>
        </a:blip>
        <a:srcRect/>
        <a:stretch>
          <a:fillRect/>
        </a:stretch>
      </xdr:blipFill>
      <xdr:spPr bwMode="auto">
        <a:xfrm>
          <a:off x="1228725" y="49767077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2625</xdr:row>
      <xdr:rowOff>19050</xdr:rowOff>
    </xdr:from>
    <xdr:to>
      <xdr:col>2</xdr:col>
      <xdr:colOff>1733550</xdr:colOff>
      <xdr:row>2625</xdr:row>
      <xdr:rowOff>1647825</xdr:rowOff>
    </xdr:to>
    <xdr:pic>
      <xdr:nvPicPr>
        <xdr:cNvPr id="2623" name="Picture 2622"/>
        <xdr:cNvPicPr>
          <a:picLocks noChangeAspect="1" noChangeArrowheads="1"/>
        </xdr:cNvPicPr>
      </xdr:nvPicPr>
      <xdr:blipFill>
        <a:blip xmlns:r="http://schemas.openxmlformats.org/officeDocument/2006/relationships" r:embed="rId2617">
          <a:extLst>
            <a:ext uri="{28A0092B-C50C-407E-A947-70E740481C1C}">
              <a14:useLocalDpi xmlns:a14="http://schemas.microsoft.com/office/drawing/2010/main" val="0"/>
            </a:ext>
          </a:extLst>
        </a:blip>
        <a:srcRect/>
        <a:stretch>
          <a:fillRect/>
        </a:stretch>
      </xdr:blipFill>
      <xdr:spPr bwMode="auto">
        <a:xfrm>
          <a:off x="1228725" y="497860320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2626</xdr:row>
      <xdr:rowOff>19050</xdr:rowOff>
    </xdr:from>
    <xdr:to>
      <xdr:col>2</xdr:col>
      <xdr:colOff>1733550</xdr:colOff>
      <xdr:row>2626</xdr:row>
      <xdr:rowOff>1647825</xdr:rowOff>
    </xdr:to>
    <xdr:pic>
      <xdr:nvPicPr>
        <xdr:cNvPr id="2624" name="Picture 2623"/>
        <xdr:cNvPicPr>
          <a:picLocks noChangeAspect="1" noChangeArrowheads="1"/>
        </xdr:cNvPicPr>
      </xdr:nvPicPr>
      <xdr:blipFill>
        <a:blip xmlns:r="http://schemas.openxmlformats.org/officeDocument/2006/relationships" r:embed="rId2618">
          <a:extLst>
            <a:ext uri="{28A0092B-C50C-407E-A947-70E740481C1C}">
              <a14:useLocalDpi xmlns:a14="http://schemas.microsoft.com/office/drawing/2010/main" val="0"/>
            </a:ext>
          </a:extLst>
        </a:blip>
        <a:srcRect/>
        <a:stretch>
          <a:fillRect/>
        </a:stretch>
      </xdr:blipFill>
      <xdr:spPr bwMode="auto">
        <a:xfrm>
          <a:off x="1228725" y="49804986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2627</xdr:row>
      <xdr:rowOff>19050</xdr:rowOff>
    </xdr:from>
    <xdr:to>
      <xdr:col>2</xdr:col>
      <xdr:colOff>1733550</xdr:colOff>
      <xdr:row>2627</xdr:row>
      <xdr:rowOff>1647825</xdr:rowOff>
    </xdr:to>
    <xdr:pic>
      <xdr:nvPicPr>
        <xdr:cNvPr id="2625" name="Picture 2624"/>
        <xdr:cNvPicPr>
          <a:picLocks noChangeAspect="1" noChangeArrowheads="1"/>
        </xdr:cNvPicPr>
      </xdr:nvPicPr>
      <xdr:blipFill>
        <a:blip xmlns:r="http://schemas.openxmlformats.org/officeDocument/2006/relationships" r:embed="rId2619">
          <a:extLst>
            <a:ext uri="{28A0092B-C50C-407E-A947-70E740481C1C}">
              <a14:useLocalDpi xmlns:a14="http://schemas.microsoft.com/office/drawing/2010/main" val="0"/>
            </a:ext>
          </a:extLst>
        </a:blip>
        <a:srcRect/>
        <a:stretch>
          <a:fillRect/>
        </a:stretch>
      </xdr:blipFill>
      <xdr:spPr bwMode="auto">
        <a:xfrm>
          <a:off x="1228725" y="49823941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2628</xdr:row>
      <xdr:rowOff>19050</xdr:rowOff>
    </xdr:from>
    <xdr:to>
      <xdr:col>2</xdr:col>
      <xdr:colOff>1733550</xdr:colOff>
      <xdr:row>2628</xdr:row>
      <xdr:rowOff>1647825</xdr:rowOff>
    </xdr:to>
    <xdr:pic>
      <xdr:nvPicPr>
        <xdr:cNvPr id="2626" name="Picture 2625"/>
        <xdr:cNvPicPr>
          <a:picLocks noChangeAspect="1" noChangeArrowheads="1"/>
        </xdr:cNvPicPr>
      </xdr:nvPicPr>
      <xdr:blipFill>
        <a:blip xmlns:r="http://schemas.openxmlformats.org/officeDocument/2006/relationships" r:embed="rId2620">
          <a:extLst>
            <a:ext uri="{28A0092B-C50C-407E-A947-70E740481C1C}">
              <a14:useLocalDpi xmlns:a14="http://schemas.microsoft.com/office/drawing/2010/main" val="0"/>
            </a:ext>
          </a:extLst>
        </a:blip>
        <a:srcRect/>
        <a:stretch>
          <a:fillRect/>
        </a:stretch>
      </xdr:blipFill>
      <xdr:spPr bwMode="auto">
        <a:xfrm>
          <a:off x="1228725" y="4984289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2629</xdr:row>
      <xdr:rowOff>19050</xdr:rowOff>
    </xdr:from>
    <xdr:to>
      <xdr:col>2</xdr:col>
      <xdr:colOff>1733550</xdr:colOff>
      <xdr:row>2629</xdr:row>
      <xdr:rowOff>1666875</xdr:rowOff>
    </xdr:to>
    <xdr:pic>
      <xdr:nvPicPr>
        <xdr:cNvPr id="2627" name="Picture 2626"/>
        <xdr:cNvPicPr>
          <a:picLocks noChangeAspect="1" noChangeArrowheads="1"/>
        </xdr:cNvPicPr>
      </xdr:nvPicPr>
      <xdr:blipFill>
        <a:blip xmlns:r="http://schemas.openxmlformats.org/officeDocument/2006/relationships" r:embed="rId2621">
          <a:extLst>
            <a:ext uri="{28A0092B-C50C-407E-A947-70E740481C1C}">
              <a14:useLocalDpi xmlns:a14="http://schemas.microsoft.com/office/drawing/2010/main" val="0"/>
            </a:ext>
          </a:extLst>
        </a:blip>
        <a:srcRect/>
        <a:stretch>
          <a:fillRect/>
        </a:stretch>
      </xdr:blipFill>
      <xdr:spPr bwMode="auto">
        <a:xfrm>
          <a:off x="1228725" y="4986185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2630</xdr:row>
      <xdr:rowOff>19050</xdr:rowOff>
    </xdr:from>
    <xdr:to>
      <xdr:col>2</xdr:col>
      <xdr:colOff>1733550</xdr:colOff>
      <xdr:row>2630</xdr:row>
      <xdr:rowOff>1647825</xdr:rowOff>
    </xdr:to>
    <xdr:pic>
      <xdr:nvPicPr>
        <xdr:cNvPr id="2628" name="Picture 2627"/>
        <xdr:cNvPicPr>
          <a:picLocks noChangeAspect="1" noChangeArrowheads="1"/>
        </xdr:cNvPicPr>
      </xdr:nvPicPr>
      <xdr:blipFill>
        <a:blip xmlns:r="http://schemas.openxmlformats.org/officeDocument/2006/relationships" r:embed="rId2622">
          <a:extLst>
            <a:ext uri="{28A0092B-C50C-407E-A947-70E740481C1C}">
              <a14:useLocalDpi xmlns:a14="http://schemas.microsoft.com/office/drawing/2010/main" val="0"/>
            </a:ext>
          </a:extLst>
        </a:blip>
        <a:srcRect/>
        <a:stretch>
          <a:fillRect/>
        </a:stretch>
      </xdr:blipFill>
      <xdr:spPr bwMode="auto">
        <a:xfrm>
          <a:off x="1228725" y="49880996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2631</xdr:row>
      <xdr:rowOff>19050</xdr:rowOff>
    </xdr:from>
    <xdr:to>
      <xdr:col>2</xdr:col>
      <xdr:colOff>1733550</xdr:colOff>
      <xdr:row>2631</xdr:row>
      <xdr:rowOff>1666875</xdr:rowOff>
    </xdr:to>
    <xdr:pic>
      <xdr:nvPicPr>
        <xdr:cNvPr id="2629" name="Picture 2628"/>
        <xdr:cNvPicPr>
          <a:picLocks noChangeAspect="1" noChangeArrowheads="1"/>
        </xdr:cNvPicPr>
      </xdr:nvPicPr>
      <xdr:blipFill>
        <a:blip xmlns:r="http://schemas.openxmlformats.org/officeDocument/2006/relationships" r:embed="rId2623">
          <a:extLst>
            <a:ext uri="{28A0092B-C50C-407E-A947-70E740481C1C}">
              <a14:useLocalDpi xmlns:a14="http://schemas.microsoft.com/office/drawing/2010/main" val="0"/>
            </a:ext>
          </a:extLst>
        </a:blip>
        <a:srcRect/>
        <a:stretch>
          <a:fillRect/>
        </a:stretch>
      </xdr:blipFill>
      <xdr:spPr bwMode="auto">
        <a:xfrm>
          <a:off x="1228725" y="4989995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2632</xdr:row>
      <xdr:rowOff>19050</xdr:rowOff>
    </xdr:from>
    <xdr:to>
      <xdr:col>2</xdr:col>
      <xdr:colOff>1733550</xdr:colOff>
      <xdr:row>2632</xdr:row>
      <xdr:rowOff>1666875</xdr:rowOff>
    </xdr:to>
    <xdr:pic>
      <xdr:nvPicPr>
        <xdr:cNvPr id="2630" name="Picture 2629"/>
        <xdr:cNvPicPr>
          <a:picLocks noChangeAspect="1" noChangeArrowheads="1"/>
        </xdr:cNvPicPr>
      </xdr:nvPicPr>
      <xdr:blipFill>
        <a:blip xmlns:r="http://schemas.openxmlformats.org/officeDocument/2006/relationships" r:embed="rId2624">
          <a:extLst>
            <a:ext uri="{28A0092B-C50C-407E-A947-70E740481C1C}">
              <a14:useLocalDpi xmlns:a14="http://schemas.microsoft.com/office/drawing/2010/main" val="0"/>
            </a:ext>
          </a:extLst>
        </a:blip>
        <a:srcRect/>
        <a:stretch>
          <a:fillRect/>
        </a:stretch>
      </xdr:blipFill>
      <xdr:spPr bwMode="auto">
        <a:xfrm>
          <a:off x="1228725" y="4991909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2633</xdr:row>
      <xdr:rowOff>9525</xdr:rowOff>
    </xdr:from>
    <xdr:to>
      <xdr:col>2</xdr:col>
      <xdr:colOff>1733550</xdr:colOff>
      <xdr:row>2633</xdr:row>
      <xdr:rowOff>1524000</xdr:rowOff>
    </xdr:to>
    <xdr:pic>
      <xdr:nvPicPr>
        <xdr:cNvPr id="2631" name="Picture 2630"/>
        <xdr:cNvPicPr>
          <a:picLocks noChangeAspect="1" noChangeArrowheads="1"/>
        </xdr:cNvPicPr>
      </xdr:nvPicPr>
      <xdr:blipFill>
        <a:blip xmlns:r="http://schemas.openxmlformats.org/officeDocument/2006/relationships" r:embed="rId2625">
          <a:extLst>
            <a:ext uri="{28A0092B-C50C-407E-A947-70E740481C1C}">
              <a14:useLocalDpi xmlns:a14="http://schemas.microsoft.com/office/drawing/2010/main" val="0"/>
            </a:ext>
          </a:extLst>
        </a:blip>
        <a:srcRect/>
        <a:stretch>
          <a:fillRect/>
        </a:stretch>
      </xdr:blipFill>
      <xdr:spPr bwMode="auto">
        <a:xfrm>
          <a:off x="1228725" y="49938146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2634</xdr:row>
      <xdr:rowOff>19050</xdr:rowOff>
    </xdr:from>
    <xdr:to>
      <xdr:col>2</xdr:col>
      <xdr:colOff>1733550</xdr:colOff>
      <xdr:row>2634</xdr:row>
      <xdr:rowOff>1666875</xdr:rowOff>
    </xdr:to>
    <xdr:pic>
      <xdr:nvPicPr>
        <xdr:cNvPr id="2632" name="Picture 2631"/>
        <xdr:cNvPicPr>
          <a:picLocks noChangeAspect="1" noChangeArrowheads="1"/>
        </xdr:cNvPicPr>
      </xdr:nvPicPr>
      <xdr:blipFill>
        <a:blip xmlns:r="http://schemas.openxmlformats.org/officeDocument/2006/relationships" r:embed="rId2626">
          <a:extLst>
            <a:ext uri="{28A0092B-C50C-407E-A947-70E740481C1C}">
              <a14:useLocalDpi xmlns:a14="http://schemas.microsoft.com/office/drawing/2010/main" val="0"/>
            </a:ext>
          </a:extLst>
        </a:blip>
        <a:srcRect/>
        <a:stretch>
          <a:fillRect/>
        </a:stretch>
      </xdr:blipFill>
      <xdr:spPr bwMode="auto">
        <a:xfrm>
          <a:off x="1228725" y="4995576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2635</xdr:row>
      <xdr:rowOff>19050</xdr:rowOff>
    </xdr:from>
    <xdr:to>
      <xdr:col>2</xdr:col>
      <xdr:colOff>1733550</xdr:colOff>
      <xdr:row>2635</xdr:row>
      <xdr:rowOff>1666875</xdr:rowOff>
    </xdr:to>
    <xdr:pic>
      <xdr:nvPicPr>
        <xdr:cNvPr id="2633" name="Picture 2632"/>
        <xdr:cNvPicPr>
          <a:picLocks noChangeAspect="1" noChangeArrowheads="1"/>
        </xdr:cNvPicPr>
      </xdr:nvPicPr>
      <xdr:blipFill>
        <a:blip xmlns:r="http://schemas.openxmlformats.org/officeDocument/2006/relationships" r:embed="rId2627">
          <a:extLst>
            <a:ext uri="{28A0092B-C50C-407E-A947-70E740481C1C}">
              <a14:useLocalDpi xmlns:a14="http://schemas.microsoft.com/office/drawing/2010/main" val="0"/>
            </a:ext>
          </a:extLst>
        </a:blip>
        <a:srcRect/>
        <a:stretch>
          <a:fillRect/>
        </a:stretch>
      </xdr:blipFill>
      <xdr:spPr bwMode="auto">
        <a:xfrm>
          <a:off x="1228725" y="4997491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2636</xdr:row>
      <xdr:rowOff>9525</xdr:rowOff>
    </xdr:from>
    <xdr:to>
      <xdr:col>2</xdr:col>
      <xdr:colOff>1733550</xdr:colOff>
      <xdr:row>2636</xdr:row>
      <xdr:rowOff>1524000</xdr:rowOff>
    </xdr:to>
    <xdr:pic>
      <xdr:nvPicPr>
        <xdr:cNvPr id="2634" name="Picture 2633"/>
        <xdr:cNvPicPr>
          <a:picLocks noChangeAspect="1" noChangeArrowheads="1"/>
        </xdr:cNvPicPr>
      </xdr:nvPicPr>
      <xdr:blipFill>
        <a:blip xmlns:r="http://schemas.openxmlformats.org/officeDocument/2006/relationships" r:embed="rId2628">
          <a:extLst>
            <a:ext uri="{28A0092B-C50C-407E-A947-70E740481C1C}">
              <a14:useLocalDpi xmlns:a14="http://schemas.microsoft.com/office/drawing/2010/main" val="0"/>
            </a:ext>
          </a:extLst>
        </a:blip>
        <a:srcRect/>
        <a:stretch>
          <a:fillRect/>
        </a:stretch>
      </xdr:blipFill>
      <xdr:spPr bwMode="auto">
        <a:xfrm>
          <a:off x="1228725" y="4999396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2637</xdr:row>
      <xdr:rowOff>19050</xdr:rowOff>
    </xdr:from>
    <xdr:to>
      <xdr:col>2</xdr:col>
      <xdr:colOff>1733550</xdr:colOff>
      <xdr:row>2637</xdr:row>
      <xdr:rowOff>1666875</xdr:rowOff>
    </xdr:to>
    <xdr:pic>
      <xdr:nvPicPr>
        <xdr:cNvPr id="2635" name="Picture 2634"/>
        <xdr:cNvPicPr>
          <a:picLocks noChangeAspect="1" noChangeArrowheads="1"/>
        </xdr:cNvPicPr>
      </xdr:nvPicPr>
      <xdr:blipFill>
        <a:blip xmlns:r="http://schemas.openxmlformats.org/officeDocument/2006/relationships" r:embed="rId2629">
          <a:extLst>
            <a:ext uri="{28A0092B-C50C-407E-A947-70E740481C1C}">
              <a14:useLocalDpi xmlns:a14="http://schemas.microsoft.com/office/drawing/2010/main" val="0"/>
            </a:ext>
          </a:extLst>
        </a:blip>
        <a:srcRect/>
        <a:stretch>
          <a:fillRect/>
        </a:stretch>
      </xdr:blipFill>
      <xdr:spPr bwMode="auto">
        <a:xfrm>
          <a:off x="1228725" y="5001158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2638</xdr:row>
      <xdr:rowOff>19050</xdr:rowOff>
    </xdr:from>
    <xdr:to>
      <xdr:col>2</xdr:col>
      <xdr:colOff>1733550</xdr:colOff>
      <xdr:row>2638</xdr:row>
      <xdr:rowOff>1666875</xdr:rowOff>
    </xdr:to>
    <xdr:pic>
      <xdr:nvPicPr>
        <xdr:cNvPr id="2636" name="Picture 2635"/>
        <xdr:cNvPicPr>
          <a:picLocks noChangeAspect="1" noChangeArrowheads="1"/>
        </xdr:cNvPicPr>
      </xdr:nvPicPr>
      <xdr:blipFill>
        <a:blip xmlns:r="http://schemas.openxmlformats.org/officeDocument/2006/relationships" r:embed="rId2630">
          <a:extLst>
            <a:ext uri="{28A0092B-C50C-407E-A947-70E740481C1C}">
              <a14:useLocalDpi xmlns:a14="http://schemas.microsoft.com/office/drawing/2010/main" val="0"/>
            </a:ext>
          </a:extLst>
        </a:blip>
        <a:srcRect/>
        <a:stretch>
          <a:fillRect/>
        </a:stretch>
      </xdr:blipFill>
      <xdr:spPr bwMode="auto">
        <a:xfrm>
          <a:off x="1228725" y="5003072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2639</xdr:row>
      <xdr:rowOff>9525</xdr:rowOff>
    </xdr:from>
    <xdr:to>
      <xdr:col>2</xdr:col>
      <xdr:colOff>1733550</xdr:colOff>
      <xdr:row>2639</xdr:row>
      <xdr:rowOff>1524000</xdr:rowOff>
    </xdr:to>
    <xdr:pic>
      <xdr:nvPicPr>
        <xdr:cNvPr id="2637" name="Picture 2636"/>
        <xdr:cNvPicPr>
          <a:picLocks noChangeAspect="1" noChangeArrowheads="1"/>
        </xdr:cNvPicPr>
      </xdr:nvPicPr>
      <xdr:blipFill>
        <a:blip xmlns:r="http://schemas.openxmlformats.org/officeDocument/2006/relationships" r:embed="rId2631">
          <a:extLst>
            <a:ext uri="{28A0092B-C50C-407E-A947-70E740481C1C}">
              <a14:useLocalDpi xmlns:a14="http://schemas.microsoft.com/office/drawing/2010/main" val="0"/>
            </a:ext>
          </a:extLst>
        </a:blip>
        <a:srcRect/>
        <a:stretch>
          <a:fillRect/>
        </a:stretch>
      </xdr:blipFill>
      <xdr:spPr bwMode="auto">
        <a:xfrm>
          <a:off x="1228725" y="50049779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2640</xdr:row>
      <xdr:rowOff>9525</xdr:rowOff>
    </xdr:from>
    <xdr:to>
      <xdr:col>2</xdr:col>
      <xdr:colOff>1733550</xdr:colOff>
      <xdr:row>2640</xdr:row>
      <xdr:rowOff>1524000</xdr:rowOff>
    </xdr:to>
    <xdr:pic>
      <xdr:nvPicPr>
        <xdr:cNvPr id="2638" name="Picture 2637"/>
        <xdr:cNvPicPr>
          <a:picLocks noChangeAspect="1" noChangeArrowheads="1"/>
        </xdr:cNvPicPr>
      </xdr:nvPicPr>
      <xdr:blipFill>
        <a:blip xmlns:r="http://schemas.openxmlformats.org/officeDocument/2006/relationships" r:embed="rId2632">
          <a:extLst>
            <a:ext uri="{28A0092B-C50C-407E-A947-70E740481C1C}">
              <a14:useLocalDpi xmlns:a14="http://schemas.microsoft.com/office/drawing/2010/main" val="0"/>
            </a:ext>
          </a:extLst>
        </a:blip>
        <a:srcRect/>
        <a:stretch>
          <a:fillRect/>
        </a:stretch>
      </xdr:blipFill>
      <xdr:spPr bwMode="auto">
        <a:xfrm>
          <a:off x="1228725" y="500673052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2641</xdr:row>
      <xdr:rowOff>19050</xdr:rowOff>
    </xdr:from>
    <xdr:to>
      <xdr:col>2</xdr:col>
      <xdr:colOff>1733550</xdr:colOff>
      <xdr:row>2641</xdr:row>
      <xdr:rowOff>1666875</xdr:rowOff>
    </xdr:to>
    <xdr:pic>
      <xdr:nvPicPr>
        <xdr:cNvPr id="2639" name="Picture 2638"/>
        <xdr:cNvPicPr>
          <a:picLocks noChangeAspect="1" noChangeArrowheads="1"/>
        </xdr:cNvPicPr>
      </xdr:nvPicPr>
      <xdr:blipFill>
        <a:blip xmlns:r="http://schemas.openxmlformats.org/officeDocument/2006/relationships" r:embed="rId2633">
          <a:extLst>
            <a:ext uri="{28A0092B-C50C-407E-A947-70E740481C1C}">
              <a14:useLocalDpi xmlns:a14="http://schemas.microsoft.com/office/drawing/2010/main" val="0"/>
            </a:ext>
          </a:extLst>
        </a:blip>
        <a:srcRect/>
        <a:stretch>
          <a:fillRect/>
        </a:stretch>
      </xdr:blipFill>
      <xdr:spPr bwMode="auto">
        <a:xfrm>
          <a:off x="1228725" y="50084926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2642</xdr:row>
      <xdr:rowOff>19050</xdr:rowOff>
    </xdr:from>
    <xdr:to>
      <xdr:col>2</xdr:col>
      <xdr:colOff>1733550</xdr:colOff>
      <xdr:row>2642</xdr:row>
      <xdr:rowOff>1666875</xdr:rowOff>
    </xdr:to>
    <xdr:pic>
      <xdr:nvPicPr>
        <xdr:cNvPr id="2640" name="Picture 2639"/>
        <xdr:cNvPicPr>
          <a:picLocks noChangeAspect="1" noChangeArrowheads="1"/>
        </xdr:cNvPicPr>
      </xdr:nvPicPr>
      <xdr:blipFill>
        <a:blip xmlns:r="http://schemas.openxmlformats.org/officeDocument/2006/relationships" r:embed="rId2634">
          <a:extLst>
            <a:ext uri="{28A0092B-C50C-407E-A947-70E740481C1C}">
              <a14:useLocalDpi xmlns:a14="http://schemas.microsoft.com/office/drawing/2010/main" val="0"/>
            </a:ext>
          </a:extLst>
        </a:blip>
        <a:srcRect/>
        <a:stretch>
          <a:fillRect/>
        </a:stretch>
      </xdr:blipFill>
      <xdr:spPr bwMode="auto">
        <a:xfrm>
          <a:off x="1228725" y="50104071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2643</xdr:row>
      <xdr:rowOff>19050</xdr:rowOff>
    </xdr:from>
    <xdr:to>
      <xdr:col>2</xdr:col>
      <xdr:colOff>1733550</xdr:colOff>
      <xdr:row>2643</xdr:row>
      <xdr:rowOff>1666875</xdr:rowOff>
    </xdr:to>
    <xdr:pic>
      <xdr:nvPicPr>
        <xdr:cNvPr id="2641" name="Picture 2640"/>
        <xdr:cNvPicPr>
          <a:picLocks noChangeAspect="1" noChangeArrowheads="1"/>
        </xdr:cNvPicPr>
      </xdr:nvPicPr>
      <xdr:blipFill>
        <a:blip xmlns:r="http://schemas.openxmlformats.org/officeDocument/2006/relationships" r:embed="rId2635">
          <a:extLst>
            <a:ext uri="{28A0092B-C50C-407E-A947-70E740481C1C}">
              <a14:useLocalDpi xmlns:a14="http://schemas.microsoft.com/office/drawing/2010/main" val="0"/>
            </a:ext>
          </a:extLst>
        </a:blip>
        <a:srcRect/>
        <a:stretch>
          <a:fillRect/>
        </a:stretch>
      </xdr:blipFill>
      <xdr:spPr bwMode="auto">
        <a:xfrm>
          <a:off x="1228725" y="5012321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2644</xdr:row>
      <xdr:rowOff>19050</xdr:rowOff>
    </xdr:from>
    <xdr:to>
      <xdr:col>2</xdr:col>
      <xdr:colOff>1733550</xdr:colOff>
      <xdr:row>2644</xdr:row>
      <xdr:rowOff>1666875</xdr:rowOff>
    </xdr:to>
    <xdr:pic>
      <xdr:nvPicPr>
        <xdr:cNvPr id="2642" name="Picture 2641"/>
        <xdr:cNvPicPr>
          <a:picLocks noChangeAspect="1" noChangeArrowheads="1"/>
        </xdr:cNvPicPr>
      </xdr:nvPicPr>
      <xdr:blipFill>
        <a:blip xmlns:r="http://schemas.openxmlformats.org/officeDocument/2006/relationships" r:embed="rId2636">
          <a:extLst>
            <a:ext uri="{28A0092B-C50C-407E-A947-70E740481C1C}">
              <a14:useLocalDpi xmlns:a14="http://schemas.microsoft.com/office/drawing/2010/main" val="0"/>
            </a:ext>
          </a:extLst>
        </a:blip>
        <a:srcRect/>
        <a:stretch>
          <a:fillRect/>
        </a:stretch>
      </xdr:blipFill>
      <xdr:spPr bwMode="auto">
        <a:xfrm>
          <a:off x="1228725" y="5014236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2645</xdr:row>
      <xdr:rowOff>19050</xdr:rowOff>
    </xdr:from>
    <xdr:to>
      <xdr:col>2</xdr:col>
      <xdr:colOff>1733550</xdr:colOff>
      <xdr:row>2645</xdr:row>
      <xdr:rowOff>1666875</xdr:rowOff>
    </xdr:to>
    <xdr:pic>
      <xdr:nvPicPr>
        <xdr:cNvPr id="2643" name="Picture 2642"/>
        <xdr:cNvPicPr>
          <a:picLocks noChangeAspect="1" noChangeArrowheads="1"/>
        </xdr:cNvPicPr>
      </xdr:nvPicPr>
      <xdr:blipFill>
        <a:blip xmlns:r="http://schemas.openxmlformats.org/officeDocument/2006/relationships" r:embed="rId2637">
          <a:extLst>
            <a:ext uri="{28A0092B-C50C-407E-A947-70E740481C1C}">
              <a14:useLocalDpi xmlns:a14="http://schemas.microsoft.com/office/drawing/2010/main" val="0"/>
            </a:ext>
          </a:extLst>
        </a:blip>
        <a:srcRect/>
        <a:stretch>
          <a:fillRect/>
        </a:stretch>
      </xdr:blipFill>
      <xdr:spPr bwMode="auto">
        <a:xfrm>
          <a:off x="1228725" y="5016150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2646</xdr:row>
      <xdr:rowOff>19050</xdr:rowOff>
    </xdr:from>
    <xdr:to>
      <xdr:col>2</xdr:col>
      <xdr:colOff>1733550</xdr:colOff>
      <xdr:row>2646</xdr:row>
      <xdr:rowOff>1666875</xdr:rowOff>
    </xdr:to>
    <xdr:pic>
      <xdr:nvPicPr>
        <xdr:cNvPr id="2644" name="Picture 2643"/>
        <xdr:cNvPicPr>
          <a:picLocks noChangeAspect="1" noChangeArrowheads="1"/>
        </xdr:cNvPicPr>
      </xdr:nvPicPr>
      <xdr:blipFill>
        <a:blip xmlns:r="http://schemas.openxmlformats.org/officeDocument/2006/relationships" r:embed="rId2638">
          <a:extLst>
            <a:ext uri="{28A0092B-C50C-407E-A947-70E740481C1C}">
              <a14:useLocalDpi xmlns:a14="http://schemas.microsoft.com/office/drawing/2010/main" val="0"/>
            </a:ext>
          </a:extLst>
        </a:blip>
        <a:srcRect/>
        <a:stretch>
          <a:fillRect/>
        </a:stretch>
      </xdr:blipFill>
      <xdr:spPr bwMode="auto">
        <a:xfrm>
          <a:off x="1228725" y="50180652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2647</xdr:row>
      <xdr:rowOff>19050</xdr:rowOff>
    </xdr:from>
    <xdr:to>
      <xdr:col>2</xdr:col>
      <xdr:colOff>1733550</xdr:colOff>
      <xdr:row>2647</xdr:row>
      <xdr:rowOff>1666875</xdr:rowOff>
    </xdr:to>
    <xdr:pic>
      <xdr:nvPicPr>
        <xdr:cNvPr id="2645" name="Picture 2644"/>
        <xdr:cNvPicPr>
          <a:picLocks noChangeAspect="1" noChangeArrowheads="1"/>
        </xdr:cNvPicPr>
      </xdr:nvPicPr>
      <xdr:blipFill>
        <a:blip xmlns:r="http://schemas.openxmlformats.org/officeDocument/2006/relationships" r:embed="rId2639">
          <a:extLst>
            <a:ext uri="{28A0092B-C50C-407E-A947-70E740481C1C}">
              <a14:useLocalDpi xmlns:a14="http://schemas.microsoft.com/office/drawing/2010/main" val="0"/>
            </a:ext>
          </a:extLst>
        </a:blip>
        <a:srcRect/>
        <a:stretch>
          <a:fillRect/>
        </a:stretch>
      </xdr:blipFill>
      <xdr:spPr bwMode="auto">
        <a:xfrm>
          <a:off x="1228725" y="50199798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2648</xdr:row>
      <xdr:rowOff>19050</xdr:rowOff>
    </xdr:from>
    <xdr:to>
      <xdr:col>2</xdr:col>
      <xdr:colOff>1733550</xdr:colOff>
      <xdr:row>2648</xdr:row>
      <xdr:rowOff>1647825</xdr:rowOff>
    </xdr:to>
    <xdr:pic>
      <xdr:nvPicPr>
        <xdr:cNvPr id="2646" name="Picture 2645"/>
        <xdr:cNvPicPr>
          <a:picLocks noChangeAspect="1" noChangeArrowheads="1"/>
        </xdr:cNvPicPr>
      </xdr:nvPicPr>
      <xdr:blipFill>
        <a:blip xmlns:r="http://schemas.openxmlformats.org/officeDocument/2006/relationships" r:embed="rId2640">
          <a:extLst>
            <a:ext uri="{28A0092B-C50C-407E-A947-70E740481C1C}">
              <a14:useLocalDpi xmlns:a14="http://schemas.microsoft.com/office/drawing/2010/main" val="0"/>
            </a:ext>
          </a:extLst>
        </a:blip>
        <a:srcRect/>
        <a:stretch>
          <a:fillRect/>
        </a:stretch>
      </xdr:blipFill>
      <xdr:spPr bwMode="auto">
        <a:xfrm>
          <a:off x="1228725" y="50218943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2649</xdr:row>
      <xdr:rowOff>9525</xdr:rowOff>
    </xdr:from>
    <xdr:to>
      <xdr:col>2</xdr:col>
      <xdr:colOff>1733550</xdr:colOff>
      <xdr:row>2649</xdr:row>
      <xdr:rowOff>1524000</xdr:rowOff>
    </xdr:to>
    <xdr:pic>
      <xdr:nvPicPr>
        <xdr:cNvPr id="2647" name="Picture 2646"/>
        <xdr:cNvPicPr>
          <a:picLocks noChangeAspect="1" noChangeArrowheads="1"/>
        </xdr:cNvPicPr>
      </xdr:nvPicPr>
      <xdr:blipFill>
        <a:blip xmlns:r="http://schemas.openxmlformats.org/officeDocument/2006/relationships" r:embed="rId2641">
          <a:extLst>
            <a:ext uri="{28A0092B-C50C-407E-A947-70E740481C1C}">
              <a14:useLocalDpi xmlns:a14="http://schemas.microsoft.com/office/drawing/2010/main" val="0"/>
            </a:ext>
          </a:extLst>
        </a:blip>
        <a:srcRect/>
        <a:stretch>
          <a:fillRect/>
        </a:stretch>
      </xdr:blipFill>
      <xdr:spPr bwMode="auto">
        <a:xfrm>
          <a:off x="1228725" y="5023780275"/>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2650</xdr:row>
      <xdr:rowOff>19050</xdr:rowOff>
    </xdr:from>
    <xdr:to>
      <xdr:col>2</xdr:col>
      <xdr:colOff>1733550</xdr:colOff>
      <xdr:row>2650</xdr:row>
      <xdr:rowOff>1666875</xdr:rowOff>
    </xdr:to>
    <xdr:pic>
      <xdr:nvPicPr>
        <xdr:cNvPr id="2648" name="Picture 2647"/>
        <xdr:cNvPicPr>
          <a:picLocks noChangeAspect="1" noChangeArrowheads="1"/>
        </xdr:cNvPicPr>
      </xdr:nvPicPr>
      <xdr:blipFill>
        <a:blip xmlns:r="http://schemas.openxmlformats.org/officeDocument/2006/relationships" r:embed="rId2642">
          <a:extLst>
            <a:ext uri="{28A0092B-C50C-407E-A947-70E740481C1C}">
              <a14:useLocalDpi xmlns:a14="http://schemas.microsoft.com/office/drawing/2010/main" val="0"/>
            </a:ext>
          </a:extLst>
        </a:blip>
        <a:srcRect/>
        <a:stretch>
          <a:fillRect/>
        </a:stretch>
      </xdr:blipFill>
      <xdr:spPr bwMode="auto">
        <a:xfrm>
          <a:off x="1228725" y="50255424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2651</xdr:row>
      <xdr:rowOff>19050</xdr:rowOff>
    </xdr:from>
    <xdr:to>
      <xdr:col>2</xdr:col>
      <xdr:colOff>1733550</xdr:colOff>
      <xdr:row>2651</xdr:row>
      <xdr:rowOff>1666875</xdr:rowOff>
    </xdr:to>
    <xdr:pic>
      <xdr:nvPicPr>
        <xdr:cNvPr id="2649" name="Picture 2648"/>
        <xdr:cNvPicPr>
          <a:picLocks noChangeAspect="1" noChangeArrowheads="1"/>
        </xdr:cNvPicPr>
      </xdr:nvPicPr>
      <xdr:blipFill>
        <a:blip xmlns:r="http://schemas.openxmlformats.org/officeDocument/2006/relationships" r:embed="rId2643">
          <a:extLst>
            <a:ext uri="{28A0092B-C50C-407E-A947-70E740481C1C}">
              <a14:useLocalDpi xmlns:a14="http://schemas.microsoft.com/office/drawing/2010/main" val="0"/>
            </a:ext>
          </a:extLst>
        </a:blip>
        <a:srcRect/>
        <a:stretch>
          <a:fillRect/>
        </a:stretch>
      </xdr:blipFill>
      <xdr:spPr bwMode="auto">
        <a:xfrm>
          <a:off x="1228725" y="50274569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2652</xdr:row>
      <xdr:rowOff>9525</xdr:rowOff>
    </xdr:from>
    <xdr:to>
      <xdr:col>2</xdr:col>
      <xdr:colOff>1733550</xdr:colOff>
      <xdr:row>2652</xdr:row>
      <xdr:rowOff>1533525</xdr:rowOff>
    </xdr:to>
    <xdr:pic>
      <xdr:nvPicPr>
        <xdr:cNvPr id="2650" name="Picture 2649"/>
        <xdr:cNvPicPr>
          <a:picLocks noChangeAspect="1" noChangeArrowheads="1"/>
        </xdr:cNvPicPr>
      </xdr:nvPicPr>
      <xdr:blipFill>
        <a:blip xmlns:r="http://schemas.openxmlformats.org/officeDocument/2006/relationships" r:embed="rId2644">
          <a:extLst>
            <a:ext uri="{28A0092B-C50C-407E-A947-70E740481C1C}">
              <a14:useLocalDpi xmlns:a14="http://schemas.microsoft.com/office/drawing/2010/main" val="0"/>
            </a:ext>
          </a:extLst>
        </a:blip>
        <a:srcRect/>
        <a:stretch>
          <a:fillRect/>
        </a:stretch>
      </xdr:blipFill>
      <xdr:spPr bwMode="auto">
        <a:xfrm>
          <a:off x="1228725" y="5029361925"/>
          <a:ext cx="1724025"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2653</xdr:row>
      <xdr:rowOff>19050</xdr:rowOff>
    </xdr:from>
    <xdr:to>
      <xdr:col>2</xdr:col>
      <xdr:colOff>1733550</xdr:colOff>
      <xdr:row>2653</xdr:row>
      <xdr:rowOff>1666875</xdr:rowOff>
    </xdr:to>
    <xdr:pic>
      <xdr:nvPicPr>
        <xdr:cNvPr id="2651" name="Picture 2650"/>
        <xdr:cNvPicPr>
          <a:picLocks noChangeAspect="1" noChangeArrowheads="1"/>
        </xdr:cNvPicPr>
      </xdr:nvPicPr>
      <xdr:blipFill>
        <a:blip xmlns:r="http://schemas.openxmlformats.org/officeDocument/2006/relationships" r:embed="rId2645">
          <a:extLst>
            <a:ext uri="{28A0092B-C50C-407E-A947-70E740481C1C}">
              <a14:useLocalDpi xmlns:a14="http://schemas.microsoft.com/office/drawing/2010/main" val="0"/>
            </a:ext>
          </a:extLst>
        </a:blip>
        <a:srcRect/>
        <a:stretch>
          <a:fillRect/>
        </a:stretch>
      </xdr:blipFill>
      <xdr:spPr bwMode="auto">
        <a:xfrm>
          <a:off x="1228725" y="50311431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2654</xdr:row>
      <xdr:rowOff>19050</xdr:rowOff>
    </xdr:from>
    <xdr:to>
      <xdr:col>2</xdr:col>
      <xdr:colOff>1733550</xdr:colOff>
      <xdr:row>2654</xdr:row>
      <xdr:rowOff>1666875</xdr:rowOff>
    </xdr:to>
    <xdr:pic>
      <xdr:nvPicPr>
        <xdr:cNvPr id="2652" name="Picture 2651"/>
        <xdr:cNvPicPr>
          <a:picLocks noChangeAspect="1" noChangeArrowheads="1"/>
        </xdr:cNvPicPr>
      </xdr:nvPicPr>
      <xdr:blipFill>
        <a:blip xmlns:r="http://schemas.openxmlformats.org/officeDocument/2006/relationships" r:embed="rId2646">
          <a:extLst>
            <a:ext uri="{28A0092B-C50C-407E-A947-70E740481C1C}">
              <a14:useLocalDpi xmlns:a14="http://schemas.microsoft.com/office/drawing/2010/main" val="0"/>
            </a:ext>
          </a:extLst>
        </a:blip>
        <a:srcRect/>
        <a:stretch>
          <a:fillRect/>
        </a:stretch>
      </xdr:blipFill>
      <xdr:spPr bwMode="auto">
        <a:xfrm>
          <a:off x="1228725" y="50330576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2655</xdr:row>
      <xdr:rowOff>19050</xdr:rowOff>
    </xdr:from>
    <xdr:to>
      <xdr:col>2</xdr:col>
      <xdr:colOff>1733550</xdr:colOff>
      <xdr:row>2655</xdr:row>
      <xdr:rowOff>1647825</xdr:rowOff>
    </xdr:to>
    <xdr:pic>
      <xdr:nvPicPr>
        <xdr:cNvPr id="2653" name="Picture 2652"/>
        <xdr:cNvPicPr>
          <a:picLocks noChangeAspect="1" noChangeArrowheads="1"/>
        </xdr:cNvPicPr>
      </xdr:nvPicPr>
      <xdr:blipFill>
        <a:blip xmlns:r="http://schemas.openxmlformats.org/officeDocument/2006/relationships" r:embed="rId2647">
          <a:extLst>
            <a:ext uri="{28A0092B-C50C-407E-A947-70E740481C1C}">
              <a14:useLocalDpi xmlns:a14="http://schemas.microsoft.com/office/drawing/2010/main" val="0"/>
            </a:ext>
          </a:extLst>
        </a:blip>
        <a:srcRect/>
        <a:stretch>
          <a:fillRect/>
        </a:stretch>
      </xdr:blipFill>
      <xdr:spPr bwMode="auto">
        <a:xfrm>
          <a:off x="1228725" y="5034972150"/>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2656</xdr:row>
      <xdr:rowOff>9525</xdr:rowOff>
    </xdr:from>
    <xdr:to>
      <xdr:col>2</xdr:col>
      <xdr:colOff>1733550</xdr:colOff>
      <xdr:row>2656</xdr:row>
      <xdr:rowOff>1524000</xdr:rowOff>
    </xdr:to>
    <xdr:pic>
      <xdr:nvPicPr>
        <xdr:cNvPr id="2654" name="Picture 2653"/>
        <xdr:cNvPicPr>
          <a:picLocks noChangeAspect="1" noChangeArrowheads="1"/>
        </xdr:cNvPicPr>
      </xdr:nvPicPr>
      <xdr:blipFill>
        <a:blip xmlns:r="http://schemas.openxmlformats.org/officeDocument/2006/relationships" r:embed="rId2648">
          <a:extLst>
            <a:ext uri="{28A0092B-C50C-407E-A947-70E740481C1C}">
              <a14:useLocalDpi xmlns:a14="http://schemas.microsoft.com/office/drawing/2010/main" val="0"/>
            </a:ext>
          </a:extLst>
        </a:blip>
        <a:srcRect/>
        <a:stretch>
          <a:fillRect/>
        </a:stretch>
      </xdr:blipFill>
      <xdr:spPr bwMode="auto">
        <a:xfrm>
          <a:off x="1228725" y="50368581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2657</xdr:row>
      <xdr:rowOff>19050</xdr:rowOff>
    </xdr:from>
    <xdr:to>
      <xdr:col>2</xdr:col>
      <xdr:colOff>1733550</xdr:colOff>
      <xdr:row>2657</xdr:row>
      <xdr:rowOff>1647825</xdr:rowOff>
    </xdr:to>
    <xdr:pic>
      <xdr:nvPicPr>
        <xdr:cNvPr id="2655" name="Picture 2654"/>
        <xdr:cNvPicPr>
          <a:picLocks noChangeAspect="1" noChangeArrowheads="1"/>
        </xdr:cNvPicPr>
      </xdr:nvPicPr>
      <xdr:blipFill>
        <a:blip xmlns:r="http://schemas.openxmlformats.org/officeDocument/2006/relationships" r:embed="rId2649">
          <a:extLst>
            <a:ext uri="{28A0092B-C50C-407E-A947-70E740481C1C}">
              <a14:useLocalDpi xmlns:a14="http://schemas.microsoft.com/office/drawing/2010/main" val="0"/>
            </a:ext>
          </a:extLst>
        </a:blip>
        <a:srcRect/>
        <a:stretch>
          <a:fillRect/>
        </a:stretch>
      </xdr:blipFill>
      <xdr:spPr bwMode="auto">
        <a:xfrm>
          <a:off x="1228725" y="503862022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2658</xdr:row>
      <xdr:rowOff>19050</xdr:rowOff>
    </xdr:from>
    <xdr:to>
      <xdr:col>2</xdr:col>
      <xdr:colOff>1733550</xdr:colOff>
      <xdr:row>2658</xdr:row>
      <xdr:rowOff>1666875</xdr:rowOff>
    </xdr:to>
    <xdr:pic>
      <xdr:nvPicPr>
        <xdr:cNvPr id="2656" name="Picture 2655"/>
        <xdr:cNvPicPr>
          <a:picLocks noChangeAspect="1" noChangeArrowheads="1"/>
        </xdr:cNvPicPr>
      </xdr:nvPicPr>
      <xdr:blipFill>
        <a:blip xmlns:r="http://schemas.openxmlformats.org/officeDocument/2006/relationships" r:embed="rId2650">
          <a:extLst>
            <a:ext uri="{28A0092B-C50C-407E-A947-70E740481C1C}">
              <a14:useLocalDpi xmlns:a14="http://schemas.microsoft.com/office/drawing/2010/main" val="0"/>
            </a:ext>
          </a:extLst>
        </a:blip>
        <a:srcRect/>
        <a:stretch>
          <a:fillRect/>
        </a:stretch>
      </xdr:blipFill>
      <xdr:spPr bwMode="auto">
        <a:xfrm>
          <a:off x="1228725" y="50405157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2659</xdr:row>
      <xdr:rowOff>19050</xdr:rowOff>
    </xdr:from>
    <xdr:to>
      <xdr:col>2</xdr:col>
      <xdr:colOff>1733550</xdr:colOff>
      <xdr:row>2659</xdr:row>
      <xdr:rowOff>1666875</xdr:rowOff>
    </xdr:to>
    <xdr:pic>
      <xdr:nvPicPr>
        <xdr:cNvPr id="2657" name="Picture 2656"/>
        <xdr:cNvPicPr>
          <a:picLocks noChangeAspect="1" noChangeArrowheads="1"/>
        </xdr:cNvPicPr>
      </xdr:nvPicPr>
      <xdr:blipFill>
        <a:blip xmlns:r="http://schemas.openxmlformats.org/officeDocument/2006/relationships" r:embed="rId2651">
          <a:extLst>
            <a:ext uri="{28A0092B-C50C-407E-A947-70E740481C1C}">
              <a14:useLocalDpi xmlns:a14="http://schemas.microsoft.com/office/drawing/2010/main" val="0"/>
            </a:ext>
          </a:extLst>
        </a:blip>
        <a:srcRect/>
        <a:stretch>
          <a:fillRect/>
        </a:stretch>
      </xdr:blipFill>
      <xdr:spPr bwMode="auto">
        <a:xfrm>
          <a:off x="1228725" y="50424302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2660</xdr:row>
      <xdr:rowOff>19050</xdr:rowOff>
    </xdr:from>
    <xdr:to>
      <xdr:col>2</xdr:col>
      <xdr:colOff>1733550</xdr:colOff>
      <xdr:row>2660</xdr:row>
      <xdr:rowOff>1666875</xdr:rowOff>
    </xdr:to>
    <xdr:pic>
      <xdr:nvPicPr>
        <xdr:cNvPr id="2658" name="Picture 2657"/>
        <xdr:cNvPicPr>
          <a:picLocks noChangeAspect="1" noChangeArrowheads="1"/>
        </xdr:cNvPicPr>
      </xdr:nvPicPr>
      <xdr:blipFill>
        <a:blip xmlns:r="http://schemas.openxmlformats.org/officeDocument/2006/relationships" r:embed="rId2652">
          <a:extLst>
            <a:ext uri="{28A0092B-C50C-407E-A947-70E740481C1C}">
              <a14:useLocalDpi xmlns:a14="http://schemas.microsoft.com/office/drawing/2010/main" val="0"/>
            </a:ext>
          </a:extLst>
        </a:blip>
        <a:srcRect/>
        <a:stretch>
          <a:fillRect/>
        </a:stretch>
      </xdr:blipFill>
      <xdr:spPr bwMode="auto">
        <a:xfrm>
          <a:off x="1228725" y="50443447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2661</xdr:row>
      <xdr:rowOff>19050</xdr:rowOff>
    </xdr:from>
    <xdr:to>
      <xdr:col>2</xdr:col>
      <xdr:colOff>1733550</xdr:colOff>
      <xdr:row>2661</xdr:row>
      <xdr:rowOff>1647825</xdr:rowOff>
    </xdr:to>
    <xdr:pic>
      <xdr:nvPicPr>
        <xdr:cNvPr id="2659" name="Picture 2658"/>
        <xdr:cNvPicPr>
          <a:picLocks noChangeAspect="1" noChangeArrowheads="1"/>
        </xdr:cNvPicPr>
      </xdr:nvPicPr>
      <xdr:blipFill>
        <a:blip xmlns:r="http://schemas.openxmlformats.org/officeDocument/2006/relationships" r:embed="rId2653">
          <a:extLst>
            <a:ext uri="{28A0092B-C50C-407E-A947-70E740481C1C}">
              <a14:useLocalDpi xmlns:a14="http://schemas.microsoft.com/office/drawing/2010/main" val="0"/>
            </a:ext>
          </a:extLst>
        </a:blip>
        <a:srcRect/>
        <a:stretch>
          <a:fillRect/>
        </a:stretch>
      </xdr:blipFill>
      <xdr:spPr bwMode="auto">
        <a:xfrm>
          <a:off x="1228725" y="5046259275"/>
          <a:ext cx="1724025" cy="1628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2662</xdr:row>
      <xdr:rowOff>19050</xdr:rowOff>
    </xdr:from>
    <xdr:to>
      <xdr:col>2</xdr:col>
      <xdr:colOff>1733550</xdr:colOff>
      <xdr:row>2662</xdr:row>
      <xdr:rowOff>1685925</xdr:rowOff>
    </xdr:to>
    <xdr:pic>
      <xdr:nvPicPr>
        <xdr:cNvPr id="2660" name="Picture 2659"/>
        <xdr:cNvPicPr>
          <a:picLocks noChangeAspect="1" noChangeArrowheads="1"/>
        </xdr:cNvPicPr>
      </xdr:nvPicPr>
      <xdr:blipFill>
        <a:blip xmlns:r="http://schemas.openxmlformats.org/officeDocument/2006/relationships" r:embed="rId2654">
          <a:extLst>
            <a:ext uri="{28A0092B-C50C-407E-A947-70E740481C1C}">
              <a14:useLocalDpi xmlns:a14="http://schemas.microsoft.com/office/drawing/2010/main" val="0"/>
            </a:ext>
          </a:extLst>
        </a:blip>
        <a:srcRect/>
        <a:stretch>
          <a:fillRect/>
        </a:stretch>
      </xdr:blipFill>
      <xdr:spPr bwMode="auto">
        <a:xfrm>
          <a:off x="1228725" y="50481547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2663</xdr:row>
      <xdr:rowOff>19050</xdr:rowOff>
    </xdr:from>
    <xdr:to>
      <xdr:col>2</xdr:col>
      <xdr:colOff>1733550</xdr:colOff>
      <xdr:row>2663</xdr:row>
      <xdr:rowOff>1685925</xdr:rowOff>
    </xdr:to>
    <xdr:pic>
      <xdr:nvPicPr>
        <xdr:cNvPr id="2661" name="Picture 2660"/>
        <xdr:cNvPicPr>
          <a:picLocks noChangeAspect="1" noChangeArrowheads="1"/>
        </xdr:cNvPicPr>
      </xdr:nvPicPr>
      <xdr:blipFill>
        <a:blip xmlns:r="http://schemas.openxmlformats.org/officeDocument/2006/relationships" r:embed="rId2655">
          <a:extLst>
            <a:ext uri="{28A0092B-C50C-407E-A947-70E740481C1C}">
              <a14:useLocalDpi xmlns:a14="http://schemas.microsoft.com/office/drawing/2010/main" val="0"/>
            </a:ext>
          </a:extLst>
        </a:blip>
        <a:srcRect/>
        <a:stretch>
          <a:fillRect/>
        </a:stretch>
      </xdr:blipFill>
      <xdr:spPr bwMode="auto">
        <a:xfrm>
          <a:off x="1228725" y="50500978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2664</xdr:row>
      <xdr:rowOff>19050</xdr:rowOff>
    </xdr:from>
    <xdr:to>
      <xdr:col>2</xdr:col>
      <xdr:colOff>1733550</xdr:colOff>
      <xdr:row>2664</xdr:row>
      <xdr:rowOff>1685925</xdr:rowOff>
    </xdr:to>
    <xdr:pic>
      <xdr:nvPicPr>
        <xdr:cNvPr id="2662" name="Picture 2661"/>
        <xdr:cNvPicPr>
          <a:picLocks noChangeAspect="1" noChangeArrowheads="1"/>
        </xdr:cNvPicPr>
      </xdr:nvPicPr>
      <xdr:blipFill>
        <a:blip xmlns:r="http://schemas.openxmlformats.org/officeDocument/2006/relationships" r:embed="rId2656">
          <a:extLst>
            <a:ext uri="{28A0092B-C50C-407E-A947-70E740481C1C}">
              <a14:useLocalDpi xmlns:a14="http://schemas.microsoft.com/office/drawing/2010/main" val="0"/>
            </a:ext>
          </a:extLst>
        </a:blip>
        <a:srcRect/>
        <a:stretch>
          <a:fillRect/>
        </a:stretch>
      </xdr:blipFill>
      <xdr:spPr bwMode="auto">
        <a:xfrm>
          <a:off x="1228725" y="50520409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2665</xdr:row>
      <xdr:rowOff>19050</xdr:rowOff>
    </xdr:from>
    <xdr:to>
      <xdr:col>2</xdr:col>
      <xdr:colOff>1733550</xdr:colOff>
      <xdr:row>2665</xdr:row>
      <xdr:rowOff>1685925</xdr:rowOff>
    </xdr:to>
    <xdr:pic>
      <xdr:nvPicPr>
        <xdr:cNvPr id="2663" name="Picture 2662"/>
        <xdr:cNvPicPr>
          <a:picLocks noChangeAspect="1" noChangeArrowheads="1"/>
        </xdr:cNvPicPr>
      </xdr:nvPicPr>
      <xdr:blipFill>
        <a:blip xmlns:r="http://schemas.openxmlformats.org/officeDocument/2006/relationships" r:embed="rId2657">
          <a:extLst>
            <a:ext uri="{28A0092B-C50C-407E-A947-70E740481C1C}">
              <a14:useLocalDpi xmlns:a14="http://schemas.microsoft.com/office/drawing/2010/main" val="0"/>
            </a:ext>
          </a:extLst>
        </a:blip>
        <a:srcRect/>
        <a:stretch>
          <a:fillRect/>
        </a:stretch>
      </xdr:blipFill>
      <xdr:spPr bwMode="auto">
        <a:xfrm>
          <a:off x="1228725" y="50539840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2666</xdr:row>
      <xdr:rowOff>19050</xdr:rowOff>
    </xdr:from>
    <xdr:to>
      <xdr:col>2</xdr:col>
      <xdr:colOff>1733550</xdr:colOff>
      <xdr:row>2666</xdr:row>
      <xdr:rowOff>1685925</xdr:rowOff>
    </xdr:to>
    <xdr:pic>
      <xdr:nvPicPr>
        <xdr:cNvPr id="2664" name="Picture 2663"/>
        <xdr:cNvPicPr>
          <a:picLocks noChangeAspect="1" noChangeArrowheads="1"/>
        </xdr:cNvPicPr>
      </xdr:nvPicPr>
      <xdr:blipFill>
        <a:blip xmlns:r="http://schemas.openxmlformats.org/officeDocument/2006/relationships" r:embed="rId2658">
          <a:extLst>
            <a:ext uri="{28A0092B-C50C-407E-A947-70E740481C1C}">
              <a14:useLocalDpi xmlns:a14="http://schemas.microsoft.com/office/drawing/2010/main" val="0"/>
            </a:ext>
          </a:extLst>
        </a:blip>
        <a:srcRect/>
        <a:stretch>
          <a:fillRect/>
        </a:stretch>
      </xdr:blipFill>
      <xdr:spPr bwMode="auto">
        <a:xfrm>
          <a:off x="1228725" y="50559271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2667</xdr:row>
      <xdr:rowOff>19050</xdr:rowOff>
    </xdr:from>
    <xdr:to>
      <xdr:col>2</xdr:col>
      <xdr:colOff>1733550</xdr:colOff>
      <xdr:row>2667</xdr:row>
      <xdr:rowOff>1685925</xdr:rowOff>
    </xdr:to>
    <xdr:pic>
      <xdr:nvPicPr>
        <xdr:cNvPr id="2665" name="Picture 2664"/>
        <xdr:cNvPicPr>
          <a:picLocks noChangeAspect="1" noChangeArrowheads="1"/>
        </xdr:cNvPicPr>
      </xdr:nvPicPr>
      <xdr:blipFill>
        <a:blip xmlns:r="http://schemas.openxmlformats.org/officeDocument/2006/relationships" r:embed="rId2659">
          <a:extLst>
            <a:ext uri="{28A0092B-C50C-407E-A947-70E740481C1C}">
              <a14:useLocalDpi xmlns:a14="http://schemas.microsoft.com/office/drawing/2010/main" val="0"/>
            </a:ext>
          </a:extLst>
        </a:blip>
        <a:srcRect/>
        <a:stretch>
          <a:fillRect/>
        </a:stretch>
      </xdr:blipFill>
      <xdr:spPr bwMode="auto">
        <a:xfrm>
          <a:off x="1228725" y="50578702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2668</xdr:row>
      <xdr:rowOff>19050</xdr:rowOff>
    </xdr:from>
    <xdr:to>
      <xdr:col>2</xdr:col>
      <xdr:colOff>1733550</xdr:colOff>
      <xdr:row>2668</xdr:row>
      <xdr:rowOff>1685925</xdr:rowOff>
    </xdr:to>
    <xdr:pic>
      <xdr:nvPicPr>
        <xdr:cNvPr id="2666" name="Picture 2665"/>
        <xdr:cNvPicPr>
          <a:picLocks noChangeAspect="1" noChangeArrowheads="1"/>
        </xdr:cNvPicPr>
      </xdr:nvPicPr>
      <xdr:blipFill>
        <a:blip xmlns:r="http://schemas.openxmlformats.org/officeDocument/2006/relationships" r:embed="rId2660">
          <a:extLst>
            <a:ext uri="{28A0092B-C50C-407E-A947-70E740481C1C}">
              <a14:useLocalDpi xmlns:a14="http://schemas.microsoft.com/office/drawing/2010/main" val="0"/>
            </a:ext>
          </a:extLst>
        </a:blip>
        <a:srcRect/>
        <a:stretch>
          <a:fillRect/>
        </a:stretch>
      </xdr:blipFill>
      <xdr:spPr bwMode="auto">
        <a:xfrm>
          <a:off x="1228725" y="50598133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2669</xdr:row>
      <xdr:rowOff>19050</xdr:rowOff>
    </xdr:from>
    <xdr:to>
      <xdr:col>2</xdr:col>
      <xdr:colOff>1733550</xdr:colOff>
      <xdr:row>2669</xdr:row>
      <xdr:rowOff>1685925</xdr:rowOff>
    </xdr:to>
    <xdr:pic>
      <xdr:nvPicPr>
        <xdr:cNvPr id="2667" name="Picture 2666"/>
        <xdr:cNvPicPr>
          <a:picLocks noChangeAspect="1" noChangeArrowheads="1"/>
        </xdr:cNvPicPr>
      </xdr:nvPicPr>
      <xdr:blipFill>
        <a:blip xmlns:r="http://schemas.openxmlformats.org/officeDocument/2006/relationships" r:embed="rId2661">
          <a:extLst>
            <a:ext uri="{28A0092B-C50C-407E-A947-70E740481C1C}">
              <a14:useLocalDpi xmlns:a14="http://schemas.microsoft.com/office/drawing/2010/main" val="0"/>
            </a:ext>
          </a:extLst>
        </a:blip>
        <a:srcRect/>
        <a:stretch>
          <a:fillRect/>
        </a:stretch>
      </xdr:blipFill>
      <xdr:spPr bwMode="auto">
        <a:xfrm>
          <a:off x="1228725" y="5061756450"/>
          <a:ext cx="1724025" cy="166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2670</xdr:row>
      <xdr:rowOff>19050</xdr:rowOff>
    </xdr:from>
    <xdr:to>
      <xdr:col>2</xdr:col>
      <xdr:colOff>1733550</xdr:colOff>
      <xdr:row>2670</xdr:row>
      <xdr:rowOff>1666875</xdr:rowOff>
    </xdr:to>
    <xdr:pic>
      <xdr:nvPicPr>
        <xdr:cNvPr id="2668" name="Picture 2667"/>
        <xdr:cNvPicPr>
          <a:picLocks noChangeAspect="1" noChangeArrowheads="1"/>
        </xdr:cNvPicPr>
      </xdr:nvPicPr>
      <xdr:blipFill>
        <a:blip xmlns:r="http://schemas.openxmlformats.org/officeDocument/2006/relationships" r:embed="rId2662">
          <a:extLst>
            <a:ext uri="{28A0092B-C50C-407E-A947-70E740481C1C}">
              <a14:useLocalDpi xmlns:a14="http://schemas.microsoft.com/office/drawing/2010/main" val="0"/>
            </a:ext>
          </a:extLst>
        </a:blip>
        <a:srcRect/>
        <a:stretch>
          <a:fillRect/>
        </a:stretch>
      </xdr:blipFill>
      <xdr:spPr bwMode="auto">
        <a:xfrm>
          <a:off x="1228725" y="506369955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2671</xdr:row>
      <xdr:rowOff>19050</xdr:rowOff>
    </xdr:from>
    <xdr:to>
      <xdr:col>2</xdr:col>
      <xdr:colOff>1733550</xdr:colOff>
      <xdr:row>2671</xdr:row>
      <xdr:rowOff>1666875</xdr:rowOff>
    </xdr:to>
    <xdr:pic>
      <xdr:nvPicPr>
        <xdr:cNvPr id="2669" name="Picture 2668"/>
        <xdr:cNvPicPr>
          <a:picLocks noChangeAspect="1" noChangeArrowheads="1"/>
        </xdr:cNvPicPr>
      </xdr:nvPicPr>
      <xdr:blipFill>
        <a:blip xmlns:r="http://schemas.openxmlformats.org/officeDocument/2006/relationships" r:embed="rId2663">
          <a:extLst>
            <a:ext uri="{28A0092B-C50C-407E-A947-70E740481C1C}">
              <a14:useLocalDpi xmlns:a14="http://schemas.microsoft.com/office/drawing/2010/main" val="0"/>
            </a:ext>
          </a:extLst>
        </a:blip>
        <a:srcRect/>
        <a:stretch>
          <a:fillRect/>
        </a:stretch>
      </xdr:blipFill>
      <xdr:spPr bwMode="auto">
        <a:xfrm>
          <a:off x="1228725" y="506561407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2672</xdr:row>
      <xdr:rowOff>19050</xdr:rowOff>
    </xdr:from>
    <xdr:to>
      <xdr:col>2</xdr:col>
      <xdr:colOff>1733550</xdr:colOff>
      <xdr:row>2672</xdr:row>
      <xdr:rowOff>1666875</xdr:rowOff>
    </xdr:to>
    <xdr:pic>
      <xdr:nvPicPr>
        <xdr:cNvPr id="2670" name="Picture 2669"/>
        <xdr:cNvPicPr>
          <a:picLocks noChangeAspect="1" noChangeArrowheads="1"/>
        </xdr:cNvPicPr>
      </xdr:nvPicPr>
      <xdr:blipFill>
        <a:blip xmlns:r="http://schemas.openxmlformats.org/officeDocument/2006/relationships" r:embed="rId2664">
          <a:extLst>
            <a:ext uri="{28A0092B-C50C-407E-A947-70E740481C1C}">
              <a14:useLocalDpi xmlns:a14="http://schemas.microsoft.com/office/drawing/2010/main" val="0"/>
            </a:ext>
          </a:extLst>
        </a:blip>
        <a:srcRect/>
        <a:stretch>
          <a:fillRect/>
        </a:stretch>
      </xdr:blipFill>
      <xdr:spPr bwMode="auto">
        <a:xfrm>
          <a:off x="1228725" y="5067528600"/>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2673</xdr:row>
      <xdr:rowOff>9525</xdr:rowOff>
    </xdr:from>
    <xdr:to>
      <xdr:col>2</xdr:col>
      <xdr:colOff>1733550</xdr:colOff>
      <xdr:row>2673</xdr:row>
      <xdr:rowOff>1524000</xdr:rowOff>
    </xdr:to>
    <xdr:pic>
      <xdr:nvPicPr>
        <xdr:cNvPr id="2671" name="Picture 2670"/>
        <xdr:cNvPicPr>
          <a:picLocks noChangeAspect="1" noChangeArrowheads="1"/>
        </xdr:cNvPicPr>
      </xdr:nvPicPr>
      <xdr:blipFill>
        <a:blip xmlns:r="http://schemas.openxmlformats.org/officeDocument/2006/relationships" r:embed="rId2665">
          <a:extLst>
            <a:ext uri="{28A0092B-C50C-407E-A947-70E740481C1C}">
              <a14:useLocalDpi xmlns:a14="http://schemas.microsoft.com/office/drawing/2010/main" val="0"/>
            </a:ext>
          </a:extLst>
        </a:blip>
        <a:srcRect/>
        <a:stretch>
          <a:fillRect/>
        </a:stretch>
      </xdr:blipFill>
      <xdr:spPr bwMode="auto">
        <a:xfrm>
          <a:off x="1228725" y="5069433600"/>
          <a:ext cx="1724025" cy="1514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9525</xdr:colOff>
      <xdr:row>2674</xdr:row>
      <xdr:rowOff>19050</xdr:rowOff>
    </xdr:from>
    <xdr:to>
      <xdr:col>2</xdr:col>
      <xdr:colOff>1733550</xdr:colOff>
      <xdr:row>2674</xdr:row>
      <xdr:rowOff>1666875</xdr:rowOff>
    </xdr:to>
    <xdr:pic>
      <xdr:nvPicPr>
        <xdr:cNvPr id="2672" name="Picture 2671"/>
        <xdr:cNvPicPr>
          <a:picLocks noChangeAspect="1" noChangeArrowheads="1"/>
        </xdr:cNvPicPr>
      </xdr:nvPicPr>
      <xdr:blipFill>
        <a:blip xmlns:r="http://schemas.openxmlformats.org/officeDocument/2006/relationships" r:embed="rId2666">
          <a:extLst>
            <a:ext uri="{28A0092B-C50C-407E-A947-70E740481C1C}">
              <a14:useLocalDpi xmlns:a14="http://schemas.microsoft.com/office/drawing/2010/main" val="0"/>
            </a:ext>
          </a:extLst>
        </a:blip>
        <a:srcRect/>
        <a:stretch>
          <a:fillRect/>
        </a:stretch>
      </xdr:blipFill>
      <xdr:spPr bwMode="auto">
        <a:xfrm>
          <a:off x="1228725" y="5071195725"/>
          <a:ext cx="1724025" cy="1647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1/Downloads/&#1052;&#1080;&#1085;&#1089;&#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sheetName val="Лист2"/>
      <sheetName val="новый без картинок"/>
      <sheetName val="Лист1"/>
      <sheetName val="старый"/>
    </sheetNames>
    <sheetDataSet>
      <sheetData sheetId="0"/>
      <sheetData sheetId="1"/>
      <sheetData sheetId="2">
        <row r="5">
          <cell r="A5">
            <v>743978</v>
          </cell>
          <cell r="B5" t="str">
            <v>Зеркало Sheffilton Грация 628 В2-79 золотой антик</v>
          </cell>
          <cell r="C5">
            <v>1743.33</v>
          </cell>
          <cell r="E5">
            <v>115</v>
          </cell>
          <cell r="F5">
            <v>150</v>
          </cell>
        </row>
        <row r="6">
          <cell r="A6">
            <v>743338</v>
          </cell>
          <cell r="B6" t="str">
            <v>Зеркало Sheffilton Грация 628 В2-79 черный</v>
          </cell>
          <cell r="C6">
            <v>1653.33</v>
          </cell>
          <cell r="E6">
            <v>109</v>
          </cell>
          <cell r="F6">
            <v>142</v>
          </cell>
        </row>
        <row r="7">
          <cell r="A7">
            <v>743340</v>
          </cell>
          <cell r="B7" t="str">
            <v>Зеркало Sheffilton Грация 629 В2-80 золотой антик</v>
          </cell>
          <cell r="C7">
            <v>1663.33</v>
          </cell>
          <cell r="E7">
            <v>110</v>
          </cell>
          <cell r="F7">
            <v>143</v>
          </cell>
        </row>
        <row r="8">
          <cell r="A8">
            <v>743344</v>
          </cell>
          <cell r="B8" t="str">
            <v>Зеркало Sheffilton Грация 629 В2-80 черный</v>
          </cell>
          <cell r="C8">
            <v>1740</v>
          </cell>
          <cell r="E8">
            <v>115</v>
          </cell>
          <cell r="F8">
            <v>150</v>
          </cell>
        </row>
        <row r="9">
          <cell r="A9">
            <v>743348</v>
          </cell>
          <cell r="B9" t="str">
            <v>Зеркало Sheffilton Грация 630 В2-81 золотой антик</v>
          </cell>
          <cell r="C9">
            <v>1566.67</v>
          </cell>
          <cell r="E9">
            <v>103</v>
          </cell>
          <cell r="F9">
            <v>134</v>
          </cell>
        </row>
        <row r="10">
          <cell r="A10">
            <v>743346</v>
          </cell>
          <cell r="B10" t="str">
            <v>Зеркало Sheffilton Грация 630 В2-81 черный</v>
          </cell>
          <cell r="C10">
            <v>1666.67</v>
          </cell>
          <cell r="E10">
            <v>110</v>
          </cell>
          <cell r="F10">
            <v>143</v>
          </cell>
        </row>
        <row r="11">
          <cell r="A11">
            <v>981569</v>
          </cell>
          <cell r="B11" t="str">
            <v>Зеркало напольное Sheffilton Альберо SHT-М1 ЗР-05 беленый</v>
          </cell>
          <cell r="C11">
            <v>3900</v>
          </cell>
          <cell r="E11">
            <v>257</v>
          </cell>
          <cell r="F11">
            <v>334</v>
          </cell>
        </row>
        <row r="12">
          <cell r="A12">
            <v>981570</v>
          </cell>
          <cell r="B12" t="str">
            <v>Зеркало напольное Sheffilton Альберо SHT-М1 ЗР-05 венге</v>
          </cell>
          <cell r="C12">
            <v>3853.33</v>
          </cell>
          <cell r="E12">
            <v>254</v>
          </cell>
          <cell r="F12">
            <v>330</v>
          </cell>
        </row>
        <row r="13">
          <cell r="A13">
            <v>985633</v>
          </cell>
          <cell r="B13" t="str">
            <v>Зеркало напольное Sheffilton Альберо SHT-М1 ЗР-05 прозрачный лак</v>
          </cell>
          <cell r="C13">
            <v>3733.33</v>
          </cell>
          <cell r="E13">
            <v>246</v>
          </cell>
          <cell r="F13">
            <v>320</v>
          </cell>
        </row>
        <row r="14">
          <cell r="A14">
            <v>956167</v>
          </cell>
          <cell r="B14" t="str">
            <v>Зеркало с полкой Sheffilton Альберо SHT-М2 3P-03 беленый</v>
          </cell>
          <cell r="C14">
            <v>2153.33</v>
          </cell>
          <cell r="E14">
            <v>142</v>
          </cell>
          <cell r="F14">
            <v>185</v>
          </cell>
        </row>
        <row r="15">
          <cell r="A15">
            <v>985634</v>
          </cell>
          <cell r="B15" t="str">
            <v>Зеркало с полкой Sheffilton Альберо SHT-М2 3P-03 прозрачный лак</v>
          </cell>
          <cell r="C15">
            <v>2020</v>
          </cell>
          <cell r="E15">
            <v>133</v>
          </cell>
          <cell r="F15">
            <v>173</v>
          </cell>
        </row>
        <row r="16">
          <cell r="A16">
            <v>956166</v>
          </cell>
          <cell r="B16" t="str">
            <v>Зеркало с полкой Sheffilton Альберо SHT-М2 ЗР-03 венге</v>
          </cell>
          <cell r="C16">
            <v>2153.33</v>
          </cell>
          <cell r="E16">
            <v>142</v>
          </cell>
          <cell r="F16">
            <v>185</v>
          </cell>
        </row>
        <row r="17">
          <cell r="A17">
            <v>883940</v>
          </cell>
          <cell r="B17" t="str">
            <v>Подцветочница Sheffilton Мелодия ПД2-56 черный</v>
          </cell>
          <cell r="C17">
            <v>320</v>
          </cell>
          <cell r="E17">
            <v>21</v>
          </cell>
          <cell r="F17">
            <v>27</v>
          </cell>
        </row>
        <row r="18">
          <cell r="A18">
            <v>190332</v>
          </cell>
          <cell r="B18" t="str">
            <v>Подцветочница Sheffilton Пальмина ПД2-3 белый (+)</v>
          </cell>
          <cell r="C18">
            <v>386.67</v>
          </cell>
          <cell r="E18">
            <v>25</v>
          </cell>
          <cell r="F18">
            <v>33</v>
          </cell>
        </row>
        <row r="19">
          <cell r="A19">
            <v>190333</v>
          </cell>
          <cell r="B19" t="str">
            <v>Подцветочница Sheffilton Пальмина ПД2-3 черный (+)</v>
          </cell>
          <cell r="C19">
            <v>386.67</v>
          </cell>
          <cell r="E19">
            <v>25</v>
          </cell>
          <cell r="F19">
            <v>33</v>
          </cell>
        </row>
        <row r="20">
          <cell r="A20">
            <v>926509</v>
          </cell>
          <cell r="B20" t="str">
            <v>Подцветочница Sheffilton Пальмина 3 ПД2-3-2 черный</v>
          </cell>
          <cell r="C20">
            <v>253.33</v>
          </cell>
          <cell r="E20">
            <v>17</v>
          </cell>
          <cell r="F20">
            <v>22</v>
          </cell>
        </row>
        <row r="21">
          <cell r="A21">
            <v>784778</v>
          </cell>
          <cell r="B21" t="str">
            <v>Подцветочница Sheffilton Песочные часы ПД2-60 бронзовый/черный</v>
          </cell>
          <cell r="C21">
            <v>453.33</v>
          </cell>
          <cell r="E21">
            <v>30</v>
          </cell>
          <cell r="F21">
            <v>39</v>
          </cell>
        </row>
        <row r="22">
          <cell r="A22">
            <v>816019</v>
          </cell>
          <cell r="B22" t="str">
            <v>Подцветочница Sheffilton Песочные часы ПД2-60 медный/коричневый</v>
          </cell>
          <cell r="C22">
            <v>446.67</v>
          </cell>
          <cell r="E22">
            <v>29</v>
          </cell>
          <cell r="F22">
            <v>38</v>
          </cell>
        </row>
        <row r="23">
          <cell r="A23">
            <v>963117</v>
          </cell>
          <cell r="B23" t="str">
            <v>Вешалка Sheffilton SHT-WH11 В2-99 беленый/алюм.металлик</v>
          </cell>
          <cell r="C23">
            <v>380</v>
          </cell>
          <cell r="E23">
            <v>25</v>
          </cell>
          <cell r="F23">
            <v>33</v>
          </cell>
        </row>
        <row r="24">
          <cell r="A24">
            <v>963116</v>
          </cell>
          <cell r="B24" t="str">
            <v>Вешалка Sheffilton SHT-WH11 В2-99 темный орех/медный металлик</v>
          </cell>
          <cell r="C24">
            <v>380</v>
          </cell>
          <cell r="E24">
            <v>25</v>
          </cell>
          <cell r="F24">
            <v>33</v>
          </cell>
        </row>
        <row r="25">
          <cell r="A25">
            <v>963114</v>
          </cell>
          <cell r="B25" t="str">
            <v>Вешалка Sheffilton SHT-WH13 В2-98 беленый/алюм.металлик</v>
          </cell>
          <cell r="C25">
            <v>880</v>
          </cell>
          <cell r="E25">
            <v>58</v>
          </cell>
          <cell r="F25">
            <v>75</v>
          </cell>
        </row>
        <row r="26">
          <cell r="A26">
            <v>971560</v>
          </cell>
          <cell r="B26" t="str">
            <v>Вешалка Sheffilton SHT-WH14-3 B2-101 белый</v>
          </cell>
          <cell r="C26">
            <v>186.67</v>
          </cell>
          <cell r="E26">
            <v>12</v>
          </cell>
          <cell r="F26">
            <v>16</v>
          </cell>
        </row>
        <row r="27">
          <cell r="A27">
            <v>971562</v>
          </cell>
          <cell r="B27" t="str">
            <v>Вешалка Sheffilton SHT-WH14-3 B2-101 коричневый муар</v>
          </cell>
          <cell r="C27">
            <v>186.67</v>
          </cell>
          <cell r="E27">
            <v>12</v>
          </cell>
          <cell r="F27">
            <v>16</v>
          </cell>
        </row>
        <row r="28">
          <cell r="A28">
            <v>971561</v>
          </cell>
          <cell r="B28" t="str">
            <v>Вешалка Sheffilton SHT-WH14-3 B2-101 черный муар</v>
          </cell>
          <cell r="C28">
            <v>186.67</v>
          </cell>
          <cell r="E28">
            <v>12</v>
          </cell>
          <cell r="F28">
            <v>16</v>
          </cell>
        </row>
        <row r="29">
          <cell r="A29">
            <v>971565</v>
          </cell>
          <cell r="B29" t="str">
            <v>Вешалка Sheffilton SHT-WH14-4 B2-102 белый</v>
          </cell>
          <cell r="C29">
            <v>213.33</v>
          </cell>
          <cell r="E29">
            <v>14</v>
          </cell>
          <cell r="F29">
            <v>18</v>
          </cell>
        </row>
        <row r="30">
          <cell r="A30">
            <v>971563</v>
          </cell>
          <cell r="B30" t="str">
            <v>Вешалка Sheffilton SHT-WH14-4 B2-102 коричневый муар</v>
          </cell>
          <cell r="C30">
            <v>213.33</v>
          </cell>
          <cell r="E30">
            <v>14</v>
          </cell>
          <cell r="F30">
            <v>18</v>
          </cell>
        </row>
        <row r="31">
          <cell r="A31">
            <v>971564</v>
          </cell>
          <cell r="B31" t="str">
            <v>Вешалка Sheffilton SHT-WH14-4 B2-102 черный муар</v>
          </cell>
          <cell r="C31">
            <v>213.33</v>
          </cell>
          <cell r="E31">
            <v>14</v>
          </cell>
          <cell r="F31">
            <v>18</v>
          </cell>
        </row>
        <row r="32">
          <cell r="A32">
            <v>971568</v>
          </cell>
          <cell r="B32" t="str">
            <v>Вешалка Sheffilton SHT-WH14-5 B2-103 коричневый муар</v>
          </cell>
          <cell r="C32">
            <v>240</v>
          </cell>
          <cell r="E32">
            <v>16</v>
          </cell>
          <cell r="F32">
            <v>21</v>
          </cell>
        </row>
        <row r="33">
          <cell r="A33">
            <v>971567</v>
          </cell>
          <cell r="B33" t="str">
            <v>Вешалка Sheffilton SHT-WH14-5 B2-103 черный муар</v>
          </cell>
          <cell r="C33">
            <v>240</v>
          </cell>
          <cell r="E33">
            <v>16</v>
          </cell>
          <cell r="F33">
            <v>21</v>
          </cell>
        </row>
        <row r="34">
          <cell r="A34">
            <v>149943</v>
          </cell>
          <cell r="B34" t="str">
            <v>Вешалка Sheffilton SHT-WH15-3 В2-105 черный муар</v>
          </cell>
          <cell r="C34">
            <v>226.67</v>
          </cell>
          <cell r="E34">
            <v>15</v>
          </cell>
          <cell r="F34">
            <v>20</v>
          </cell>
        </row>
        <row r="35">
          <cell r="A35">
            <v>149945</v>
          </cell>
          <cell r="B35" t="str">
            <v>Вешалка Sheffilton SHT-WH15-4 В2-106 белый</v>
          </cell>
          <cell r="C35">
            <v>256.67</v>
          </cell>
          <cell r="E35">
            <v>17</v>
          </cell>
          <cell r="F35">
            <v>22</v>
          </cell>
        </row>
        <row r="36">
          <cell r="A36">
            <v>149944</v>
          </cell>
          <cell r="B36" t="str">
            <v>Вешалка Sheffilton SHT-WH15-4 В2-106 черный муар</v>
          </cell>
          <cell r="C36">
            <v>253.33</v>
          </cell>
          <cell r="E36">
            <v>17</v>
          </cell>
          <cell r="F36">
            <v>22</v>
          </cell>
        </row>
        <row r="37">
          <cell r="A37">
            <v>149946</v>
          </cell>
          <cell r="B37" t="str">
            <v>Вешалка Sheffilton SHT-WH16-3 В2-107 черный муар</v>
          </cell>
          <cell r="C37">
            <v>226.67</v>
          </cell>
          <cell r="E37">
            <v>15</v>
          </cell>
          <cell r="F37">
            <v>20</v>
          </cell>
        </row>
        <row r="38">
          <cell r="A38">
            <v>149948</v>
          </cell>
          <cell r="B38" t="str">
            <v>Вешалка Sheffilton SHT-WH16-4 В2-108 белый</v>
          </cell>
          <cell r="C38">
            <v>256.67</v>
          </cell>
          <cell r="E38">
            <v>17</v>
          </cell>
          <cell r="F38">
            <v>22</v>
          </cell>
        </row>
        <row r="39">
          <cell r="A39">
            <v>149947</v>
          </cell>
          <cell r="B39" t="str">
            <v>Вешалка Sheffilton SHT-WH16-4 В2-108 черный муар</v>
          </cell>
          <cell r="C39">
            <v>253.33</v>
          </cell>
          <cell r="E39">
            <v>17</v>
          </cell>
          <cell r="F39">
            <v>22</v>
          </cell>
        </row>
        <row r="40">
          <cell r="A40">
            <v>981557</v>
          </cell>
          <cell r="B40" t="str">
            <v>Вешалка Sheffilton SHT-WH17 В2-104 браш.коричневый/черный муар</v>
          </cell>
          <cell r="C40">
            <v>393.33</v>
          </cell>
          <cell r="E40">
            <v>26</v>
          </cell>
          <cell r="F40">
            <v>34</v>
          </cell>
        </row>
        <row r="41">
          <cell r="A41">
            <v>981555</v>
          </cell>
          <cell r="B41" t="str">
            <v>Вешалка Sheffilton SHT-WH20 В2-150 беленый/серебро</v>
          </cell>
          <cell r="C41">
            <v>553.33000000000004</v>
          </cell>
          <cell r="E41">
            <v>36</v>
          </cell>
          <cell r="F41">
            <v>47</v>
          </cell>
        </row>
        <row r="42">
          <cell r="A42">
            <v>981556</v>
          </cell>
          <cell r="B42" t="str">
            <v>Вешалка Sheffilton SHT-WH20 В2-150 браш. коричневый/черный зол.патина</v>
          </cell>
          <cell r="C42">
            <v>853.33</v>
          </cell>
          <cell r="E42">
            <v>56</v>
          </cell>
          <cell r="F42">
            <v>73</v>
          </cell>
        </row>
        <row r="43">
          <cell r="A43">
            <v>986265</v>
          </cell>
          <cell r="B43" t="str">
            <v>Вешалка Sheffilton SHT-WH21 В2-151 атланта брашированный</v>
          </cell>
          <cell r="C43">
            <v>1066.67</v>
          </cell>
          <cell r="E43">
            <v>70</v>
          </cell>
          <cell r="F43">
            <v>91</v>
          </cell>
        </row>
        <row r="44">
          <cell r="A44">
            <v>986266</v>
          </cell>
          <cell r="B44" t="str">
            <v>Вешалка Sheffilton SHT-WH22 В2-152 прозрачный лак/ваниль</v>
          </cell>
          <cell r="C44">
            <v>766.67</v>
          </cell>
          <cell r="E44">
            <v>51</v>
          </cell>
          <cell r="F44">
            <v>66</v>
          </cell>
        </row>
        <row r="45">
          <cell r="A45">
            <v>171021</v>
          </cell>
          <cell r="B45" t="str">
            <v>Вешалка Sheffilton SHT-WH26 B2-110 черный муар/черный</v>
          </cell>
          <cell r="C45">
            <v>213.33</v>
          </cell>
          <cell r="E45">
            <v>14</v>
          </cell>
          <cell r="F45">
            <v>18</v>
          </cell>
        </row>
        <row r="46">
          <cell r="A46">
            <v>171023</v>
          </cell>
          <cell r="B46" t="str">
            <v>Вешалка Sheffilton SHT-WH26 В2-110 белый муар/черный</v>
          </cell>
          <cell r="C46">
            <v>213.33</v>
          </cell>
          <cell r="E46">
            <v>14</v>
          </cell>
          <cell r="F46">
            <v>18</v>
          </cell>
        </row>
        <row r="47">
          <cell r="A47">
            <v>208974</v>
          </cell>
          <cell r="B47" t="str">
            <v>Вешалка Sheffilton SHT-WH32-4 В2-211 дуб верона белый/серебро/белый</v>
          </cell>
          <cell r="C47">
            <v>340</v>
          </cell>
          <cell r="E47">
            <v>22</v>
          </cell>
          <cell r="F47">
            <v>29</v>
          </cell>
        </row>
        <row r="48">
          <cell r="A48">
            <v>208973</v>
          </cell>
          <cell r="B48" t="str">
            <v>Вешалка Sheffilton SHT-WH32-4 В2-211 мрамор премиум темн/графит/белый</v>
          </cell>
          <cell r="C48">
            <v>373.33</v>
          </cell>
          <cell r="E48">
            <v>25</v>
          </cell>
          <cell r="F48">
            <v>33</v>
          </cell>
        </row>
        <row r="49">
          <cell r="A49">
            <v>208968</v>
          </cell>
          <cell r="B49" t="str">
            <v>Вешалка Sheffilton SHT-WH33-4 В2-211 бетон светлый/графит матовый</v>
          </cell>
          <cell r="C49">
            <v>366.67</v>
          </cell>
          <cell r="E49">
            <v>24</v>
          </cell>
          <cell r="F49">
            <v>31</v>
          </cell>
        </row>
        <row r="50">
          <cell r="A50">
            <v>208969</v>
          </cell>
          <cell r="B50" t="str">
            <v>Вешалка Sheffilton SHT-WH33-4 В2-211 палисандр/черный</v>
          </cell>
          <cell r="C50">
            <v>306.67</v>
          </cell>
          <cell r="E50">
            <v>20</v>
          </cell>
          <cell r="F50">
            <v>26</v>
          </cell>
        </row>
        <row r="51">
          <cell r="A51">
            <v>946504</v>
          </cell>
          <cell r="B51" t="str">
            <v>Вешалка Sheffilton SHT-WH5 В2-95 хром лак/серый</v>
          </cell>
          <cell r="C51">
            <v>460</v>
          </cell>
          <cell r="E51">
            <v>30</v>
          </cell>
          <cell r="F51">
            <v>39</v>
          </cell>
        </row>
        <row r="52">
          <cell r="A52">
            <v>946505</v>
          </cell>
          <cell r="B52" t="str">
            <v>Вешалка Sheffilton SHT-WH6 В2-96 хром лак/серый</v>
          </cell>
          <cell r="C52">
            <v>586.66999999999996</v>
          </cell>
          <cell r="E52">
            <v>39</v>
          </cell>
          <cell r="F52">
            <v>51</v>
          </cell>
        </row>
        <row r="53">
          <cell r="A53">
            <v>946506</v>
          </cell>
          <cell r="B53" t="str">
            <v>Вешалка Sheffilton SHT-WH7 В2-97 хром лак/серый (+)</v>
          </cell>
          <cell r="C53">
            <v>806.67</v>
          </cell>
          <cell r="E53">
            <v>53</v>
          </cell>
          <cell r="F53">
            <v>69</v>
          </cell>
        </row>
        <row r="54">
          <cell r="A54">
            <v>963118</v>
          </cell>
          <cell r="B54" t="str">
            <v>Вешалка Sheffilton SHT-WH8 В2-100 ваниль/коричневый</v>
          </cell>
          <cell r="C54">
            <v>346.67</v>
          </cell>
          <cell r="E54">
            <v>23</v>
          </cell>
          <cell r="F54">
            <v>30</v>
          </cell>
        </row>
        <row r="55">
          <cell r="A55">
            <v>965561</v>
          </cell>
          <cell r="B55" t="str">
            <v>Вешалка Sheffilton SHT-WH8 В2-100 коричневый муар/черный</v>
          </cell>
          <cell r="C55">
            <v>333.33</v>
          </cell>
          <cell r="E55">
            <v>22</v>
          </cell>
          <cell r="F55">
            <v>29</v>
          </cell>
        </row>
        <row r="56">
          <cell r="A56">
            <v>177557</v>
          </cell>
          <cell r="B56" t="str">
            <v>Вешалка Sheffilton SHT-WH9 В2-154 беленый/белый</v>
          </cell>
          <cell r="C56">
            <v>1126.67</v>
          </cell>
          <cell r="E56">
            <v>74</v>
          </cell>
          <cell r="F56">
            <v>96</v>
          </cell>
        </row>
        <row r="57">
          <cell r="A57">
            <v>177562</v>
          </cell>
          <cell r="B57" t="str">
            <v>Вешалка Sheffilton SHT-WH9 В2-154 беленый/черный муар</v>
          </cell>
          <cell r="C57">
            <v>1126.67</v>
          </cell>
          <cell r="E57">
            <v>74</v>
          </cell>
          <cell r="F57">
            <v>96</v>
          </cell>
        </row>
        <row r="58">
          <cell r="A58">
            <v>177587</v>
          </cell>
          <cell r="B58" t="str">
            <v>Вешалка Sheffilton SHT-WH9 В2-154 венге/черный муар</v>
          </cell>
          <cell r="C58">
            <v>1196.67</v>
          </cell>
          <cell r="E58">
            <v>79</v>
          </cell>
          <cell r="F58">
            <v>103</v>
          </cell>
        </row>
        <row r="59">
          <cell r="A59">
            <v>177589</v>
          </cell>
          <cell r="B59" t="str">
            <v>Вешалка Sheffilton SHT-WH9 В2-154 прозрачный лак/антрацит</v>
          </cell>
          <cell r="C59">
            <v>1066.67</v>
          </cell>
          <cell r="E59">
            <v>70</v>
          </cell>
          <cell r="F59">
            <v>91</v>
          </cell>
        </row>
        <row r="60">
          <cell r="A60">
            <v>162635</v>
          </cell>
          <cell r="B60" t="str">
            <v>Вешалка Sheffilton Альберо SHT-WH25 В2-153 беленый/алюм.мет</v>
          </cell>
          <cell r="C60">
            <v>596.66999999999996</v>
          </cell>
          <cell r="E60">
            <v>39</v>
          </cell>
          <cell r="F60">
            <v>51</v>
          </cell>
        </row>
        <row r="61">
          <cell r="A61">
            <v>162636</v>
          </cell>
          <cell r="B61" t="str">
            <v>Вешалка Sheffilton Альберо SHT-WH25 В2-153 венге/алюм.мет</v>
          </cell>
          <cell r="C61">
            <v>636.66999999999996</v>
          </cell>
          <cell r="E61">
            <v>42</v>
          </cell>
          <cell r="F61">
            <v>55</v>
          </cell>
        </row>
        <row r="62">
          <cell r="A62">
            <v>150948</v>
          </cell>
          <cell r="B62" t="str">
            <v>Вешалка Sheffilton Альберо SHT-WH25 В2-153 прозрачный лак/алюм.мет</v>
          </cell>
          <cell r="C62">
            <v>550</v>
          </cell>
          <cell r="E62">
            <v>36</v>
          </cell>
          <cell r="F62">
            <v>47</v>
          </cell>
        </row>
        <row r="63">
          <cell r="A63">
            <v>933035</v>
          </cell>
          <cell r="B63" t="str">
            <v>Вешалка Sheffilton Альберо SHT-WH4 В2-91 беленый/алюм.мет (+)</v>
          </cell>
          <cell r="C63">
            <v>1240</v>
          </cell>
          <cell r="E63">
            <v>82</v>
          </cell>
          <cell r="F63">
            <v>107</v>
          </cell>
        </row>
        <row r="64">
          <cell r="A64">
            <v>933036</v>
          </cell>
          <cell r="B64" t="str">
            <v>Вешалка Sheffilton Альберо SHT-WH4 В2-91 венге/алюм.мет (+)</v>
          </cell>
          <cell r="C64">
            <v>1313.33</v>
          </cell>
          <cell r="E64">
            <v>87</v>
          </cell>
          <cell r="F64">
            <v>113</v>
          </cell>
        </row>
        <row r="65">
          <cell r="A65">
            <v>985631</v>
          </cell>
          <cell r="B65" t="str">
            <v>Вешалка Sheffilton Альберо SHT-WH4 В2-91 прозрачный лак/алюм.мет</v>
          </cell>
          <cell r="C65">
            <v>1146.67</v>
          </cell>
          <cell r="E65">
            <v>76</v>
          </cell>
          <cell r="F65">
            <v>99</v>
          </cell>
        </row>
        <row r="66">
          <cell r="A66">
            <v>899313</v>
          </cell>
          <cell r="B66" t="str">
            <v>Вешалка Sheffilton Грация 1/4 В2-65 золотой антик/мет. золото</v>
          </cell>
          <cell r="C66">
            <v>266.67</v>
          </cell>
          <cell r="E66">
            <v>18</v>
          </cell>
          <cell r="F66">
            <v>23</v>
          </cell>
        </row>
        <row r="67">
          <cell r="A67">
            <v>640465</v>
          </cell>
          <cell r="B67" t="str">
            <v>Вешалка Sheffilton Грация 1/4 В2-65 черный/черный</v>
          </cell>
          <cell r="C67">
            <v>226.67</v>
          </cell>
          <cell r="E67">
            <v>15</v>
          </cell>
          <cell r="F67">
            <v>20</v>
          </cell>
        </row>
        <row r="68">
          <cell r="A68">
            <v>701158</v>
          </cell>
          <cell r="B68" t="str">
            <v>Вешалка Sheffilton Грация 1/5 В2-66 золотой антик/мет. золото</v>
          </cell>
          <cell r="C68">
            <v>586.66999999999996</v>
          </cell>
          <cell r="E68">
            <v>39</v>
          </cell>
          <cell r="F68">
            <v>51</v>
          </cell>
        </row>
        <row r="69">
          <cell r="A69">
            <v>727015</v>
          </cell>
          <cell r="B69" t="str">
            <v>Вешалка Sheffilton Грация 1/5 В2-66 черный/черный</v>
          </cell>
          <cell r="C69">
            <v>513.33000000000004</v>
          </cell>
          <cell r="E69">
            <v>34</v>
          </cell>
          <cell r="F69">
            <v>44</v>
          </cell>
        </row>
        <row r="70">
          <cell r="A70">
            <v>727017</v>
          </cell>
          <cell r="B70" t="str">
            <v>Вешалка Sheffilton Грация 2/5 В2-67 черный/черный</v>
          </cell>
          <cell r="C70">
            <v>446.67</v>
          </cell>
          <cell r="E70">
            <v>29</v>
          </cell>
          <cell r="F70">
            <v>38</v>
          </cell>
        </row>
        <row r="71">
          <cell r="A71">
            <v>892036</v>
          </cell>
          <cell r="B71" t="str">
            <v>Вешалка Sheffilton Грация 4/5 В2-69 орех/черный/черный</v>
          </cell>
          <cell r="C71">
            <v>973.33</v>
          </cell>
          <cell r="E71">
            <v>64</v>
          </cell>
          <cell r="F71">
            <v>83</v>
          </cell>
        </row>
        <row r="72">
          <cell r="A72">
            <v>747884</v>
          </cell>
          <cell r="B72" t="str">
            <v>Вешалка Sheffilton Грация 770 В2-83 черный/серый</v>
          </cell>
          <cell r="C72">
            <v>173.33</v>
          </cell>
          <cell r="E72">
            <v>11</v>
          </cell>
          <cell r="F72">
            <v>14</v>
          </cell>
        </row>
        <row r="73">
          <cell r="A73">
            <v>813940</v>
          </cell>
          <cell r="B73" t="str">
            <v>Вешалка Sheffilton Грация 770-2 В2-83-2 черный</v>
          </cell>
          <cell r="C73">
            <v>113.33</v>
          </cell>
          <cell r="E73">
            <v>7</v>
          </cell>
          <cell r="F73">
            <v>9</v>
          </cell>
        </row>
        <row r="74">
          <cell r="A74">
            <v>171493</v>
          </cell>
          <cell r="B74" t="str">
            <v>Вешалка Sheffilton Грация 780 B2-84 черный/серый (+)</v>
          </cell>
          <cell r="C74">
            <v>486.67</v>
          </cell>
          <cell r="E74">
            <v>32</v>
          </cell>
          <cell r="F74">
            <v>42</v>
          </cell>
        </row>
        <row r="75">
          <cell r="A75">
            <v>785652</v>
          </cell>
          <cell r="B75" t="str">
            <v>Вешалка Sheffilton Грация 790 В2-85 черный/черный (+)</v>
          </cell>
          <cell r="C75">
            <v>673.33</v>
          </cell>
          <cell r="E75">
            <v>44</v>
          </cell>
          <cell r="F75">
            <v>57</v>
          </cell>
        </row>
        <row r="76">
          <cell r="A76">
            <v>813932</v>
          </cell>
          <cell r="B76" t="str">
            <v>Вешалка Sheffilton Грация 850 В2-87 ваниль/венге</v>
          </cell>
          <cell r="C76">
            <v>733.33</v>
          </cell>
          <cell r="E76">
            <v>48</v>
          </cell>
          <cell r="F76">
            <v>62</v>
          </cell>
        </row>
        <row r="77">
          <cell r="A77">
            <v>813934</v>
          </cell>
          <cell r="B77" t="str">
            <v>Вешалка Sheffilton Грация 850 В2-87 кор.муар/дуб молочный</v>
          </cell>
          <cell r="C77">
            <v>653.33000000000004</v>
          </cell>
          <cell r="E77">
            <v>43</v>
          </cell>
          <cell r="F77">
            <v>56</v>
          </cell>
        </row>
        <row r="78">
          <cell r="A78">
            <v>934845</v>
          </cell>
          <cell r="B78" t="str">
            <v>Вешалка Sheffilton Крючок-2 В2-93 черный/черный</v>
          </cell>
          <cell r="C78">
            <v>93.33</v>
          </cell>
          <cell r="E78">
            <v>6</v>
          </cell>
          <cell r="F78">
            <v>8</v>
          </cell>
        </row>
        <row r="79">
          <cell r="A79">
            <v>195852</v>
          </cell>
          <cell r="B79" t="str">
            <v>Вешалка Sheffilton Стандарт 1/4 В2-5-1 белый/серый (+)</v>
          </cell>
          <cell r="C79">
            <v>146.66999999999999</v>
          </cell>
          <cell r="E79">
            <v>10</v>
          </cell>
          <cell r="F79">
            <v>13</v>
          </cell>
        </row>
        <row r="80">
          <cell r="A80">
            <v>536582</v>
          </cell>
          <cell r="B80" t="str">
            <v>Вешалка Sheffilton Стандарт 1/6 В2-63 черный/белый (+)</v>
          </cell>
          <cell r="C80">
            <v>326.67</v>
          </cell>
          <cell r="E80">
            <v>22</v>
          </cell>
          <cell r="F80">
            <v>29</v>
          </cell>
        </row>
        <row r="81">
          <cell r="A81">
            <v>163911</v>
          </cell>
          <cell r="B81" t="str">
            <v>Вешалка Sheffilton Стандарт 2/3 В2-5-4 белый/серый (+)</v>
          </cell>
          <cell r="C81">
            <v>120</v>
          </cell>
          <cell r="E81">
            <v>8</v>
          </cell>
          <cell r="F81">
            <v>10</v>
          </cell>
        </row>
        <row r="82">
          <cell r="A82">
            <v>197299</v>
          </cell>
          <cell r="B82" t="str">
            <v>Вешалка Sheffilton Стандарт 2/5 В2-5-5 белый/белый (+)</v>
          </cell>
          <cell r="C82">
            <v>160</v>
          </cell>
          <cell r="E82">
            <v>11</v>
          </cell>
          <cell r="F82">
            <v>14</v>
          </cell>
        </row>
        <row r="83">
          <cell r="A83">
            <v>197300</v>
          </cell>
          <cell r="B83" t="str">
            <v>Вешалка Sheffilton Стандарт 2/5 В2-5-5 медный/черный (+)</v>
          </cell>
          <cell r="C83">
            <v>160</v>
          </cell>
          <cell r="E83">
            <v>11</v>
          </cell>
          <cell r="F83">
            <v>14</v>
          </cell>
        </row>
        <row r="84">
          <cell r="A84">
            <v>197301</v>
          </cell>
          <cell r="B84" t="str">
            <v>Вешалка Sheffilton Стандарт 2/5 В2-5-5 черный/черный (+)</v>
          </cell>
          <cell r="C84">
            <v>160</v>
          </cell>
          <cell r="E84">
            <v>11</v>
          </cell>
          <cell r="F84">
            <v>14</v>
          </cell>
        </row>
        <row r="85">
          <cell r="A85">
            <v>165177</v>
          </cell>
          <cell r="B85" t="str">
            <v>Вешалка Sheffilton Стандарт 2/7 В2-5-7 черный/серый (+)</v>
          </cell>
          <cell r="C85">
            <v>203.33</v>
          </cell>
          <cell r="E85">
            <v>13</v>
          </cell>
          <cell r="F85">
            <v>17</v>
          </cell>
        </row>
        <row r="86">
          <cell r="A86">
            <v>163913</v>
          </cell>
          <cell r="B86" t="str">
            <v>Вешалка Sheffilton Угловая В2-3 серебро перлато/серый (+)</v>
          </cell>
          <cell r="C86">
            <v>263.33</v>
          </cell>
          <cell r="E86">
            <v>17</v>
          </cell>
          <cell r="F86">
            <v>22</v>
          </cell>
        </row>
        <row r="87">
          <cell r="A87">
            <v>780254</v>
          </cell>
          <cell r="B87" t="str">
            <v>Вешалка Sheffilton SHT-642 В1-45 коричневый муар/черный</v>
          </cell>
          <cell r="C87">
            <v>1233.33</v>
          </cell>
          <cell r="E87">
            <v>81</v>
          </cell>
          <cell r="F87">
            <v>105</v>
          </cell>
        </row>
        <row r="88">
          <cell r="A88">
            <v>780256</v>
          </cell>
          <cell r="B88" t="str">
            <v>Вешалка Sheffilton SHT-642 В1-45 слоновая кость/кор.</v>
          </cell>
          <cell r="C88">
            <v>1313.33</v>
          </cell>
          <cell r="E88">
            <v>87</v>
          </cell>
          <cell r="F88">
            <v>113</v>
          </cell>
        </row>
        <row r="89">
          <cell r="A89">
            <v>197492</v>
          </cell>
          <cell r="B89" t="str">
            <v>Вешалка Sheffilton SHT-655 В1-46 черный/серый (+)</v>
          </cell>
          <cell r="C89">
            <v>1346.67</v>
          </cell>
          <cell r="E89">
            <v>89</v>
          </cell>
          <cell r="F89">
            <v>116</v>
          </cell>
        </row>
        <row r="90">
          <cell r="A90">
            <v>903278</v>
          </cell>
          <cell r="B90" t="str">
            <v>Вешалка Sheffilton SHT-CR10 В1-72 светлый орех/мрамор</v>
          </cell>
          <cell r="C90">
            <v>1786.67</v>
          </cell>
          <cell r="E90">
            <v>118</v>
          </cell>
          <cell r="F90">
            <v>153</v>
          </cell>
        </row>
        <row r="91">
          <cell r="A91">
            <v>983007</v>
          </cell>
          <cell r="B91" t="str">
            <v>Вешалка  Sheffilton SHT-CR12 В1-75 светлый орех/черный</v>
          </cell>
          <cell r="C91">
            <v>2713.33</v>
          </cell>
          <cell r="E91">
            <v>179</v>
          </cell>
          <cell r="F91">
            <v>233</v>
          </cell>
        </row>
        <row r="92">
          <cell r="A92">
            <v>920129</v>
          </cell>
          <cell r="B92" t="str">
            <v>Вешалка  Sheffilton SHT-CR12 В1-75 светлый орех/черный/мрамор</v>
          </cell>
          <cell r="C92">
            <v>2620</v>
          </cell>
          <cell r="E92">
            <v>173</v>
          </cell>
          <cell r="F92">
            <v>225</v>
          </cell>
        </row>
        <row r="93">
          <cell r="A93">
            <v>963661</v>
          </cell>
          <cell r="B93" t="str">
            <v>Вешалка Sheffilton SHT-CR14 В1-148 ваниль/коричневый</v>
          </cell>
          <cell r="C93">
            <v>2126.67</v>
          </cell>
          <cell r="E93">
            <v>140</v>
          </cell>
          <cell r="F93">
            <v>182</v>
          </cell>
        </row>
        <row r="94">
          <cell r="A94">
            <v>163095</v>
          </cell>
          <cell r="B94" t="str">
            <v>Вешалка Sheffilton SHT-CR14 В1-148 золотой дуб/черный</v>
          </cell>
          <cell r="C94">
            <v>3066.67</v>
          </cell>
          <cell r="E94">
            <v>202</v>
          </cell>
          <cell r="F94">
            <v>263</v>
          </cell>
        </row>
        <row r="95">
          <cell r="A95">
            <v>963662</v>
          </cell>
          <cell r="B95" t="str">
            <v>Вешалка Sheffilton SHT-CR14 В1-148 коричневый муар/черный</v>
          </cell>
          <cell r="C95">
            <v>2033.33</v>
          </cell>
          <cell r="E95">
            <v>134</v>
          </cell>
          <cell r="F95">
            <v>174</v>
          </cell>
        </row>
        <row r="96">
          <cell r="A96">
            <v>163096</v>
          </cell>
          <cell r="B96" t="str">
            <v>Вешалка Sheffilton SHT-CR15 В1-89 дуб фиам/коричневый</v>
          </cell>
          <cell r="C96">
            <v>3193.33</v>
          </cell>
          <cell r="E96">
            <v>210</v>
          </cell>
          <cell r="F96">
            <v>273</v>
          </cell>
        </row>
        <row r="97">
          <cell r="A97">
            <v>182937</v>
          </cell>
          <cell r="B97" t="str">
            <v>Вешалка Sheffilton SHT-CR15 В1-89 золото/глянц.золото</v>
          </cell>
          <cell r="C97">
            <v>2566.67</v>
          </cell>
          <cell r="E97">
            <v>169</v>
          </cell>
          <cell r="F97">
            <v>220</v>
          </cell>
        </row>
        <row r="98">
          <cell r="A98">
            <v>986267</v>
          </cell>
          <cell r="B98" t="str">
            <v>Вешалка Sheffilton SHT-CR15 В1-89 коричневый/черный муар</v>
          </cell>
          <cell r="C98">
            <v>2213.33</v>
          </cell>
          <cell r="E98">
            <v>146</v>
          </cell>
          <cell r="F98">
            <v>190</v>
          </cell>
        </row>
        <row r="99">
          <cell r="A99">
            <v>986269</v>
          </cell>
          <cell r="B99" t="str">
            <v>Вешалка Sheffilton SHT-CR17 В1-91 хром лак/антрацит</v>
          </cell>
          <cell r="C99">
            <v>1993.33</v>
          </cell>
          <cell r="E99">
            <v>131</v>
          </cell>
          <cell r="F99">
            <v>170</v>
          </cell>
        </row>
        <row r="100">
          <cell r="A100">
            <v>49972</v>
          </cell>
          <cell r="B100" t="str">
            <v>Вешалка Sheffilton SHT-CR18 В1-95 черный муар</v>
          </cell>
          <cell r="C100">
            <v>3240</v>
          </cell>
          <cell r="E100">
            <v>213</v>
          </cell>
          <cell r="F100">
            <v>277</v>
          </cell>
        </row>
        <row r="101">
          <cell r="A101">
            <v>147782</v>
          </cell>
          <cell r="B101" t="str">
            <v>Вешалка Sheffilton SHT-CR19 В1-96 темный орех/коричневый</v>
          </cell>
          <cell r="C101">
            <v>2926.67</v>
          </cell>
          <cell r="E101">
            <v>193</v>
          </cell>
          <cell r="F101">
            <v>251</v>
          </cell>
        </row>
        <row r="102">
          <cell r="A102">
            <v>147781</v>
          </cell>
          <cell r="B102" t="str">
            <v>Вешалка Sheffilton SHT-CR19 В1-96 хром лак/антрацит</v>
          </cell>
          <cell r="C102">
            <v>3000</v>
          </cell>
          <cell r="E102">
            <v>198</v>
          </cell>
          <cell r="F102">
            <v>257</v>
          </cell>
        </row>
        <row r="103">
          <cell r="A103">
            <v>200372</v>
          </cell>
          <cell r="B103" t="str">
            <v>Вешалка Sheffilton  SHT-CR2078 В1-69 белый/серый (+)</v>
          </cell>
          <cell r="C103">
            <v>913.33</v>
          </cell>
          <cell r="E103">
            <v>60</v>
          </cell>
          <cell r="F103">
            <v>78</v>
          </cell>
        </row>
        <row r="104">
          <cell r="A104">
            <v>200377</v>
          </cell>
          <cell r="B104" t="str">
            <v>Вешалка Sheffilton  SHT-CR2078 В1-69 черный/серый (+)</v>
          </cell>
          <cell r="C104">
            <v>913.33</v>
          </cell>
          <cell r="E104">
            <v>60</v>
          </cell>
          <cell r="F104">
            <v>78</v>
          </cell>
        </row>
        <row r="105">
          <cell r="A105">
            <v>853592</v>
          </cell>
          <cell r="B105" t="str">
            <v>Вешалка Sheffilton SHT-CR330 В2-88 черный/серый</v>
          </cell>
          <cell r="C105">
            <v>673.33</v>
          </cell>
          <cell r="E105">
            <v>44</v>
          </cell>
          <cell r="F105">
            <v>57</v>
          </cell>
        </row>
        <row r="106">
          <cell r="A106">
            <v>868604</v>
          </cell>
          <cell r="B106" t="str">
            <v>Вешалка Sheffilton SHT-CR330 Р В1-58 черный/серый</v>
          </cell>
          <cell r="C106">
            <v>740</v>
          </cell>
          <cell r="E106">
            <v>49</v>
          </cell>
          <cell r="F106">
            <v>64</v>
          </cell>
        </row>
        <row r="107">
          <cell r="A107">
            <v>183257</v>
          </cell>
          <cell r="B107" t="str">
            <v>Вешалка Sheffilton SHT-CR331 В1-81 белый/белый</v>
          </cell>
          <cell r="C107">
            <v>580</v>
          </cell>
          <cell r="E107">
            <v>38</v>
          </cell>
          <cell r="F107">
            <v>49</v>
          </cell>
        </row>
        <row r="108">
          <cell r="A108">
            <v>832334</v>
          </cell>
          <cell r="B108" t="str">
            <v>Вешалка Sheffilton SHT-CR400 В1-48 белый/серый/бел.</v>
          </cell>
          <cell r="C108">
            <v>1366.67</v>
          </cell>
          <cell r="E108">
            <v>90</v>
          </cell>
          <cell r="F108">
            <v>117</v>
          </cell>
        </row>
        <row r="109">
          <cell r="A109">
            <v>832336</v>
          </cell>
          <cell r="B109" t="str">
            <v>Вешалка Sheffilton SHT-CR400 В1-48 черный/серый/черн.</v>
          </cell>
          <cell r="C109">
            <v>1300</v>
          </cell>
          <cell r="E109">
            <v>86</v>
          </cell>
          <cell r="F109">
            <v>112</v>
          </cell>
        </row>
        <row r="110">
          <cell r="A110">
            <v>847914</v>
          </cell>
          <cell r="B110" t="str">
            <v>Вешалка Sheffilton SHT-CR450 В1-50 черный/серый/мрамор</v>
          </cell>
          <cell r="C110">
            <v>1826.67</v>
          </cell>
          <cell r="E110">
            <v>120</v>
          </cell>
          <cell r="F110">
            <v>156</v>
          </cell>
        </row>
        <row r="111">
          <cell r="A111">
            <v>903276</v>
          </cell>
          <cell r="B111" t="str">
            <v>Вешалка Sheffilton SHT-CR9 В1-71 темный орех/мрамор</v>
          </cell>
          <cell r="C111">
            <v>1900</v>
          </cell>
          <cell r="E111">
            <v>125</v>
          </cell>
          <cell r="F111">
            <v>163</v>
          </cell>
        </row>
        <row r="112">
          <cell r="A112">
            <v>933039</v>
          </cell>
          <cell r="B112" t="str">
            <v>Вешалка Sheffilton Альберо SHT-CR11 В1-80 беленый/алюм.мет</v>
          </cell>
          <cell r="C112">
            <v>3686.67</v>
          </cell>
          <cell r="E112">
            <v>243</v>
          </cell>
          <cell r="F112">
            <v>316</v>
          </cell>
        </row>
        <row r="113">
          <cell r="A113">
            <v>933040</v>
          </cell>
          <cell r="B113" t="str">
            <v>Вешалка Sheffilton Альберо SHT-CR11 В1-80 венге/алюм.мет</v>
          </cell>
          <cell r="C113">
            <v>3906.67</v>
          </cell>
          <cell r="E113">
            <v>257</v>
          </cell>
          <cell r="F113">
            <v>334</v>
          </cell>
        </row>
        <row r="114">
          <cell r="A114">
            <v>985627</v>
          </cell>
          <cell r="B114" t="str">
            <v>Вешалка Sheffilton Альберо SHT-CR11 В1-80 прозрачный лак/алюм.мет</v>
          </cell>
          <cell r="C114">
            <v>3440</v>
          </cell>
          <cell r="E114">
            <v>227</v>
          </cell>
          <cell r="F114">
            <v>295</v>
          </cell>
        </row>
        <row r="115">
          <cell r="A115">
            <v>172284</v>
          </cell>
          <cell r="B115" t="str">
            <v>Вешалка Sheffilton Альберо SHT-CR20 В1-162 белый зол.патина/золото</v>
          </cell>
          <cell r="C115">
            <v>3320</v>
          </cell>
          <cell r="E115">
            <v>219</v>
          </cell>
          <cell r="F115">
            <v>285</v>
          </cell>
        </row>
        <row r="116">
          <cell r="A116">
            <v>172218</v>
          </cell>
          <cell r="B116" t="str">
            <v>Вешалка Sheffilton Альберо SHT-CR20 В1-162 венге/алюм.мет</v>
          </cell>
          <cell r="C116">
            <v>2973.33</v>
          </cell>
          <cell r="E116">
            <v>196</v>
          </cell>
          <cell r="F116">
            <v>255</v>
          </cell>
        </row>
        <row r="117">
          <cell r="A117">
            <v>172285</v>
          </cell>
          <cell r="B117" t="str">
            <v>Вешалка Sheffilton Альберо SHT-CR20 В1-162 прозрачный лак/белый муар</v>
          </cell>
          <cell r="C117">
            <v>2946.67</v>
          </cell>
          <cell r="E117">
            <v>194</v>
          </cell>
          <cell r="F117">
            <v>252</v>
          </cell>
        </row>
        <row r="118">
          <cell r="A118">
            <v>858668</v>
          </cell>
          <cell r="B118" t="str">
            <v>Вешалка Sheffilton Офис 1-1Р В1-5-1-2 белый/серый (+)</v>
          </cell>
          <cell r="C118">
            <v>1426.67</v>
          </cell>
          <cell r="E118">
            <v>94</v>
          </cell>
          <cell r="F118">
            <v>122</v>
          </cell>
        </row>
        <row r="119">
          <cell r="A119">
            <v>858670</v>
          </cell>
          <cell r="B119" t="str">
            <v>Вешалка Sheffilton Офис 1-1Р В1-5-1-2 медный/черный (+)</v>
          </cell>
          <cell r="C119">
            <v>1380</v>
          </cell>
          <cell r="E119">
            <v>91</v>
          </cell>
          <cell r="F119">
            <v>118</v>
          </cell>
        </row>
        <row r="120">
          <cell r="A120">
            <v>858672</v>
          </cell>
          <cell r="B120" t="str">
            <v>Вешалка Sheffilton Офис 1-1Р В1-5-1-2 черный/серый (+)</v>
          </cell>
          <cell r="C120">
            <v>1353.33</v>
          </cell>
          <cell r="E120">
            <v>89</v>
          </cell>
          <cell r="F120">
            <v>116</v>
          </cell>
        </row>
        <row r="121">
          <cell r="A121">
            <v>813952</v>
          </cell>
          <cell r="B121" t="str">
            <v>Вешалка Sheffilton Офис Грация 680 В1-49 черный/черный</v>
          </cell>
          <cell r="C121">
            <v>1446.67</v>
          </cell>
          <cell r="E121">
            <v>95</v>
          </cell>
          <cell r="F121">
            <v>124</v>
          </cell>
        </row>
        <row r="122">
          <cell r="A122">
            <v>710252</v>
          </cell>
          <cell r="B122" t="str">
            <v>Вешалка Sheffilton Офис Грация р В1-41 золотой антик/мет. золото (+)</v>
          </cell>
          <cell r="C122">
            <v>1406.67</v>
          </cell>
          <cell r="E122">
            <v>93</v>
          </cell>
          <cell r="F122">
            <v>121</v>
          </cell>
        </row>
        <row r="123">
          <cell r="A123">
            <v>710250</v>
          </cell>
          <cell r="B123" t="str">
            <v>Вешалка Sheffilton Офис Грация р В1-41 черный/черный (+)</v>
          </cell>
          <cell r="C123">
            <v>1306.67</v>
          </cell>
          <cell r="E123">
            <v>86</v>
          </cell>
          <cell r="F123">
            <v>112</v>
          </cell>
        </row>
        <row r="124">
          <cell r="A124">
            <v>189700</v>
          </cell>
          <cell r="B124" t="str">
            <v>Вешалка Sheffilton SHT-SUR3 В1-82 ваниль/бежевый (+)</v>
          </cell>
          <cell r="C124">
            <v>533.33000000000004</v>
          </cell>
          <cell r="E124">
            <v>35</v>
          </cell>
          <cell r="F124">
            <v>46</v>
          </cell>
        </row>
        <row r="125">
          <cell r="A125">
            <v>189701</v>
          </cell>
          <cell r="B125" t="str">
            <v>Вешалка Sheffilton SHT-SUR3 В1-82 коричневый муар/коричневый (+)</v>
          </cell>
          <cell r="C125">
            <v>533.33000000000004</v>
          </cell>
          <cell r="E125">
            <v>35</v>
          </cell>
          <cell r="F125">
            <v>46</v>
          </cell>
        </row>
        <row r="126">
          <cell r="A126">
            <v>189706</v>
          </cell>
          <cell r="B126" t="str">
            <v>Вешалка Sheffilton SHT-SUR4 В1-83 коричневый муар/коричневый (+)</v>
          </cell>
          <cell r="C126">
            <v>493.33</v>
          </cell>
          <cell r="E126">
            <v>32</v>
          </cell>
          <cell r="F126">
            <v>42</v>
          </cell>
        </row>
        <row r="127">
          <cell r="A127">
            <v>935831</v>
          </cell>
          <cell r="B127" t="str">
            <v>Вешалка Sheffilton SHT-SUR5 В1-84 светлый орех/коричневый</v>
          </cell>
          <cell r="C127">
            <v>1393.33</v>
          </cell>
          <cell r="E127">
            <v>92</v>
          </cell>
          <cell r="F127">
            <v>120</v>
          </cell>
        </row>
        <row r="128">
          <cell r="A128">
            <v>935832</v>
          </cell>
          <cell r="B128" t="str">
            <v>Вешалка Sheffilton SHT-SUR5 В1-84 темный орех/коричневый</v>
          </cell>
          <cell r="C128">
            <v>1393.33</v>
          </cell>
          <cell r="E128">
            <v>92</v>
          </cell>
          <cell r="F128">
            <v>120</v>
          </cell>
        </row>
        <row r="129">
          <cell r="A129">
            <v>891628</v>
          </cell>
          <cell r="B129" t="str">
            <v>Вешалка Sheffilton M-3026 В1-60 венге/черный (+)</v>
          </cell>
          <cell r="C129">
            <v>4846.67</v>
          </cell>
          <cell r="E129">
            <v>319</v>
          </cell>
          <cell r="F129">
            <v>415</v>
          </cell>
        </row>
        <row r="130">
          <cell r="A130">
            <v>820868</v>
          </cell>
          <cell r="B130" t="str">
            <v>Вешалка Sheffilton M-306 В1-54 черный муар/бук (+)</v>
          </cell>
          <cell r="C130">
            <v>3033.33</v>
          </cell>
          <cell r="E130">
            <v>200</v>
          </cell>
          <cell r="F130">
            <v>260</v>
          </cell>
        </row>
        <row r="131">
          <cell r="A131">
            <v>932376</v>
          </cell>
          <cell r="B131" t="str">
            <v>Вешалка Sheffilton M-306 В1-54 черный муар/венге</v>
          </cell>
          <cell r="C131">
            <v>3033.33</v>
          </cell>
          <cell r="E131">
            <v>200</v>
          </cell>
          <cell r="F131">
            <v>260</v>
          </cell>
        </row>
        <row r="132">
          <cell r="A132">
            <v>192402</v>
          </cell>
          <cell r="B132" t="str">
            <v>Вешалка Sheffilton SHT-HW1 В1-86 коричневый муар/венге (+)</v>
          </cell>
          <cell r="C132">
            <v>2940</v>
          </cell>
          <cell r="E132">
            <v>194</v>
          </cell>
          <cell r="F132">
            <v>252</v>
          </cell>
        </row>
        <row r="133">
          <cell r="A133">
            <v>192404</v>
          </cell>
          <cell r="B133" t="str">
            <v>Вешалка Sheffilton SHT-HW1 В1-86 черный муар/дуб беленый (+)</v>
          </cell>
          <cell r="C133">
            <v>2986.67</v>
          </cell>
          <cell r="E133">
            <v>197</v>
          </cell>
          <cell r="F133">
            <v>256</v>
          </cell>
        </row>
        <row r="134">
          <cell r="A134">
            <v>147783</v>
          </cell>
          <cell r="B134" t="str">
            <v>Вешалка Sheffilton SHT-HW2 В1-160 белый/светлый орех</v>
          </cell>
          <cell r="C134">
            <v>5953.33</v>
          </cell>
          <cell r="E134">
            <v>392</v>
          </cell>
          <cell r="F134">
            <v>510</v>
          </cell>
        </row>
        <row r="135">
          <cell r="A135">
            <v>155912</v>
          </cell>
          <cell r="B135" t="str">
            <v>Вешалка Sheffilton SHT-HW2 В1-160 орех/темный орех</v>
          </cell>
          <cell r="C135">
            <v>6226.67</v>
          </cell>
          <cell r="E135">
            <v>410</v>
          </cell>
          <cell r="F135">
            <v>533</v>
          </cell>
        </row>
        <row r="136">
          <cell r="A136">
            <v>920120</v>
          </cell>
          <cell r="B136" t="str">
            <v>Полка Sheffilton Грация 669 ПЛТ-155 черн.зол патина/дуб браш.</v>
          </cell>
          <cell r="C136">
            <v>1610</v>
          </cell>
          <cell r="E136">
            <v>106</v>
          </cell>
          <cell r="F136">
            <v>138</v>
          </cell>
        </row>
        <row r="137">
          <cell r="A137">
            <v>896232</v>
          </cell>
          <cell r="B137" t="str">
            <v>Полка Sheffilton Грация 669 ПЛТ-155 черный/орех (+)</v>
          </cell>
          <cell r="C137">
            <v>553.33000000000004</v>
          </cell>
          <cell r="E137">
            <v>36</v>
          </cell>
          <cell r="F137">
            <v>47</v>
          </cell>
        </row>
        <row r="138">
          <cell r="A138">
            <v>843552</v>
          </cell>
          <cell r="B138" t="str">
            <v>Полка Sheffilton Матрица 54 ПЛТ-12-1 венге/ал.мет/серый</v>
          </cell>
          <cell r="C138">
            <v>1293.33</v>
          </cell>
          <cell r="E138">
            <v>85</v>
          </cell>
          <cell r="F138">
            <v>111</v>
          </cell>
        </row>
        <row r="139">
          <cell r="A139">
            <v>843554</v>
          </cell>
          <cell r="B139" t="str">
            <v>Полка Sheffilton Матрица 54 ПЛТ-12-1 дуб бел/ал.мет/серый</v>
          </cell>
          <cell r="C139">
            <v>1346.67</v>
          </cell>
          <cell r="E139">
            <v>89</v>
          </cell>
          <cell r="F139">
            <v>116</v>
          </cell>
        </row>
        <row r="140">
          <cell r="A140">
            <v>163135</v>
          </cell>
          <cell r="B140" t="str">
            <v>Стеллаж Sheffilton SHT-SS14-P СТН-201 черный/бордовый</v>
          </cell>
          <cell r="C140">
            <v>586.66999999999996</v>
          </cell>
          <cell r="E140">
            <v>39</v>
          </cell>
          <cell r="F140">
            <v>51</v>
          </cell>
        </row>
        <row r="141">
          <cell r="A141">
            <v>956169</v>
          </cell>
          <cell r="B141" t="str">
            <v>Стеллаж Sheffilton SHT-SS16 CTH-300 серый/белый (+)</v>
          </cell>
          <cell r="C141">
            <v>1813.33</v>
          </cell>
          <cell r="E141">
            <v>119</v>
          </cell>
          <cell r="F141">
            <v>155</v>
          </cell>
        </row>
        <row r="142">
          <cell r="A142">
            <v>915692</v>
          </cell>
          <cell r="B142" t="str">
            <v>Стеллаж Sheffilton SHT-SS6 СТН-148 черный/хром лак</v>
          </cell>
          <cell r="C142">
            <v>833.33</v>
          </cell>
          <cell r="E142">
            <v>55</v>
          </cell>
          <cell r="F142">
            <v>72</v>
          </cell>
        </row>
        <row r="143">
          <cell r="A143">
            <v>982057</v>
          </cell>
          <cell r="B143" t="str">
            <v>Стеллаж Sheffilton SHT-SS6/SR6 СТН-203 черный/хром лак</v>
          </cell>
          <cell r="C143">
            <v>1526.67</v>
          </cell>
          <cell r="E143">
            <v>101</v>
          </cell>
          <cell r="F143">
            <v>131</v>
          </cell>
        </row>
        <row r="144">
          <cell r="A144">
            <v>915706</v>
          </cell>
          <cell r="B144" t="str">
            <v>Стеллаж Sheffilton SHT-SS7 СТН-159 черный/хром лак/черный</v>
          </cell>
          <cell r="C144">
            <v>700</v>
          </cell>
          <cell r="E144">
            <v>46</v>
          </cell>
          <cell r="F144">
            <v>60</v>
          </cell>
        </row>
        <row r="145">
          <cell r="A145">
            <v>915726</v>
          </cell>
          <cell r="B145" t="str">
            <v>Стеллаж Sheffilton SHT-SS7-P СТН-160 темно-серый/серый/черный</v>
          </cell>
          <cell r="C145">
            <v>520</v>
          </cell>
          <cell r="E145">
            <v>34</v>
          </cell>
          <cell r="F145">
            <v>44</v>
          </cell>
        </row>
        <row r="146">
          <cell r="A146">
            <v>179463</v>
          </cell>
          <cell r="B146" t="str">
            <v>Стеллаж Sheffilton SHT-STR1  белый</v>
          </cell>
          <cell r="C146">
            <v>4600</v>
          </cell>
          <cell r="E146">
            <v>303</v>
          </cell>
          <cell r="F146">
            <v>394</v>
          </cell>
        </row>
        <row r="147">
          <cell r="A147">
            <v>179464</v>
          </cell>
          <cell r="B147" t="str">
            <v>Стеллаж Sheffilton SHT-STR2  белый/красный</v>
          </cell>
          <cell r="C147">
            <v>10733.33</v>
          </cell>
          <cell r="E147">
            <v>707</v>
          </cell>
          <cell r="F147">
            <v>919</v>
          </cell>
        </row>
        <row r="148">
          <cell r="A148">
            <v>179465</v>
          </cell>
          <cell r="B148" t="str">
            <v>Стеллаж Sheffilton SHT-STR3  белый</v>
          </cell>
          <cell r="C148">
            <v>6133.33</v>
          </cell>
          <cell r="E148">
            <v>404</v>
          </cell>
          <cell r="F148">
            <v>525</v>
          </cell>
        </row>
        <row r="149">
          <cell r="A149">
            <v>179466</v>
          </cell>
          <cell r="B149" t="str">
            <v>Стеллаж Sheffilton SHT-STR4  белый</v>
          </cell>
          <cell r="C149">
            <v>10733.33</v>
          </cell>
          <cell r="E149">
            <v>707</v>
          </cell>
          <cell r="F149">
            <v>919</v>
          </cell>
        </row>
        <row r="150">
          <cell r="A150">
            <v>179467</v>
          </cell>
          <cell r="B150" t="str">
            <v>Стеллаж Sheffilton SHT-STR5  белый</v>
          </cell>
          <cell r="C150">
            <v>5750</v>
          </cell>
          <cell r="E150">
            <v>379</v>
          </cell>
          <cell r="F150">
            <v>493</v>
          </cell>
        </row>
        <row r="151">
          <cell r="A151">
            <v>179468</v>
          </cell>
          <cell r="B151" t="str">
            <v>Стеллаж Sheffilton SHT-STR6  белый</v>
          </cell>
          <cell r="C151">
            <v>3833.33</v>
          </cell>
          <cell r="E151">
            <v>253</v>
          </cell>
          <cell r="F151">
            <v>329</v>
          </cell>
        </row>
        <row r="152">
          <cell r="A152">
            <v>940361</v>
          </cell>
          <cell r="B152" t="str">
            <v>Стеллаж с чехлом Sheffilton SHT-SS15-P СТН -202 бежевый/салатовый (+)</v>
          </cell>
          <cell r="C152">
            <v>870</v>
          </cell>
          <cell r="E152">
            <v>57</v>
          </cell>
          <cell r="F152">
            <v>74</v>
          </cell>
        </row>
        <row r="153">
          <cell r="A153">
            <v>940359</v>
          </cell>
          <cell r="B153" t="str">
            <v>Стеллаж с чехлом Sheffilton SHT-SS15-P СТН -202 коричневый/венге/коричневый (+)</v>
          </cell>
          <cell r="C153">
            <v>1170</v>
          </cell>
          <cell r="E153">
            <v>77</v>
          </cell>
          <cell r="F153">
            <v>100</v>
          </cell>
        </row>
        <row r="154">
          <cell r="A154">
            <v>940362</v>
          </cell>
          <cell r="B154" t="str">
            <v>Стеллаж с чехлом Sheffilton SHT-SS15-P СТН -202 черный/сине-фиолетовый</v>
          </cell>
          <cell r="C154">
            <v>966.67</v>
          </cell>
          <cell r="E154">
            <v>64</v>
          </cell>
          <cell r="F154">
            <v>83</v>
          </cell>
        </row>
        <row r="155">
          <cell r="A155">
            <v>920127</v>
          </cell>
          <cell r="B155" t="str">
            <v>Банкетка Sheffilton SHT-B1 Б-5 бежевый/черный муар</v>
          </cell>
          <cell r="C155">
            <v>1533.33</v>
          </cell>
          <cell r="E155">
            <v>101</v>
          </cell>
          <cell r="F155">
            <v>131</v>
          </cell>
        </row>
        <row r="156">
          <cell r="A156">
            <v>923826</v>
          </cell>
          <cell r="B156" t="str">
            <v>Банкетка Sheffilton SHT-B1 Б-5 коричневый/черный муар</v>
          </cell>
          <cell r="C156">
            <v>1533.33</v>
          </cell>
          <cell r="E156">
            <v>101</v>
          </cell>
          <cell r="F156">
            <v>131</v>
          </cell>
        </row>
        <row r="157">
          <cell r="A157">
            <v>196553</v>
          </cell>
          <cell r="B157" t="str">
            <v>Банкетка Sheffilton SHT-B4 Б-7 голубая пастель/золото</v>
          </cell>
          <cell r="C157">
            <v>1880</v>
          </cell>
          <cell r="E157">
            <v>124</v>
          </cell>
          <cell r="F157">
            <v>161</v>
          </cell>
        </row>
        <row r="158">
          <cell r="A158">
            <v>190209</v>
          </cell>
          <cell r="B158" t="str">
            <v>Банкетка Sheffilton SHT-B4 Б-7 голубая пастель/черный муар</v>
          </cell>
          <cell r="C158">
            <v>1833.33</v>
          </cell>
          <cell r="E158">
            <v>121</v>
          </cell>
          <cell r="F158">
            <v>157</v>
          </cell>
        </row>
        <row r="159">
          <cell r="A159">
            <v>190210</v>
          </cell>
          <cell r="B159" t="str">
            <v>Банкетка Sheffilton SHT-B4 Б-7 желтый/черный муар</v>
          </cell>
          <cell r="C159">
            <v>1833.33</v>
          </cell>
          <cell r="E159">
            <v>121</v>
          </cell>
          <cell r="F159">
            <v>157</v>
          </cell>
        </row>
        <row r="160">
          <cell r="A160">
            <v>196552</v>
          </cell>
          <cell r="B160" t="str">
            <v>Банкетка Sheffilton SHT-B4 Б-7 фисташковый/золото</v>
          </cell>
          <cell r="C160">
            <v>1880</v>
          </cell>
          <cell r="E160">
            <v>124</v>
          </cell>
          <cell r="F160">
            <v>161</v>
          </cell>
        </row>
        <row r="161">
          <cell r="A161">
            <v>190211</v>
          </cell>
          <cell r="B161" t="str">
            <v>Банкетка Sheffilton SHT-B4 Б-7 фисташковый/черный муар</v>
          </cell>
          <cell r="C161">
            <v>1833.33</v>
          </cell>
          <cell r="E161">
            <v>121</v>
          </cell>
          <cell r="F161">
            <v>157</v>
          </cell>
        </row>
        <row r="162">
          <cell r="A162">
            <v>208961</v>
          </cell>
          <cell r="B162" t="str">
            <v>Банкетка Sheffilton SHT-B6 Б-13 ванильный крем/черный муар</v>
          </cell>
          <cell r="C162">
            <v>2406.67</v>
          </cell>
          <cell r="E162">
            <v>159</v>
          </cell>
          <cell r="F162">
            <v>207</v>
          </cell>
        </row>
        <row r="163">
          <cell r="A163">
            <v>208958</v>
          </cell>
          <cell r="B163" t="str">
            <v>Банкетка Sheffilton SHT-B6 Б-13 пыльная роза/золото</v>
          </cell>
          <cell r="C163">
            <v>2496.67</v>
          </cell>
          <cell r="E163">
            <v>164</v>
          </cell>
          <cell r="F163">
            <v>213</v>
          </cell>
        </row>
        <row r="164">
          <cell r="A164">
            <v>208960</v>
          </cell>
          <cell r="B164" t="str">
            <v>Банкетка Sheffilton SHT-B6 Б-13 угольно-серый/черный муар</v>
          </cell>
          <cell r="C164">
            <v>2410</v>
          </cell>
          <cell r="E164">
            <v>159</v>
          </cell>
          <cell r="F164">
            <v>207</v>
          </cell>
        </row>
        <row r="165">
          <cell r="A165">
            <v>208962</v>
          </cell>
          <cell r="B165" t="str">
            <v>Банкетка Sheffilton SHT-B7 Б-12 ванильный крем/черный муар</v>
          </cell>
          <cell r="C165">
            <v>4013.33</v>
          </cell>
          <cell r="E165">
            <v>264</v>
          </cell>
          <cell r="F165">
            <v>343</v>
          </cell>
        </row>
        <row r="166">
          <cell r="A166">
            <v>208963</v>
          </cell>
          <cell r="B166" t="str">
            <v>Банкетка Sheffilton SHT-B7 Б-12 пыльная роза/золото</v>
          </cell>
          <cell r="C166">
            <v>4173.33</v>
          </cell>
          <cell r="E166">
            <v>275</v>
          </cell>
          <cell r="F166">
            <v>358</v>
          </cell>
        </row>
        <row r="167">
          <cell r="A167">
            <v>208964</v>
          </cell>
          <cell r="B167" t="str">
            <v>Банкетка Sheffilton SHT-B7 Б-12 угольно-серый/черный муар</v>
          </cell>
          <cell r="C167">
            <v>4026.67</v>
          </cell>
          <cell r="E167">
            <v>265</v>
          </cell>
          <cell r="F167">
            <v>345</v>
          </cell>
        </row>
        <row r="168">
          <cell r="A168">
            <v>208965</v>
          </cell>
          <cell r="B168" t="str">
            <v>Банкетка Sheffilton SHT-B8 Б-11 ледяная лаванда/золото</v>
          </cell>
          <cell r="C168">
            <v>2800</v>
          </cell>
          <cell r="E168">
            <v>184</v>
          </cell>
          <cell r="F168">
            <v>239</v>
          </cell>
        </row>
        <row r="169">
          <cell r="A169">
            <v>208966</v>
          </cell>
          <cell r="B169" t="str">
            <v>Банкетка Sheffilton SHT-B8 Б-11 морская глубина/золото</v>
          </cell>
          <cell r="C169">
            <v>2786.67</v>
          </cell>
          <cell r="E169">
            <v>184</v>
          </cell>
          <cell r="F169">
            <v>239</v>
          </cell>
        </row>
        <row r="170">
          <cell r="A170">
            <v>208967</v>
          </cell>
          <cell r="B170" t="str">
            <v>Банкетка Sheffilton SHT-B8 Б-11 нежная мята/хром лак</v>
          </cell>
          <cell r="C170">
            <v>2610</v>
          </cell>
          <cell r="E170">
            <v>172</v>
          </cell>
          <cell r="F170">
            <v>224</v>
          </cell>
        </row>
        <row r="171">
          <cell r="A171">
            <v>208956</v>
          </cell>
          <cell r="B171" t="str">
            <v>Банкетка Sheffilton SHT-B9 Б-10 голубая пастель/золото</v>
          </cell>
          <cell r="C171">
            <v>3286.67</v>
          </cell>
          <cell r="E171">
            <v>217</v>
          </cell>
          <cell r="F171">
            <v>282</v>
          </cell>
        </row>
        <row r="172">
          <cell r="A172">
            <v>208957</v>
          </cell>
          <cell r="B172" t="str">
            <v>Банкетка Sheffilton SHT-B9 Б-10 сиреневая орхидея/белый муар</v>
          </cell>
          <cell r="C172">
            <v>3250</v>
          </cell>
          <cell r="E172">
            <v>214</v>
          </cell>
          <cell r="F172">
            <v>278</v>
          </cell>
        </row>
        <row r="173">
          <cell r="A173">
            <v>194990</v>
          </cell>
          <cell r="B173" t="str">
            <v>Банкетка Sheffilton SR-0628 Б-2 темный орех/беж (+)</v>
          </cell>
          <cell r="C173">
            <v>2606.67</v>
          </cell>
          <cell r="E173">
            <v>172</v>
          </cell>
          <cell r="F173">
            <v>224</v>
          </cell>
        </row>
        <row r="174">
          <cell r="A174">
            <v>847452</v>
          </cell>
          <cell r="B174" t="str">
            <v>Банкетка Sheffilton SR-0628 SR-0628 темный орех/хром (+)</v>
          </cell>
          <cell r="C174">
            <v>2606.67</v>
          </cell>
          <cell r="E174">
            <v>172</v>
          </cell>
          <cell r="F174">
            <v>224</v>
          </cell>
        </row>
        <row r="175">
          <cell r="A175">
            <v>199314</v>
          </cell>
          <cell r="B175" t="str">
            <v>Банкетка Sheffilton SR-0628-TP Б-3 венге/пепельный</v>
          </cell>
          <cell r="C175">
            <v>2693.33</v>
          </cell>
          <cell r="E175">
            <v>177</v>
          </cell>
          <cell r="F175">
            <v>230</v>
          </cell>
        </row>
        <row r="176">
          <cell r="A176">
            <v>212629</v>
          </cell>
          <cell r="B176" t="str">
            <v>Банкетка Sheffilton SR-0628-TP Б-3 венге/темный пепел</v>
          </cell>
          <cell r="C176">
            <v>2693.33</v>
          </cell>
          <cell r="E176">
            <v>177</v>
          </cell>
          <cell r="F176">
            <v>230</v>
          </cell>
        </row>
        <row r="177">
          <cell r="A177">
            <v>194994</v>
          </cell>
          <cell r="B177" t="str">
            <v>Банкетка Sheffilton SR-0628-TP Б-3 темн орех/Катерина (+)</v>
          </cell>
          <cell r="C177">
            <v>2360</v>
          </cell>
          <cell r="E177">
            <v>155</v>
          </cell>
          <cell r="F177">
            <v>202</v>
          </cell>
        </row>
        <row r="178">
          <cell r="A178">
            <v>199313</v>
          </cell>
          <cell r="B178" t="str">
            <v>Банкетка Sheffilton SR-0628-TP Б-3 темный орех/коричневый scotch</v>
          </cell>
          <cell r="C178">
            <v>2573.33</v>
          </cell>
          <cell r="E178">
            <v>170</v>
          </cell>
          <cell r="F178">
            <v>221</v>
          </cell>
        </row>
        <row r="179">
          <cell r="A179">
            <v>194979</v>
          </cell>
          <cell r="B179" t="str">
            <v>Банкетка Sheffilton Альберо SHT-B2 Б-31 беленый/кедровый/алюм.метал (+)</v>
          </cell>
          <cell r="C179">
            <v>2466.67</v>
          </cell>
          <cell r="E179">
            <v>163</v>
          </cell>
          <cell r="F179">
            <v>212</v>
          </cell>
        </row>
        <row r="180">
          <cell r="A180">
            <v>194984</v>
          </cell>
          <cell r="B180" t="str">
            <v>Банкетка Sheffilton Альберо SHT-B2 Б-31 венге/коричневый/алюм.метал (+)</v>
          </cell>
          <cell r="C180">
            <v>2340</v>
          </cell>
          <cell r="E180">
            <v>154</v>
          </cell>
          <cell r="F180">
            <v>200</v>
          </cell>
        </row>
        <row r="181">
          <cell r="A181">
            <v>194986</v>
          </cell>
          <cell r="B181" t="str">
            <v>Банкетка Sheffilton Альберо SHT-B2 Б-31 прозрачный лак/кедровый/алюм.метал (+)</v>
          </cell>
          <cell r="C181">
            <v>2293.33</v>
          </cell>
          <cell r="E181">
            <v>151</v>
          </cell>
          <cell r="F181">
            <v>196</v>
          </cell>
        </row>
        <row r="182">
          <cell r="A182">
            <v>829478</v>
          </cell>
          <cell r="B182" t="str">
            <v>Банкетка Sheffilton Грация 685 Б-685 золотой антик/Зарина</v>
          </cell>
          <cell r="C182">
            <v>2200</v>
          </cell>
          <cell r="E182">
            <v>145</v>
          </cell>
          <cell r="F182">
            <v>189</v>
          </cell>
        </row>
        <row r="183">
          <cell r="A183">
            <v>825188</v>
          </cell>
          <cell r="B183" t="str">
            <v>Банкетка Sheffilton Грация 685 Б-685 черный/Зарина</v>
          </cell>
          <cell r="C183">
            <v>2146.67</v>
          </cell>
          <cell r="E183">
            <v>141</v>
          </cell>
          <cell r="F183">
            <v>183</v>
          </cell>
        </row>
        <row r="184">
          <cell r="A184">
            <v>825190</v>
          </cell>
          <cell r="B184" t="str">
            <v>Банкетка Sheffilton Грация 685 Б-685 черный/Катерина</v>
          </cell>
          <cell r="C184">
            <v>2173.33</v>
          </cell>
          <cell r="E184">
            <v>143</v>
          </cell>
          <cell r="F184">
            <v>186</v>
          </cell>
        </row>
        <row r="185">
          <cell r="A185">
            <v>825192</v>
          </cell>
          <cell r="B185" t="str">
            <v>Банкетка Sheffilton Грация 685 Б-685 черный/коричневый</v>
          </cell>
          <cell r="C185">
            <v>2113.33</v>
          </cell>
          <cell r="E185">
            <v>139</v>
          </cell>
          <cell r="F185">
            <v>181</v>
          </cell>
        </row>
        <row r="186">
          <cell r="A186">
            <v>184327</v>
          </cell>
          <cell r="B186" t="str">
            <v>Столик журнальный Sheffilton SHT-CT10 Сж-84 белый муар</v>
          </cell>
          <cell r="C186">
            <v>800</v>
          </cell>
          <cell r="E186">
            <v>53</v>
          </cell>
          <cell r="F186">
            <v>69</v>
          </cell>
        </row>
        <row r="187">
          <cell r="A187">
            <v>184328</v>
          </cell>
          <cell r="B187" t="str">
            <v>Столик журнальный Sheffilton SHT-CT10 Сж-84 золото</v>
          </cell>
          <cell r="C187">
            <v>953.33</v>
          </cell>
          <cell r="E187">
            <v>63</v>
          </cell>
          <cell r="F187">
            <v>82</v>
          </cell>
        </row>
        <row r="188">
          <cell r="A188">
            <v>173556</v>
          </cell>
          <cell r="B188" t="str">
            <v>Столик журнальный Sheffilton SHT-CT10 Сж-84 черный муар</v>
          </cell>
          <cell r="C188">
            <v>766.67</v>
          </cell>
          <cell r="E188">
            <v>51</v>
          </cell>
          <cell r="F188">
            <v>66</v>
          </cell>
        </row>
        <row r="189">
          <cell r="A189">
            <v>190425</v>
          </cell>
          <cell r="B189" t="str">
            <v>Столик журнальный Sheffilton SHT-CT11 Сж-98 белый муар</v>
          </cell>
          <cell r="C189">
            <v>626.66999999999996</v>
          </cell>
          <cell r="E189">
            <v>41</v>
          </cell>
          <cell r="F189">
            <v>53</v>
          </cell>
        </row>
        <row r="190">
          <cell r="A190">
            <v>190424</v>
          </cell>
          <cell r="B190" t="str">
            <v>Столик журнальный Sheffilton SHT-CT11 Сж-98 черный муар</v>
          </cell>
          <cell r="C190">
            <v>593.33000000000004</v>
          </cell>
          <cell r="E190">
            <v>39</v>
          </cell>
          <cell r="F190">
            <v>51</v>
          </cell>
        </row>
        <row r="191">
          <cell r="A191">
            <v>190428</v>
          </cell>
          <cell r="B191" t="str">
            <v>Столик журнальный Sheffilton SHT-CT12 Сж-102 белый муар/глянц.белый</v>
          </cell>
          <cell r="C191">
            <v>833.33</v>
          </cell>
          <cell r="E191">
            <v>55</v>
          </cell>
          <cell r="F191">
            <v>72</v>
          </cell>
        </row>
        <row r="192">
          <cell r="A192">
            <v>190426</v>
          </cell>
          <cell r="B192" t="str">
            <v>Столик журнальный Sheffilton SHT-CT12 Сж-102 золото/мрамор премиум светлый</v>
          </cell>
          <cell r="C192">
            <v>833.33</v>
          </cell>
          <cell r="E192">
            <v>55</v>
          </cell>
          <cell r="F192">
            <v>72</v>
          </cell>
        </row>
        <row r="193">
          <cell r="A193">
            <v>190427</v>
          </cell>
          <cell r="B193" t="str">
            <v>Столик журнальный Sheffilton SHT-CT12 Сж-102 черный муар/лофт медь</v>
          </cell>
          <cell r="C193">
            <v>833.33</v>
          </cell>
          <cell r="E193">
            <v>55</v>
          </cell>
          <cell r="F193">
            <v>72</v>
          </cell>
        </row>
        <row r="194">
          <cell r="A194">
            <v>210908</v>
          </cell>
          <cell r="B194" t="str">
            <v>Столик журнальный Sheffilton SHT-CT3 Сж-73 белый муар</v>
          </cell>
          <cell r="C194">
            <v>533.33000000000004</v>
          </cell>
          <cell r="E194">
            <v>35</v>
          </cell>
          <cell r="F194">
            <v>46</v>
          </cell>
        </row>
        <row r="195">
          <cell r="A195">
            <v>210909</v>
          </cell>
          <cell r="B195" t="str">
            <v>Столик журнальный Sheffilton SHT-CT3 Сж-73 золото</v>
          </cell>
          <cell r="C195">
            <v>600</v>
          </cell>
          <cell r="E195">
            <v>40</v>
          </cell>
          <cell r="F195">
            <v>52</v>
          </cell>
        </row>
        <row r="196">
          <cell r="A196">
            <v>150941</v>
          </cell>
          <cell r="B196" t="str">
            <v>Столик журнальный Sheffilton SHT-CT3 Сж-73 черный муар</v>
          </cell>
          <cell r="C196">
            <v>580</v>
          </cell>
          <cell r="E196">
            <v>38</v>
          </cell>
          <cell r="F196">
            <v>49</v>
          </cell>
        </row>
        <row r="197">
          <cell r="A197">
            <v>172206</v>
          </cell>
          <cell r="B197" t="str">
            <v>Столик журнальный Sheffilton SHT-CT6 Сж-83 белый муар</v>
          </cell>
          <cell r="C197">
            <v>953.33</v>
          </cell>
          <cell r="E197">
            <v>63</v>
          </cell>
          <cell r="F197">
            <v>82</v>
          </cell>
        </row>
        <row r="198">
          <cell r="A198">
            <v>172214</v>
          </cell>
          <cell r="B198" t="str">
            <v>Столик журнальный Sheffilton SHT-CT6 Сж-83 золото/черный муар</v>
          </cell>
          <cell r="C198">
            <v>940</v>
          </cell>
          <cell r="E198">
            <v>62</v>
          </cell>
          <cell r="F198">
            <v>81</v>
          </cell>
        </row>
        <row r="199">
          <cell r="A199">
            <v>172213</v>
          </cell>
          <cell r="B199" t="str">
            <v>Столик журнальный Sheffilton SHT-CT6 Сж-83 черный муар</v>
          </cell>
          <cell r="C199">
            <v>893.33</v>
          </cell>
          <cell r="E199">
            <v>59</v>
          </cell>
          <cell r="F199">
            <v>77</v>
          </cell>
        </row>
        <row r="200">
          <cell r="A200">
            <v>190222</v>
          </cell>
          <cell r="B200" t="str">
            <v>Столик журнальный Sheffilton SHT-CT7 Сж-86 дуб беленый/черный муар</v>
          </cell>
          <cell r="C200">
            <v>2600</v>
          </cell>
          <cell r="E200">
            <v>171</v>
          </cell>
          <cell r="F200">
            <v>222</v>
          </cell>
        </row>
        <row r="201">
          <cell r="A201">
            <v>205146</v>
          </cell>
          <cell r="B201" t="str">
            <v>Столик журнальный Sheffilton SHT-CT7 Сж-86 камень пьетра черный/белый муар</v>
          </cell>
          <cell r="C201">
            <v>2700</v>
          </cell>
          <cell r="E201">
            <v>178</v>
          </cell>
          <cell r="F201">
            <v>231</v>
          </cell>
        </row>
        <row r="202">
          <cell r="A202">
            <v>205148</v>
          </cell>
          <cell r="B202" t="str">
            <v>Столик журнальный Sheffilton SHT-CT7 Сж-86 мрамор каррара белый/золото</v>
          </cell>
          <cell r="C202">
            <v>2766.67</v>
          </cell>
          <cell r="E202">
            <v>182</v>
          </cell>
          <cell r="F202">
            <v>237</v>
          </cell>
        </row>
        <row r="203">
          <cell r="A203">
            <v>184326</v>
          </cell>
          <cell r="B203" t="str">
            <v>Столик журнальный Sheffilton SHT-CT8 Сж-85 белый муар</v>
          </cell>
          <cell r="C203">
            <v>1013.33</v>
          </cell>
          <cell r="E203">
            <v>67</v>
          </cell>
          <cell r="F203">
            <v>87</v>
          </cell>
        </row>
        <row r="204">
          <cell r="A204">
            <v>184325</v>
          </cell>
          <cell r="B204" t="str">
            <v>Столик журнальный Sheffilton SHT-CT8 Сж-85 золото</v>
          </cell>
          <cell r="C204">
            <v>1066.67</v>
          </cell>
          <cell r="E204">
            <v>70</v>
          </cell>
          <cell r="F204">
            <v>91</v>
          </cell>
        </row>
        <row r="205">
          <cell r="A205">
            <v>173554</v>
          </cell>
          <cell r="B205" t="str">
            <v>Столик журнальный Sheffilton SHT-CT8 Сж-85 черный муар</v>
          </cell>
          <cell r="C205">
            <v>966.67</v>
          </cell>
          <cell r="E205">
            <v>64</v>
          </cell>
          <cell r="F205">
            <v>83</v>
          </cell>
        </row>
        <row r="206">
          <cell r="A206">
            <v>205155</v>
          </cell>
          <cell r="B206" t="str">
            <v>Столик журнальный Sheffilton SHT-CT9 Сж-87 бетон чикаго светлый/черный муар</v>
          </cell>
          <cell r="C206">
            <v>1213.33</v>
          </cell>
          <cell r="E206">
            <v>80</v>
          </cell>
          <cell r="F206">
            <v>104</v>
          </cell>
        </row>
        <row r="207">
          <cell r="A207">
            <v>190212</v>
          </cell>
          <cell r="B207" t="str">
            <v>Столик журнальный Sheffilton SHT-CT9 Сж-87 дуб беленый/черный муар</v>
          </cell>
          <cell r="C207">
            <v>1200</v>
          </cell>
          <cell r="E207">
            <v>79</v>
          </cell>
          <cell r="F207">
            <v>103</v>
          </cell>
        </row>
        <row r="208">
          <cell r="A208">
            <v>205156</v>
          </cell>
          <cell r="B208" t="str">
            <v>Столик журнальный Sheffilton SHT-CT9 Сж-87 дуб галифакс табак/черный муар</v>
          </cell>
          <cell r="C208">
            <v>1213.33</v>
          </cell>
          <cell r="E208">
            <v>80</v>
          </cell>
          <cell r="F208">
            <v>104</v>
          </cell>
        </row>
        <row r="209">
          <cell r="A209">
            <v>214477</v>
          </cell>
          <cell r="B209" t="str">
            <v>Столик журнальный Sheffilton SHT-S100/TT20 ЛДСП 60  черный муар/мрамор каррара белый</v>
          </cell>
          <cell r="C209">
            <v>2533.33</v>
          </cell>
          <cell r="E209">
            <v>167</v>
          </cell>
          <cell r="F209">
            <v>217</v>
          </cell>
        </row>
        <row r="210">
          <cell r="A210">
            <v>214481</v>
          </cell>
          <cell r="B210" t="str">
            <v>Столик журнальный Sheffilton SHT-S100/TT20 ЛДСП 70  черный муар/бетон чикаго темно-серый</v>
          </cell>
          <cell r="C210">
            <v>2800</v>
          </cell>
          <cell r="E210">
            <v>184</v>
          </cell>
          <cell r="F210">
            <v>239</v>
          </cell>
        </row>
        <row r="211">
          <cell r="A211">
            <v>214162</v>
          </cell>
          <cell r="B211" t="str">
            <v>Столик журнальный Sheffilton SHT-S100/ЛДСП 60  черный муар/камень пьетра гриджио черный</v>
          </cell>
          <cell r="C211">
            <v>2613.33</v>
          </cell>
          <cell r="E211">
            <v>172</v>
          </cell>
          <cell r="F211">
            <v>224</v>
          </cell>
        </row>
        <row r="212">
          <cell r="A212">
            <v>212909</v>
          </cell>
          <cell r="B212" t="str">
            <v>Столик журнальный Sheffilton SHT-S100/ЛДСП 60 Сж-77 черный муар/хромикс белый</v>
          </cell>
          <cell r="C212">
            <v>2613.33</v>
          </cell>
          <cell r="E212">
            <v>172</v>
          </cell>
          <cell r="F212">
            <v>224</v>
          </cell>
        </row>
        <row r="213">
          <cell r="A213">
            <v>193020</v>
          </cell>
          <cell r="B213" t="str">
            <v>Столик журнальный Sheffilton SHT-S100/ЛДСП 70 Сж-105 черный муар/орех тьеполо</v>
          </cell>
          <cell r="C213">
            <v>2020</v>
          </cell>
          <cell r="E213">
            <v>133</v>
          </cell>
          <cell r="F213">
            <v>173</v>
          </cell>
        </row>
        <row r="214">
          <cell r="A214">
            <v>154372</v>
          </cell>
          <cell r="B214" t="str">
            <v>Столик журнальный Sheffilton SHT-S100/МДФ 70 Сж-88 черный муар/светлый орех</v>
          </cell>
          <cell r="C214">
            <v>3606.67</v>
          </cell>
          <cell r="E214">
            <v>238</v>
          </cell>
          <cell r="F214">
            <v>309</v>
          </cell>
        </row>
        <row r="215">
          <cell r="A215">
            <v>154371</v>
          </cell>
          <cell r="B215" t="str">
            <v>Столик журнальный Sheffilton SHT-S100/МДФ 70/70  черный муар/акация светлая поперечная</v>
          </cell>
          <cell r="C215">
            <v>2646.67</v>
          </cell>
          <cell r="E215">
            <v>174</v>
          </cell>
          <cell r="F215">
            <v>226</v>
          </cell>
        </row>
        <row r="216">
          <cell r="A216">
            <v>214482</v>
          </cell>
          <cell r="B216" t="str">
            <v>Столик журнальный Sheffilton SHT-S106/TT20 ЛДСП 70  черный муар/бетон чикаго темно-серый</v>
          </cell>
          <cell r="C216">
            <v>3546.67</v>
          </cell>
          <cell r="E216">
            <v>234</v>
          </cell>
          <cell r="F216">
            <v>304</v>
          </cell>
        </row>
        <row r="217">
          <cell r="A217">
            <v>214160</v>
          </cell>
          <cell r="B217" t="str">
            <v>Столик журнальный Sheffilton SHT-S106/ЛДСП 60  черный муар/камень пьетра гриджио черный</v>
          </cell>
          <cell r="C217">
            <v>3360</v>
          </cell>
          <cell r="E217">
            <v>221</v>
          </cell>
          <cell r="F217">
            <v>287</v>
          </cell>
        </row>
        <row r="218">
          <cell r="A218">
            <v>212911</v>
          </cell>
          <cell r="B218" t="str">
            <v>Столик журнальный Sheffilton SHT-S106/ЛДСП 60 Сж-79 черный муар/хромикс белый</v>
          </cell>
          <cell r="C218">
            <v>3360</v>
          </cell>
          <cell r="E218">
            <v>221</v>
          </cell>
          <cell r="F218">
            <v>287</v>
          </cell>
        </row>
        <row r="219">
          <cell r="A219">
            <v>165648</v>
          </cell>
          <cell r="B219" t="str">
            <v>Столик журнальный Sheffilton SHT-S106/ЛДСП 60/60  хром лак/дуб сонома</v>
          </cell>
          <cell r="C219">
            <v>2633.33</v>
          </cell>
          <cell r="E219">
            <v>173</v>
          </cell>
          <cell r="F219">
            <v>225</v>
          </cell>
        </row>
        <row r="220">
          <cell r="A220">
            <v>214476</v>
          </cell>
          <cell r="B220" t="str">
            <v>Столик журнальный Sheffilton SHT-S112/TT20 ЛДСП 60  черный муар/мрамор каррара белый</v>
          </cell>
          <cell r="C220">
            <v>3613.33</v>
          </cell>
          <cell r="E220">
            <v>238</v>
          </cell>
          <cell r="F220">
            <v>309</v>
          </cell>
        </row>
        <row r="221">
          <cell r="A221">
            <v>212908</v>
          </cell>
          <cell r="B221" t="str">
            <v>Столик журнальный Sheffilton SHT-S112/ЛДСП 60  черный муар/хромикс белый</v>
          </cell>
          <cell r="C221">
            <v>3693.33</v>
          </cell>
          <cell r="E221">
            <v>243</v>
          </cell>
          <cell r="F221">
            <v>316</v>
          </cell>
        </row>
        <row r="222">
          <cell r="A222">
            <v>183615</v>
          </cell>
          <cell r="B222" t="str">
            <v>Столик журнальный Sheffilton SHT-S112/ЛДСП 60/60 Сж-104 хром лак/дуб сонома</v>
          </cell>
          <cell r="C222">
            <v>2986.67</v>
          </cell>
          <cell r="E222">
            <v>197</v>
          </cell>
          <cell r="F222">
            <v>256</v>
          </cell>
        </row>
        <row r="223">
          <cell r="A223">
            <v>183616</v>
          </cell>
          <cell r="B223" t="str">
            <v>Столик журнальный Sheffilton SHT-S112/МДФ 70 Сж-12 черный муар/светлый орех</v>
          </cell>
          <cell r="C223">
            <v>4686.67</v>
          </cell>
          <cell r="E223">
            <v>309</v>
          </cell>
          <cell r="F223">
            <v>402</v>
          </cell>
        </row>
        <row r="224">
          <cell r="A224">
            <v>214483</v>
          </cell>
          <cell r="B224" t="str">
            <v>Столик журнальный Sheffilton SHT-S113/TT20 ЛДСП 70  черный муар/бетон чикаго темно-серый</v>
          </cell>
          <cell r="C224">
            <v>3433.33</v>
          </cell>
          <cell r="E224">
            <v>226</v>
          </cell>
          <cell r="F224">
            <v>294</v>
          </cell>
        </row>
        <row r="225">
          <cell r="A225">
            <v>214163</v>
          </cell>
          <cell r="B225" t="str">
            <v>Столик журнальный Sheffilton SHT-S113/ЛДСП 60  черный муар/камень пьетра гриджио черный</v>
          </cell>
          <cell r="C225">
            <v>3246.67</v>
          </cell>
          <cell r="E225">
            <v>214</v>
          </cell>
          <cell r="F225">
            <v>278</v>
          </cell>
        </row>
        <row r="226">
          <cell r="A226">
            <v>180537</v>
          </cell>
          <cell r="B226" t="str">
            <v>Столик журнальный Sheffilton SHT-S37/ЛДСП 60  медный металлик/дуб песочный</v>
          </cell>
          <cell r="C226">
            <v>1773.33</v>
          </cell>
          <cell r="E226">
            <v>117</v>
          </cell>
          <cell r="F226">
            <v>152</v>
          </cell>
        </row>
        <row r="227">
          <cell r="A227">
            <v>212910</v>
          </cell>
          <cell r="B227" t="str">
            <v>Столик журнальный Sheffilton SHT-S37/ЛДСП 60  хром лак/хромикс белый</v>
          </cell>
          <cell r="C227">
            <v>2586.67</v>
          </cell>
          <cell r="E227">
            <v>170</v>
          </cell>
          <cell r="F227">
            <v>221</v>
          </cell>
        </row>
        <row r="228">
          <cell r="A228">
            <v>173704</v>
          </cell>
          <cell r="B228" t="str">
            <v>Столик журнальный Sheffilton SHT-S37/ЛДСП 60 Сж-65 хром лак/дуб песочный</v>
          </cell>
          <cell r="C228">
            <v>1866.67</v>
          </cell>
          <cell r="E228">
            <v>123</v>
          </cell>
          <cell r="F228">
            <v>160</v>
          </cell>
        </row>
        <row r="229">
          <cell r="A229">
            <v>173658</v>
          </cell>
          <cell r="B229" t="str">
            <v>Столик журнальный Sheffilton SHT-S37/ЛДСП 60 Сж-65 черный муар/орех тьеполо</v>
          </cell>
          <cell r="C229">
            <v>1880</v>
          </cell>
          <cell r="E229">
            <v>124</v>
          </cell>
          <cell r="F229">
            <v>161</v>
          </cell>
        </row>
        <row r="230">
          <cell r="A230">
            <v>985611</v>
          </cell>
          <cell r="B230" t="str">
            <v>Столик журнальный Sheffilton SHT-S37/ЛДСП 60/60 Сж-66 медный мет./дуб сонома</v>
          </cell>
          <cell r="C230">
            <v>1700</v>
          </cell>
          <cell r="E230">
            <v>112</v>
          </cell>
          <cell r="F230">
            <v>146</v>
          </cell>
        </row>
        <row r="231">
          <cell r="A231">
            <v>193016</v>
          </cell>
          <cell r="B231" t="str">
            <v>Столик журнальный Sheffilton SHT-S37/ЛДСП 70  медный металлик/орех тьеполо</v>
          </cell>
          <cell r="C231">
            <v>1900</v>
          </cell>
          <cell r="E231">
            <v>125</v>
          </cell>
          <cell r="F231">
            <v>163</v>
          </cell>
        </row>
        <row r="232">
          <cell r="A232">
            <v>136914</v>
          </cell>
          <cell r="B232" t="str">
            <v>Столик журнальный Sheffilton SHT-S37/ТT7 60/60 ДУБ/керамика  черный муар/браш.коричневый/песочный</v>
          </cell>
          <cell r="C232">
            <v>7206.67</v>
          </cell>
          <cell r="E232">
            <v>475</v>
          </cell>
          <cell r="F232">
            <v>618</v>
          </cell>
        </row>
        <row r="233">
          <cell r="A233">
            <v>162324</v>
          </cell>
          <cell r="B233" t="str">
            <v>Столик журнальный Sheffilton SHT-S38/ST18-1 Сж-90 черный/темный янтарь</v>
          </cell>
          <cell r="C233">
            <v>5213.33</v>
          </cell>
          <cell r="E233">
            <v>343</v>
          </cell>
          <cell r="F233">
            <v>446</v>
          </cell>
        </row>
        <row r="234">
          <cell r="A234">
            <v>214484</v>
          </cell>
          <cell r="B234" t="str">
            <v>Столик журнальный Sheffilton SHT-S38/TT20 ЛДСП 70  черный муар/бетон чикаго темно-серый</v>
          </cell>
          <cell r="C234">
            <v>2806.67</v>
          </cell>
          <cell r="E234">
            <v>185</v>
          </cell>
          <cell r="F234">
            <v>241</v>
          </cell>
        </row>
        <row r="235">
          <cell r="A235">
            <v>214165</v>
          </cell>
          <cell r="B235" t="str">
            <v>Столик журнальный Sheffilton SHT-S38/ЛДСП 70  черный муар/камень пьетра гриджио черный</v>
          </cell>
          <cell r="C235">
            <v>2620</v>
          </cell>
          <cell r="E235">
            <v>173</v>
          </cell>
          <cell r="F235">
            <v>225</v>
          </cell>
        </row>
        <row r="236">
          <cell r="A236">
            <v>193018</v>
          </cell>
          <cell r="B236" t="str">
            <v>Столик журнальный Sheffilton SHT-S38/ЛДСП 70  черный муар/орех тьеполо</v>
          </cell>
          <cell r="C236">
            <v>2026.67</v>
          </cell>
          <cell r="E236">
            <v>134</v>
          </cell>
          <cell r="F236">
            <v>174</v>
          </cell>
        </row>
        <row r="237">
          <cell r="A237">
            <v>137144</v>
          </cell>
          <cell r="B237" t="str">
            <v>Столик журнальный Sheffilton SHT-S39/70/70 ДУБ/OSB  прозрачный лак</v>
          </cell>
          <cell r="C237">
            <v>7110</v>
          </cell>
          <cell r="E237">
            <v>468</v>
          </cell>
          <cell r="F237">
            <v>608</v>
          </cell>
        </row>
        <row r="238">
          <cell r="A238">
            <v>173701</v>
          </cell>
          <cell r="B238" t="str">
            <v>Столик журнальный Sheffilton SHT-S39/ЛДСП 60  серый/дуб песочный</v>
          </cell>
          <cell r="C238">
            <v>2340</v>
          </cell>
          <cell r="E238">
            <v>154</v>
          </cell>
          <cell r="F238">
            <v>200</v>
          </cell>
        </row>
        <row r="239">
          <cell r="A239">
            <v>212912</v>
          </cell>
          <cell r="B239" t="str">
            <v>Столик журнальный Sheffilton SHT-S39/ЛДСП 60 Сж-4 прозрачный лак/хромикс белый</v>
          </cell>
          <cell r="C239">
            <v>3753.33</v>
          </cell>
          <cell r="E239">
            <v>247</v>
          </cell>
          <cell r="F239">
            <v>321</v>
          </cell>
        </row>
        <row r="240">
          <cell r="A240">
            <v>174440</v>
          </cell>
          <cell r="B240" t="str">
            <v>Столик журнальный Sheffilton SHT-S39/ЛДСП 60 Сж-4 темный орех/орех тьеполо</v>
          </cell>
          <cell r="C240">
            <v>3260</v>
          </cell>
          <cell r="E240">
            <v>215</v>
          </cell>
          <cell r="F240">
            <v>280</v>
          </cell>
        </row>
        <row r="241">
          <cell r="A241">
            <v>136979</v>
          </cell>
          <cell r="B241" t="str">
            <v>Столик журнальный Sheffilton SHT-S39/ЛДСП 60/60  дуб атланта брашир./дуб сонома</v>
          </cell>
          <cell r="C241">
            <v>3393.33</v>
          </cell>
          <cell r="E241">
            <v>224</v>
          </cell>
          <cell r="F241">
            <v>291</v>
          </cell>
        </row>
        <row r="242">
          <cell r="A242">
            <v>985616</v>
          </cell>
          <cell r="B242" t="str">
            <v>Столик журнальный Sheffilton SHT-S39/ЛДСП 60/60 Сж-5 светлый орех/дуб сонома</v>
          </cell>
          <cell r="C242">
            <v>3046.67</v>
          </cell>
          <cell r="E242">
            <v>201</v>
          </cell>
          <cell r="F242">
            <v>261</v>
          </cell>
        </row>
        <row r="243">
          <cell r="A243">
            <v>193003</v>
          </cell>
          <cell r="B243" t="str">
            <v>Столик журнальный Sheffilton SHT-S39/ЛДСП 70  светлый орех/орех тьеполо</v>
          </cell>
          <cell r="C243">
            <v>3246.67</v>
          </cell>
          <cell r="E243">
            <v>214</v>
          </cell>
          <cell r="F243">
            <v>278</v>
          </cell>
        </row>
        <row r="244">
          <cell r="A244">
            <v>193010</v>
          </cell>
          <cell r="B244" t="str">
            <v>Столик журнальный Sheffilton SHT-S39/ЛДСП 70  темный орех/орех тьеполо</v>
          </cell>
          <cell r="C244">
            <v>3280</v>
          </cell>
          <cell r="E244">
            <v>216</v>
          </cell>
          <cell r="F244">
            <v>281</v>
          </cell>
        </row>
        <row r="245">
          <cell r="A245">
            <v>136999</v>
          </cell>
          <cell r="B245" t="str">
            <v>Столик журнальный Sheffilton SHT-S39/МДФ 70  дуб выбеленный/акация светлая</v>
          </cell>
          <cell r="C245">
            <v>4153.33</v>
          </cell>
          <cell r="E245">
            <v>274</v>
          </cell>
          <cell r="F245">
            <v>356</v>
          </cell>
        </row>
        <row r="246">
          <cell r="A246">
            <v>136913</v>
          </cell>
          <cell r="B246" t="str">
            <v>Столик журнальный Sheffilton SHT-S39/ТT7 60/60 ДУБ/керамика  светлый орех/браш.коричневый/песочный</v>
          </cell>
          <cell r="C246">
            <v>8553.33</v>
          </cell>
          <cell r="E246">
            <v>563</v>
          </cell>
          <cell r="F246">
            <v>732</v>
          </cell>
        </row>
        <row r="247">
          <cell r="A247">
            <v>136912</v>
          </cell>
          <cell r="B247" t="str">
            <v>Столик журнальный Sheffilton SHT-S39/ТT8 60/60 ДУБ/керамика  прозрачный лак/коричневая сепия</v>
          </cell>
          <cell r="C247">
            <v>10446.67</v>
          </cell>
          <cell r="E247">
            <v>688</v>
          </cell>
          <cell r="F247">
            <v>894</v>
          </cell>
        </row>
        <row r="248">
          <cell r="A248">
            <v>214485</v>
          </cell>
          <cell r="B248" t="str">
            <v>Столик журнальный Sheffilton SHT-S70/TT20 ЛДСП 70  темный орех/бетон чикаго темно-серый</v>
          </cell>
          <cell r="C248">
            <v>4133.33</v>
          </cell>
          <cell r="E248">
            <v>272</v>
          </cell>
          <cell r="F248">
            <v>354</v>
          </cell>
        </row>
        <row r="249">
          <cell r="A249">
            <v>214161</v>
          </cell>
          <cell r="B249" t="str">
            <v>Столик журнальный Sheffilton SHT-S70/ЛДСП 60  темный орех/камень пьетра гриджио черный</v>
          </cell>
          <cell r="C249">
            <v>3946.67</v>
          </cell>
          <cell r="E249">
            <v>260</v>
          </cell>
          <cell r="F249">
            <v>338</v>
          </cell>
        </row>
        <row r="250">
          <cell r="A250">
            <v>174439</v>
          </cell>
          <cell r="B250" t="str">
            <v>Столик журнальный Sheffilton SHT-S70/ЛДСП 60  темный орех/черный муар/орех тьеполо</v>
          </cell>
          <cell r="C250">
            <v>3333.33</v>
          </cell>
          <cell r="E250">
            <v>220</v>
          </cell>
          <cell r="F250">
            <v>286</v>
          </cell>
        </row>
        <row r="251">
          <cell r="A251">
            <v>136964</v>
          </cell>
          <cell r="B251" t="str">
            <v>Столик журнальный Sheffilton SHT-S70/ЛДСП 60/60 Сж-7 прозрачный лак/черный/дуб сонома</v>
          </cell>
          <cell r="C251">
            <v>3106.67</v>
          </cell>
          <cell r="E251">
            <v>205</v>
          </cell>
          <cell r="F251">
            <v>267</v>
          </cell>
        </row>
        <row r="252">
          <cell r="A252">
            <v>193014</v>
          </cell>
          <cell r="B252" t="str">
            <v>Столик журнальный Sheffilton SHT-S70/ЛДСП 70  темный орех/черный муар/орех тьеполо</v>
          </cell>
          <cell r="C252">
            <v>3353.33</v>
          </cell>
          <cell r="E252">
            <v>221</v>
          </cell>
          <cell r="F252">
            <v>287</v>
          </cell>
        </row>
        <row r="253">
          <cell r="A253">
            <v>136966</v>
          </cell>
          <cell r="B253" t="str">
            <v>Столик журнальный Sheffilton SHT-S70/ТT8 60/60 ДУБ/керамика Сж-8 тем.орех/чер/прозр.лак/коричневая сепия</v>
          </cell>
          <cell r="C253">
            <v>10640</v>
          </cell>
          <cell r="E253">
            <v>701</v>
          </cell>
          <cell r="F253">
            <v>911</v>
          </cell>
        </row>
        <row r="254">
          <cell r="A254">
            <v>136959</v>
          </cell>
          <cell r="B254" t="str">
            <v>Столик журнальный Sheffilton SHT-S71/МДФ 70 Сж-9 дуб браш.коричневый/орех светлый</v>
          </cell>
          <cell r="C254">
            <v>5980</v>
          </cell>
          <cell r="E254">
            <v>394</v>
          </cell>
          <cell r="F254">
            <v>512</v>
          </cell>
        </row>
        <row r="255">
          <cell r="A255">
            <v>138208</v>
          </cell>
          <cell r="B255" t="str">
            <v>Столик журнальный Sheffilton SHT-TU23/H51/МДФ 70 Сж-72 темно-серый RAL7021/акация светлая</v>
          </cell>
          <cell r="C255">
            <v>4480</v>
          </cell>
          <cell r="E255">
            <v>295</v>
          </cell>
          <cell r="F255">
            <v>384</v>
          </cell>
        </row>
        <row r="256">
          <cell r="A256">
            <v>214164</v>
          </cell>
          <cell r="B256" t="str">
            <v>Столик журнальный Sheffilton SHT-TU29/H36/ЛДСП 60  черный муар/камень пьетра гриджио черный</v>
          </cell>
          <cell r="C256">
            <v>2873.33</v>
          </cell>
          <cell r="E256">
            <v>189</v>
          </cell>
          <cell r="F256">
            <v>246</v>
          </cell>
        </row>
        <row r="257">
          <cell r="A257">
            <v>212907</v>
          </cell>
          <cell r="B257" t="str">
            <v>Столик журнальный Sheffilton SHT-TU29/H36/ЛДСП 60  черный муар/хромикс белый</v>
          </cell>
          <cell r="C257">
            <v>2873.33</v>
          </cell>
          <cell r="E257">
            <v>189</v>
          </cell>
          <cell r="F257">
            <v>246</v>
          </cell>
        </row>
        <row r="258">
          <cell r="A258">
            <v>193023</v>
          </cell>
          <cell r="B258" t="str">
            <v>Столик журнальный Sheffilton SHT-TU29/ЛДСП 70 Сж-91 чёрный муар/орех тьеполо</v>
          </cell>
          <cell r="C258">
            <v>2280</v>
          </cell>
          <cell r="E258">
            <v>150</v>
          </cell>
          <cell r="F258">
            <v>195</v>
          </cell>
        </row>
        <row r="259">
          <cell r="A259">
            <v>193765</v>
          </cell>
          <cell r="B259" t="str">
            <v>Столик журнальный Sheffilton SHT-TU37/ST18-1  черный муар/темный янтарь</v>
          </cell>
          <cell r="C259">
            <v>5113.33</v>
          </cell>
          <cell r="E259">
            <v>337</v>
          </cell>
          <cell r="F259">
            <v>438</v>
          </cell>
        </row>
        <row r="260">
          <cell r="A260">
            <v>193845</v>
          </cell>
          <cell r="B260" t="str">
            <v>Столик журнальный Sheffilton SHT-TU37/ДУБ/КЕРАМИКА 60/60  черный муар/браш.коричневый/песочный</v>
          </cell>
          <cell r="C260">
            <v>7233.33</v>
          </cell>
          <cell r="E260">
            <v>477</v>
          </cell>
          <cell r="F260">
            <v>620</v>
          </cell>
        </row>
        <row r="261">
          <cell r="A261">
            <v>212906</v>
          </cell>
          <cell r="B261" t="str">
            <v>Столик журнальный Sheffilton SHT-TU37/ЛДСП 60 Сж-95 золото/хромикс белый</v>
          </cell>
          <cell r="C261">
            <v>2560</v>
          </cell>
          <cell r="E261">
            <v>169</v>
          </cell>
          <cell r="F261">
            <v>220</v>
          </cell>
        </row>
        <row r="262">
          <cell r="A262">
            <v>193766</v>
          </cell>
          <cell r="B262" t="str">
            <v>Столик журнальный Sheffilton SHT-TU37/ЛДСП 60 Сж-95 черный муар/орех тьеполо</v>
          </cell>
          <cell r="C262">
            <v>1906.67</v>
          </cell>
          <cell r="E262">
            <v>126</v>
          </cell>
          <cell r="F262">
            <v>164</v>
          </cell>
        </row>
        <row r="263">
          <cell r="A263">
            <v>212905</v>
          </cell>
          <cell r="B263" t="str">
            <v>Столик журнальный Sheffilton SHT-TU37/ЛДСП 60 Сж-95 черный муар/хромикс белый</v>
          </cell>
          <cell r="C263">
            <v>2600</v>
          </cell>
          <cell r="E263">
            <v>171</v>
          </cell>
          <cell r="F263">
            <v>222</v>
          </cell>
        </row>
        <row r="264">
          <cell r="A264">
            <v>193847</v>
          </cell>
          <cell r="B264" t="str">
            <v>Столик журнальный Sheffilton SHT-TU37/ЛДСП 60/60  золото/дуб сонома</v>
          </cell>
          <cell r="C264">
            <v>1766.67</v>
          </cell>
          <cell r="E264">
            <v>116</v>
          </cell>
          <cell r="F264">
            <v>151</v>
          </cell>
        </row>
        <row r="265">
          <cell r="A265">
            <v>193846</v>
          </cell>
          <cell r="B265" t="str">
            <v>Столик журнальный Sheffilton SHT-TU37/ЛДСП 60/60 Сж-93 черный муар/дуб сонома</v>
          </cell>
          <cell r="C265">
            <v>1726.67</v>
          </cell>
          <cell r="E265">
            <v>114</v>
          </cell>
          <cell r="F265">
            <v>148</v>
          </cell>
        </row>
        <row r="266">
          <cell r="A266">
            <v>193770</v>
          </cell>
          <cell r="B266" t="str">
            <v>Столик журнальный Sheffilton SHT-TU37/МДФ 70  черный муар/акация светлая поперечная</v>
          </cell>
          <cell r="C266">
            <v>2773.33</v>
          </cell>
          <cell r="E266">
            <v>183</v>
          </cell>
          <cell r="F266">
            <v>238</v>
          </cell>
        </row>
        <row r="267">
          <cell r="A267">
            <v>214474</v>
          </cell>
          <cell r="B267" t="str">
            <v>Столик журнальный Sheffilton SHT-TU37/ТТ20 60 ЛДСП  черный муар/мрамор каррара белый</v>
          </cell>
          <cell r="C267">
            <v>2520</v>
          </cell>
          <cell r="E267">
            <v>166</v>
          </cell>
          <cell r="F267">
            <v>216</v>
          </cell>
        </row>
        <row r="268">
          <cell r="A268">
            <v>193808</v>
          </cell>
          <cell r="B268" t="str">
            <v>Столик журнальный Sheffilton SHT-TU37/ТТ20 60 ЛДСП Сж-94 золото/дуб песочный</v>
          </cell>
          <cell r="C268">
            <v>1840</v>
          </cell>
          <cell r="E268">
            <v>121</v>
          </cell>
          <cell r="F268">
            <v>157</v>
          </cell>
        </row>
        <row r="269">
          <cell r="A269">
            <v>214478</v>
          </cell>
          <cell r="B269" t="str">
            <v>Столик журнальный Sheffilton SHT-TU37/ТТ20 70 ЛДСП  золото/бетон чикаго темно-серый</v>
          </cell>
          <cell r="C269">
            <v>2826.67</v>
          </cell>
          <cell r="E269">
            <v>186</v>
          </cell>
          <cell r="F269">
            <v>242</v>
          </cell>
        </row>
        <row r="270">
          <cell r="A270">
            <v>193769</v>
          </cell>
          <cell r="B270" t="str">
            <v>Столик журнальный Sheffilton SHT-TU37/ТТ20 70 ЛДСП  золото/орех тьеполо</v>
          </cell>
          <cell r="C270">
            <v>1966.67</v>
          </cell>
          <cell r="E270">
            <v>130</v>
          </cell>
          <cell r="F270">
            <v>169</v>
          </cell>
        </row>
        <row r="271">
          <cell r="A271">
            <v>214479</v>
          </cell>
          <cell r="B271" t="str">
            <v>Столик журнальный Sheffilton SHT-TU37/ТТ20 70 ЛДСП  черный муар/бетон чикаго темно-серый</v>
          </cell>
          <cell r="C271">
            <v>2786.67</v>
          </cell>
          <cell r="E271">
            <v>184</v>
          </cell>
          <cell r="F271">
            <v>239</v>
          </cell>
        </row>
        <row r="272">
          <cell r="A272">
            <v>193768</v>
          </cell>
          <cell r="B272" t="str">
            <v>Столик журнальный Sheffilton SHT-TU37/ТТ20 70 ЛДСП  черный муар/орех тьеполо</v>
          </cell>
          <cell r="C272">
            <v>1926.67</v>
          </cell>
          <cell r="E272">
            <v>127</v>
          </cell>
          <cell r="F272">
            <v>165</v>
          </cell>
        </row>
        <row r="273">
          <cell r="A273">
            <v>191160</v>
          </cell>
          <cell r="B273" t="str">
            <v>Столик журнальный SHT-TU29/H36/70/70 ДУБ/OSB  прозрачный лак/черный муар</v>
          </cell>
          <cell r="C273">
            <v>6616.67</v>
          </cell>
          <cell r="E273">
            <v>436</v>
          </cell>
          <cell r="F273">
            <v>567</v>
          </cell>
        </row>
        <row r="274">
          <cell r="A274">
            <v>214475</v>
          </cell>
          <cell r="B274" t="str">
            <v>Столик журнальный SHT-TU29/H36/TT20 ЛДСП 60/60  черный муар/мрамор каррара белый</v>
          </cell>
          <cell r="C274">
            <v>2873.33</v>
          </cell>
          <cell r="E274">
            <v>189</v>
          </cell>
          <cell r="F274">
            <v>246</v>
          </cell>
        </row>
        <row r="275">
          <cell r="A275">
            <v>191163</v>
          </cell>
          <cell r="B275" t="str">
            <v>Столик журнальный SHT-TU29/H36/TT20 ЛДСП 60/60 Сж-106 дуб песочный/черный муар</v>
          </cell>
          <cell r="C275">
            <v>2153.33</v>
          </cell>
          <cell r="E275">
            <v>142</v>
          </cell>
          <cell r="F275">
            <v>185</v>
          </cell>
        </row>
        <row r="276">
          <cell r="A276">
            <v>214480</v>
          </cell>
          <cell r="B276" t="str">
            <v>Столик журнальный SHT-TU29/H36/TT20 ЛДСП 70  черный муар/бетон чикаго темно-серый</v>
          </cell>
          <cell r="C276">
            <v>3140</v>
          </cell>
          <cell r="E276">
            <v>207</v>
          </cell>
          <cell r="F276">
            <v>269</v>
          </cell>
        </row>
        <row r="277">
          <cell r="A277">
            <v>191165</v>
          </cell>
          <cell r="B277" t="str">
            <v>Столик журнальный SHT-TU29/H36/ЛДСП 60 Сж-103 орех тьеполо/черный муар</v>
          </cell>
          <cell r="C277">
            <v>2260</v>
          </cell>
          <cell r="E277">
            <v>149</v>
          </cell>
          <cell r="F277">
            <v>194</v>
          </cell>
        </row>
        <row r="278">
          <cell r="A278">
            <v>191162</v>
          </cell>
          <cell r="B278" t="str">
            <v>Столик журнальный SHT-TU29/H36/ЛДСП 60/60 Сж-103 дуб сонома/черный муар</v>
          </cell>
          <cell r="C278">
            <v>2466.67</v>
          </cell>
          <cell r="E278">
            <v>163</v>
          </cell>
          <cell r="F278">
            <v>212</v>
          </cell>
        </row>
        <row r="279">
          <cell r="A279">
            <v>191167</v>
          </cell>
          <cell r="B279" t="str">
            <v>Столик журнальный SHT-TU29/H36/ЛДСП 80 Сж-108 орех/черный муар</v>
          </cell>
          <cell r="C279">
            <v>3513.33</v>
          </cell>
          <cell r="E279">
            <v>231</v>
          </cell>
          <cell r="F279">
            <v>300</v>
          </cell>
        </row>
        <row r="280">
          <cell r="A280">
            <v>191166</v>
          </cell>
          <cell r="B280" t="str">
            <v>Столик журнальный SHT-TU29/H36/МДФ 70  орех светлый/черный муар</v>
          </cell>
          <cell r="C280">
            <v>3866.67</v>
          </cell>
          <cell r="E280">
            <v>255</v>
          </cell>
          <cell r="F280">
            <v>332</v>
          </cell>
        </row>
        <row r="281">
          <cell r="A281">
            <v>191161</v>
          </cell>
          <cell r="B281" t="str">
            <v>Столик журнальный SHT-TU29/H36/МДФ 70/70  акация светлая поперечная/черный муар</v>
          </cell>
          <cell r="C281">
            <v>3293.33</v>
          </cell>
          <cell r="E281">
            <v>217</v>
          </cell>
          <cell r="F281">
            <v>282</v>
          </cell>
        </row>
        <row r="282">
          <cell r="A282">
            <v>191168</v>
          </cell>
          <cell r="B282" t="str">
            <v>Столик журнальный SHT-TU29/H36/МДФ 80 Сж-107 бетон светлый/черный муар</v>
          </cell>
          <cell r="C282">
            <v>4600</v>
          </cell>
          <cell r="E282">
            <v>303</v>
          </cell>
          <cell r="F282">
            <v>394</v>
          </cell>
        </row>
        <row r="283">
          <cell r="A283">
            <v>191169</v>
          </cell>
          <cell r="B283" t="str">
            <v>Столик журнальный SHT-TU29/H36/МДФ 80 Сж-107 лофт медь/черный муар</v>
          </cell>
          <cell r="C283">
            <v>4606.67</v>
          </cell>
          <cell r="E283">
            <v>303</v>
          </cell>
          <cell r="F283">
            <v>394</v>
          </cell>
        </row>
        <row r="284">
          <cell r="A284">
            <v>191170</v>
          </cell>
          <cell r="B284" t="str">
            <v>Столик журнальный SHT-TU29/H36/МДФ 80 Сж-107 палисандр/черный муар</v>
          </cell>
          <cell r="C284">
            <v>4373.33</v>
          </cell>
          <cell r="E284">
            <v>288</v>
          </cell>
          <cell r="F284">
            <v>374</v>
          </cell>
        </row>
        <row r="285">
          <cell r="A285">
            <v>889098</v>
          </cell>
          <cell r="B285" t="str">
            <v>Вешалка Sheffilton CH-4149 В1-66 т.серый/св.серый/хром</v>
          </cell>
          <cell r="C285">
            <v>1806.67</v>
          </cell>
          <cell r="E285">
            <v>119</v>
          </cell>
          <cell r="F285">
            <v>155</v>
          </cell>
        </row>
        <row r="286">
          <cell r="A286">
            <v>888308</v>
          </cell>
          <cell r="B286" t="str">
            <v>Вешалка Sheffilton CH-4345 В1-65 т.серый/св.серый/хром</v>
          </cell>
          <cell r="C286">
            <v>1166.67</v>
          </cell>
          <cell r="E286">
            <v>77</v>
          </cell>
          <cell r="F286">
            <v>100</v>
          </cell>
        </row>
        <row r="287">
          <cell r="A287">
            <v>911202</v>
          </cell>
          <cell r="B287" t="str">
            <v>Вешалка Sheffilton CH-4345 В1-65 черный/светлый орех</v>
          </cell>
          <cell r="C287">
            <v>1060</v>
          </cell>
          <cell r="E287">
            <v>70</v>
          </cell>
          <cell r="F287">
            <v>91</v>
          </cell>
        </row>
        <row r="288">
          <cell r="A288">
            <v>911201</v>
          </cell>
          <cell r="B288" t="str">
            <v>Вешалка Sheffilton CH-4345 В1-65 черный/темный орех</v>
          </cell>
          <cell r="C288">
            <v>1060</v>
          </cell>
          <cell r="E288">
            <v>70</v>
          </cell>
          <cell r="F288">
            <v>91</v>
          </cell>
        </row>
        <row r="289">
          <cell r="A289">
            <v>932289</v>
          </cell>
          <cell r="B289" t="str">
            <v>Вешалка Sheffilton SHT-WR11 В1-77 черный/хром лак/черный</v>
          </cell>
          <cell r="C289">
            <v>1540</v>
          </cell>
          <cell r="E289">
            <v>101</v>
          </cell>
          <cell r="F289">
            <v>131</v>
          </cell>
        </row>
        <row r="290">
          <cell r="A290">
            <v>920124</v>
          </cell>
          <cell r="B290" t="str">
            <v>Вешалка Sheffilton SHT-WR12 В1-79 черный/хром лак</v>
          </cell>
          <cell r="C290">
            <v>1826.67</v>
          </cell>
          <cell r="E290">
            <v>120</v>
          </cell>
          <cell r="F290">
            <v>156</v>
          </cell>
        </row>
        <row r="291">
          <cell r="A291">
            <v>966210</v>
          </cell>
          <cell r="B291" t="str">
            <v>Вешалка Sheffilton SHT-WR125 В1-92 черный/хром лак</v>
          </cell>
          <cell r="C291">
            <v>6066.67</v>
          </cell>
          <cell r="E291">
            <v>400</v>
          </cell>
          <cell r="F291">
            <v>520</v>
          </cell>
        </row>
        <row r="292">
          <cell r="A292">
            <v>199319</v>
          </cell>
          <cell r="B292" t="str">
            <v>Вешалка Sheffilton SHT-WR13 В1-78 черный/черный (+)</v>
          </cell>
          <cell r="C292">
            <v>1080</v>
          </cell>
          <cell r="E292">
            <v>71</v>
          </cell>
          <cell r="F292">
            <v>92</v>
          </cell>
        </row>
        <row r="293">
          <cell r="A293">
            <v>956168</v>
          </cell>
          <cell r="B293" t="str">
            <v>Вешалка Sheffilton SHT-WR15 B1-88 черный/хром лак</v>
          </cell>
          <cell r="C293">
            <v>2700</v>
          </cell>
          <cell r="E293">
            <v>178</v>
          </cell>
          <cell r="F293">
            <v>231</v>
          </cell>
        </row>
        <row r="294">
          <cell r="A294">
            <v>170978</v>
          </cell>
          <cell r="B294" t="str">
            <v>Вешалка Sheffilton SHT-WR16 В1-93 черный/черный муар</v>
          </cell>
          <cell r="C294">
            <v>960</v>
          </cell>
          <cell r="E294">
            <v>63</v>
          </cell>
          <cell r="F294">
            <v>82</v>
          </cell>
        </row>
        <row r="295">
          <cell r="A295">
            <v>167811</v>
          </cell>
          <cell r="B295" t="str">
            <v>Вешалка Sheffilton SHT-WR18 В1-100 медный металлик/черный</v>
          </cell>
          <cell r="C295">
            <v>1000</v>
          </cell>
          <cell r="E295">
            <v>66</v>
          </cell>
          <cell r="F295">
            <v>86</v>
          </cell>
        </row>
        <row r="296">
          <cell r="A296">
            <v>181719</v>
          </cell>
          <cell r="B296" t="str">
            <v>Вешалка Sheffilton SHT-WR18 В1-100 серый муар/черный</v>
          </cell>
          <cell r="C296">
            <v>1000</v>
          </cell>
          <cell r="E296">
            <v>66</v>
          </cell>
          <cell r="F296">
            <v>86</v>
          </cell>
        </row>
        <row r="297">
          <cell r="A297">
            <v>899484</v>
          </cell>
          <cell r="B297" t="str">
            <v>Вешалка Sheffilton SHT-WR4150 В1-70 черный/черный муар/хром лак (+)</v>
          </cell>
          <cell r="C297">
            <v>1400</v>
          </cell>
          <cell r="E297">
            <v>92</v>
          </cell>
          <cell r="F297">
            <v>120</v>
          </cell>
        </row>
        <row r="298">
          <cell r="A298">
            <v>898768</v>
          </cell>
          <cell r="B298" t="str">
            <v>Вешалка Sheffilton SHT-WR4340 В1-68 черный/черный муар/хром лак (+)</v>
          </cell>
          <cell r="C298">
            <v>826.67</v>
          </cell>
          <cell r="E298">
            <v>54</v>
          </cell>
          <cell r="F298">
            <v>70</v>
          </cell>
        </row>
        <row r="299">
          <cell r="A299">
            <v>171491</v>
          </cell>
          <cell r="B299" t="str">
            <v>Вешалка Sheffilton SHT-WR546 В1-53 серый/черный (+)</v>
          </cell>
          <cell r="C299">
            <v>1886.67</v>
          </cell>
          <cell r="E299">
            <v>124</v>
          </cell>
          <cell r="F299">
            <v>161</v>
          </cell>
        </row>
        <row r="300">
          <cell r="A300">
            <v>911208</v>
          </cell>
          <cell r="B300" t="str">
            <v>Вешалка Sheffilton SHT-WR6 В1-73 черный/черный муар/хром лак</v>
          </cell>
          <cell r="C300">
            <v>2433.33</v>
          </cell>
          <cell r="E300">
            <v>160</v>
          </cell>
          <cell r="F300">
            <v>208</v>
          </cell>
        </row>
        <row r="301">
          <cell r="A301">
            <v>889114</v>
          </cell>
          <cell r="B301" t="str">
            <v>Вешалка Sheffilton SHT-WR7 В1-63 черный/черный муар/хром лак</v>
          </cell>
          <cell r="C301">
            <v>2393.33</v>
          </cell>
          <cell r="E301">
            <v>158</v>
          </cell>
          <cell r="F301">
            <v>205</v>
          </cell>
        </row>
        <row r="302">
          <cell r="A302">
            <v>971517</v>
          </cell>
          <cell r="B302" t="str">
            <v>Барная обеденная группа Sheffilton SHT-DS37  черный муар/черный/орех</v>
          </cell>
          <cell r="C302">
            <v>10626.67</v>
          </cell>
          <cell r="E302">
            <v>700</v>
          </cell>
          <cell r="F302">
            <v>910</v>
          </cell>
        </row>
        <row r="303">
          <cell r="A303">
            <v>887654</v>
          </cell>
          <cell r="B303" t="str">
            <v>Обеденная группа Sheffilton SHT-DS10  белый/ягодное варенье/черный муар</v>
          </cell>
          <cell r="C303">
            <v>11086.67</v>
          </cell>
          <cell r="E303">
            <v>730</v>
          </cell>
          <cell r="F303">
            <v>949</v>
          </cell>
        </row>
        <row r="304">
          <cell r="A304">
            <v>183765</v>
          </cell>
          <cell r="B304" t="str">
            <v>Обеденная группа Sheffilton SHT-DS112  белый</v>
          </cell>
          <cell r="C304">
            <v>8446.67</v>
          </cell>
          <cell r="E304">
            <v>556</v>
          </cell>
          <cell r="F304">
            <v>723</v>
          </cell>
        </row>
        <row r="305">
          <cell r="A305">
            <v>182771</v>
          </cell>
          <cell r="B305" t="str">
            <v>Обеденная группа Sheffilton SHT-DS115  серое облако/хром лак/дуб сонома светлый</v>
          </cell>
          <cell r="C305">
            <v>15433.33</v>
          </cell>
          <cell r="E305">
            <v>1017</v>
          </cell>
          <cell r="F305">
            <v>1322</v>
          </cell>
        </row>
        <row r="306">
          <cell r="A306">
            <v>185303</v>
          </cell>
          <cell r="B306" t="str">
            <v>Обеденная группа Sheffilton SHT-DS116  лунный камень/белый/черный муар</v>
          </cell>
          <cell r="C306">
            <v>11146.67</v>
          </cell>
          <cell r="E306">
            <v>734</v>
          </cell>
          <cell r="F306">
            <v>954</v>
          </cell>
        </row>
        <row r="307">
          <cell r="A307">
            <v>185885</v>
          </cell>
          <cell r="B307" t="str">
            <v>Обеденная группа Sheffilton SHT-DS118  бежевый/капучино</v>
          </cell>
          <cell r="C307">
            <v>8646.67</v>
          </cell>
          <cell r="E307">
            <v>570</v>
          </cell>
          <cell r="F307">
            <v>741</v>
          </cell>
        </row>
        <row r="308">
          <cell r="A308">
            <v>185896</v>
          </cell>
          <cell r="B308" t="str">
            <v>Обеденная группа Sheffilton SHT-DS119  розовый десерт/белый/черный муар</v>
          </cell>
          <cell r="C308">
            <v>12760</v>
          </cell>
          <cell r="E308">
            <v>841</v>
          </cell>
          <cell r="F308">
            <v>1093</v>
          </cell>
        </row>
        <row r="309">
          <cell r="A309">
            <v>185900</v>
          </cell>
          <cell r="B309" t="str">
            <v>Обеденная группа Sheffilton SHT-DS120  тихий океан/серый/бетон/черный муар</v>
          </cell>
          <cell r="C309">
            <v>12966.67</v>
          </cell>
          <cell r="E309">
            <v>854</v>
          </cell>
          <cell r="F309">
            <v>1110</v>
          </cell>
        </row>
        <row r="310">
          <cell r="A310">
            <v>186102</v>
          </cell>
          <cell r="B310" t="str">
            <v>Обеденная группа Sheffilton SHT-DS121  рубиновое вино/темный орех/дуб тортуга</v>
          </cell>
          <cell r="C310">
            <v>16933.330000000002</v>
          </cell>
          <cell r="E310">
            <v>1116</v>
          </cell>
          <cell r="F310">
            <v>1451</v>
          </cell>
        </row>
        <row r="311">
          <cell r="A311">
            <v>186101</v>
          </cell>
          <cell r="B311" t="str">
            <v>Обеденная группа Sheffilton SHT-DS122  коричневый сахар/бетон крем/хром лак</v>
          </cell>
          <cell r="C311">
            <v>11000</v>
          </cell>
          <cell r="E311">
            <v>725</v>
          </cell>
          <cell r="F311">
            <v>943</v>
          </cell>
        </row>
        <row r="312">
          <cell r="A312">
            <v>186331</v>
          </cell>
          <cell r="B312" t="str">
            <v>Обеденная группа Sheffilton SHT-DS123  бежевый/дуб сонома</v>
          </cell>
          <cell r="C312">
            <v>13726.67</v>
          </cell>
          <cell r="E312">
            <v>904</v>
          </cell>
          <cell r="F312">
            <v>1175</v>
          </cell>
        </row>
        <row r="313">
          <cell r="A313">
            <v>186333</v>
          </cell>
          <cell r="B313" t="str">
            <v>Обеденная группа Sheffilton SHT-DS124  белый/черный/белый шагрень/белый</v>
          </cell>
          <cell r="C313">
            <v>15933.33</v>
          </cell>
          <cell r="E313">
            <v>1050</v>
          </cell>
          <cell r="F313">
            <v>1365</v>
          </cell>
        </row>
        <row r="314">
          <cell r="A314">
            <v>186421</v>
          </cell>
          <cell r="B314" t="str">
            <v>Обеденная группа Sheffilton SHT-DS125  палисандр/коричневый/оранжевый/черный</v>
          </cell>
          <cell r="C314">
            <v>15253.33</v>
          </cell>
          <cell r="E314">
            <v>1005</v>
          </cell>
          <cell r="F314">
            <v>1307</v>
          </cell>
        </row>
        <row r="315">
          <cell r="A315">
            <v>186422</v>
          </cell>
          <cell r="B315" t="str">
            <v>Обеденная группа Sheffilton SHT-DS126  бежевый/коричневый</v>
          </cell>
          <cell r="C315">
            <v>8446.67</v>
          </cell>
          <cell r="E315">
            <v>556</v>
          </cell>
          <cell r="F315">
            <v>723</v>
          </cell>
        </row>
        <row r="316">
          <cell r="A316">
            <v>186426</v>
          </cell>
          <cell r="B316" t="str">
            <v>Обеденная группа Sheffilton SHT-DS127  пастельно-голубой/белый</v>
          </cell>
          <cell r="C316">
            <v>13500</v>
          </cell>
          <cell r="E316">
            <v>889</v>
          </cell>
          <cell r="F316">
            <v>1156</v>
          </cell>
        </row>
        <row r="317">
          <cell r="A317">
            <v>186427</v>
          </cell>
          <cell r="B317" t="str">
            <v>Обеденная группа Sheffilton SHT-DS128  бежевый/черный муар</v>
          </cell>
          <cell r="C317">
            <v>11486.67</v>
          </cell>
          <cell r="E317">
            <v>757</v>
          </cell>
          <cell r="F317">
            <v>984</v>
          </cell>
        </row>
        <row r="318">
          <cell r="A318">
            <v>186430</v>
          </cell>
          <cell r="B318" t="str">
            <v>Обеденная группа Sheffilton SHT-DS129  белый/хром лак</v>
          </cell>
          <cell r="C318">
            <v>12073.33</v>
          </cell>
          <cell r="E318">
            <v>795</v>
          </cell>
          <cell r="F318">
            <v>1034</v>
          </cell>
        </row>
        <row r="319">
          <cell r="A319">
            <v>186433</v>
          </cell>
          <cell r="B319" t="str">
            <v>Обеденная группа Sheffilton SHT-DS130  черный/бежевый/желтый</v>
          </cell>
          <cell r="C319">
            <v>12606.67</v>
          </cell>
          <cell r="E319">
            <v>831</v>
          </cell>
          <cell r="F319">
            <v>1080</v>
          </cell>
        </row>
        <row r="320">
          <cell r="A320">
            <v>186434</v>
          </cell>
          <cell r="B320" t="str">
            <v>Обеденная группа Sheffilton SHT-DS131  черный/красный</v>
          </cell>
          <cell r="C320">
            <v>12606.67</v>
          </cell>
          <cell r="E320">
            <v>831</v>
          </cell>
          <cell r="F320">
            <v>1080</v>
          </cell>
        </row>
        <row r="321">
          <cell r="A321">
            <v>186444</v>
          </cell>
          <cell r="B321" t="str">
            <v>Обеденная группа Sheffilton SHT-DS132  мятный</v>
          </cell>
          <cell r="C321">
            <v>14020</v>
          </cell>
          <cell r="E321">
            <v>924</v>
          </cell>
          <cell r="F321">
            <v>1201</v>
          </cell>
        </row>
        <row r="322">
          <cell r="A322">
            <v>186463</v>
          </cell>
          <cell r="B322" t="str">
            <v>Обеденная группа Sheffilton SHT-DS133  коричневый/бук/черный</v>
          </cell>
          <cell r="C322">
            <v>12233.33</v>
          </cell>
          <cell r="E322">
            <v>806</v>
          </cell>
          <cell r="F322">
            <v>1048</v>
          </cell>
        </row>
        <row r="323">
          <cell r="A323">
            <v>186464</v>
          </cell>
          <cell r="B323" t="str">
            <v>Обеденная группа Sheffilton SHT-DS134  лаванда/серый</v>
          </cell>
          <cell r="C323">
            <v>12446.67</v>
          </cell>
          <cell r="E323">
            <v>820</v>
          </cell>
          <cell r="F323">
            <v>1066</v>
          </cell>
        </row>
        <row r="324">
          <cell r="A324">
            <v>186474</v>
          </cell>
          <cell r="B324" t="str">
            <v>Обеденная группа Sheffilton SHT-DS135  белый/черный</v>
          </cell>
          <cell r="C324">
            <v>14366.67</v>
          </cell>
          <cell r="E324">
            <v>946</v>
          </cell>
          <cell r="F324">
            <v>1230</v>
          </cell>
        </row>
        <row r="325">
          <cell r="A325">
            <v>186750</v>
          </cell>
          <cell r="B325" t="str">
            <v>Обеденная группа Sheffilton SHT-DS136  кофейный ликер/тем.орех/черн/дуб сонома</v>
          </cell>
          <cell r="C325">
            <v>16586.669999999998</v>
          </cell>
          <cell r="E325">
            <v>1093</v>
          </cell>
          <cell r="F325">
            <v>1421</v>
          </cell>
        </row>
        <row r="326">
          <cell r="A326">
            <v>186759</v>
          </cell>
          <cell r="B326" t="str">
            <v>Обеденная группа Sheffilton SHT-DS137  нейтральный серый/бетон/черный муар</v>
          </cell>
          <cell r="C326">
            <v>14656.67</v>
          </cell>
          <cell r="E326">
            <v>966</v>
          </cell>
          <cell r="F326">
            <v>1256</v>
          </cell>
        </row>
        <row r="327">
          <cell r="A327">
            <v>187489</v>
          </cell>
          <cell r="B327" t="str">
            <v>Обеденная группа Sheffilton SHT-DS140  коричневый</v>
          </cell>
          <cell r="C327">
            <v>11193.33</v>
          </cell>
          <cell r="E327">
            <v>737</v>
          </cell>
          <cell r="F327">
            <v>958</v>
          </cell>
        </row>
        <row r="328">
          <cell r="A328">
            <v>187666</v>
          </cell>
          <cell r="B328" t="str">
            <v>Обеденная группа Sheffilton SHT-DS141  бежевый/мятный</v>
          </cell>
          <cell r="C328">
            <v>14020</v>
          </cell>
          <cell r="E328">
            <v>924</v>
          </cell>
          <cell r="F328">
            <v>1201</v>
          </cell>
        </row>
        <row r="329">
          <cell r="A329">
            <v>189746</v>
          </cell>
          <cell r="B329" t="str">
            <v>Обеденная группа Sheffilton SHT-DS142  серый туман/белый/хром лак</v>
          </cell>
          <cell r="C329">
            <v>14286.67</v>
          </cell>
          <cell r="E329">
            <v>941</v>
          </cell>
          <cell r="F329">
            <v>1223</v>
          </cell>
        </row>
        <row r="330">
          <cell r="A330">
            <v>189757</v>
          </cell>
          <cell r="B330" t="str">
            <v>Обеденная группа Sheffilton SHT-DS143  кремовый/бетон крем/черный муар</v>
          </cell>
          <cell r="C330">
            <v>19786.669999999998</v>
          </cell>
          <cell r="E330">
            <v>1304</v>
          </cell>
          <cell r="F330">
            <v>1695</v>
          </cell>
        </row>
        <row r="331">
          <cell r="A331">
            <v>189766</v>
          </cell>
          <cell r="B331" t="str">
            <v>Обеденная группа Sheffilton SHT-DS144  лиственно-зеленый/бетон светлый/черный</v>
          </cell>
          <cell r="C331">
            <v>14333.33</v>
          </cell>
          <cell r="E331">
            <v>944</v>
          </cell>
          <cell r="F331">
            <v>1227</v>
          </cell>
        </row>
        <row r="332">
          <cell r="A332">
            <v>189760</v>
          </cell>
          <cell r="B332" t="str">
            <v>Обеденная группа Sheffilton SHT-DS145  жемчужный/белый/черный</v>
          </cell>
          <cell r="C332">
            <v>14246.67</v>
          </cell>
          <cell r="E332">
            <v>939</v>
          </cell>
          <cell r="F332">
            <v>1221</v>
          </cell>
        </row>
        <row r="333">
          <cell r="A333">
            <v>191387</v>
          </cell>
          <cell r="B333" t="str">
            <v>Обеденная группа Sheffilton SHT-DS146  жемчужный/белый/золото</v>
          </cell>
          <cell r="C333">
            <v>13933.33</v>
          </cell>
          <cell r="E333">
            <v>918</v>
          </cell>
          <cell r="F333">
            <v>1193</v>
          </cell>
        </row>
        <row r="334">
          <cell r="A334">
            <v>191388</v>
          </cell>
          <cell r="B334" t="str">
            <v>Обеденная группа Sheffilton SHT-DS147  рубиновое вино/палисандр/золото</v>
          </cell>
          <cell r="C334">
            <v>19606.669999999998</v>
          </cell>
          <cell r="E334">
            <v>1292</v>
          </cell>
          <cell r="F334">
            <v>1680</v>
          </cell>
        </row>
        <row r="335">
          <cell r="A335">
            <v>191389</v>
          </cell>
          <cell r="B335" t="str">
            <v>Обеденная группа Sheffilton SHT-DS148  лиственно-зеленый/бетон светлый/золото</v>
          </cell>
          <cell r="C335">
            <v>11593.33</v>
          </cell>
          <cell r="E335">
            <v>764</v>
          </cell>
          <cell r="F335">
            <v>993</v>
          </cell>
        </row>
        <row r="336">
          <cell r="A336">
            <v>192005</v>
          </cell>
          <cell r="B336" t="str">
            <v>Обеденная группа Sheffilton SHT-DS150  лунный камень/черный муар/дуб сонома све</v>
          </cell>
          <cell r="C336">
            <v>12100</v>
          </cell>
          <cell r="E336">
            <v>797</v>
          </cell>
          <cell r="F336">
            <v>1036</v>
          </cell>
        </row>
        <row r="337">
          <cell r="A337">
            <v>192008</v>
          </cell>
          <cell r="B337" t="str">
            <v>Обеденная группа Sheffilton SHT-DS151  имперский желтый/бетон крем/белый</v>
          </cell>
          <cell r="C337">
            <v>16000</v>
          </cell>
          <cell r="E337">
            <v>1054</v>
          </cell>
          <cell r="F337">
            <v>1370</v>
          </cell>
        </row>
        <row r="338">
          <cell r="A338">
            <v>192916</v>
          </cell>
          <cell r="B338" t="str">
            <v>Обеденная группа Sheffilton SHT-DS152  черный муар/бетон светлый/черный</v>
          </cell>
          <cell r="C338">
            <v>16053.33</v>
          </cell>
          <cell r="E338">
            <v>1058</v>
          </cell>
          <cell r="F338">
            <v>1375</v>
          </cell>
        </row>
        <row r="339">
          <cell r="A339">
            <v>192933</v>
          </cell>
          <cell r="B339" t="str">
            <v>Обеденная группа Sheffilton SHT-DS153  белоснежная шагрень/хром лак/белый</v>
          </cell>
          <cell r="C339">
            <v>13753.33</v>
          </cell>
          <cell r="E339">
            <v>906</v>
          </cell>
          <cell r="F339">
            <v>1178</v>
          </cell>
        </row>
        <row r="340">
          <cell r="A340">
            <v>192934</v>
          </cell>
          <cell r="B340" t="str">
            <v>Обеденная группа Sheffilton SHT-DS154  белый/черный</v>
          </cell>
          <cell r="C340">
            <v>12980</v>
          </cell>
          <cell r="E340">
            <v>855</v>
          </cell>
          <cell r="F340">
            <v>1112</v>
          </cell>
        </row>
        <row r="341">
          <cell r="A341">
            <v>192935</v>
          </cell>
          <cell r="B341" t="str">
            <v>Обеденная группа Sheffilton SHT-DS155  белый/белый</v>
          </cell>
          <cell r="C341">
            <v>13780</v>
          </cell>
          <cell r="E341">
            <v>908</v>
          </cell>
          <cell r="F341">
            <v>1180</v>
          </cell>
        </row>
        <row r="342">
          <cell r="A342">
            <v>192937</v>
          </cell>
          <cell r="B342" t="str">
            <v>Обеденная группа Sheffilton SHT-DS157  черный/черный</v>
          </cell>
          <cell r="C342">
            <v>12980</v>
          </cell>
          <cell r="E342">
            <v>855</v>
          </cell>
          <cell r="F342">
            <v>1112</v>
          </cell>
        </row>
        <row r="343">
          <cell r="A343">
            <v>192966</v>
          </cell>
          <cell r="B343" t="str">
            <v>Обеденная группа Sheffilton SHT-DS159  черный муар/ палисандр/черный</v>
          </cell>
          <cell r="C343">
            <v>18233.330000000002</v>
          </cell>
          <cell r="E343">
            <v>1201</v>
          </cell>
          <cell r="F343">
            <v>1561</v>
          </cell>
        </row>
        <row r="344">
          <cell r="A344">
            <v>192980</v>
          </cell>
          <cell r="B344" t="str">
            <v>Обеденная группа Sheffilton SHT-DS160  бетон голубой/черный</v>
          </cell>
          <cell r="C344">
            <v>15076.67</v>
          </cell>
          <cell r="E344">
            <v>993</v>
          </cell>
          <cell r="F344">
            <v>1291</v>
          </cell>
        </row>
        <row r="345">
          <cell r="A345">
            <v>192983</v>
          </cell>
          <cell r="B345" t="str">
            <v>Обеденная группа Sheffilton SHT-DS161  бежевый/лаванда</v>
          </cell>
          <cell r="C345">
            <v>12446.67</v>
          </cell>
          <cell r="E345">
            <v>820</v>
          </cell>
          <cell r="F345">
            <v>1066</v>
          </cell>
        </row>
        <row r="346">
          <cell r="A346">
            <v>192987</v>
          </cell>
          <cell r="B346" t="str">
            <v>Обеденная группа Sheffilton SHT-DS162  белый/серый</v>
          </cell>
          <cell r="C346">
            <v>12846.67</v>
          </cell>
          <cell r="E346">
            <v>846</v>
          </cell>
          <cell r="F346">
            <v>1100</v>
          </cell>
        </row>
        <row r="347">
          <cell r="A347">
            <v>193560</v>
          </cell>
          <cell r="B347" t="str">
            <v>Обеденная группа Sheffilton SHT-DS163  палисандр/коричневый/темный орех</v>
          </cell>
          <cell r="C347">
            <v>12586.67</v>
          </cell>
          <cell r="E347">
            <v>829</v>
          </cell>
          <cell r="F347">
            <v>1078</v>
          </cell>
        </row>
        <row r="348">
          <cell r="A348">
            <v>193561</v>
          </cell>
          <cell r="B348" t="str">
            <v>Обеденная группа Sheffilton SHT-DS164  дуб сонома светлый/бежевый/светлый орех</v>
          </cell>
          <cell r="C348">
            <v>12660</v>
          </cell>
          <cell r="E348">
            <v>834</v>
          </cell>
          <cell r="F348">
            <v>1084</v>
          </cell>
        </row>
        <row r="349">
          <cell r="A349">
            <v>193815</v>
          </cell>
          <cell r="B349" t="str">
            <v>Обеденная группа Sheffilton SHT-DS165  дуб белен./лун. камень/черн. муар/золото</v>
          </cell>
          <cell r="C349">
            <v>9513.33</v>
          </cell>
          <cell r="E349">
            <v>627</v>
          </cell>
          <cell r="F349">
            <v>815</v>
          </cell>
        </row>
        <row r="350">
          <cell r="A350">
            <v>193822</v>
          </cell>
          <cell r="B350" t="str">
            <v>Обеденная группа Sheffilton SHT-DS166  бетон светл./лун. камень/черн. муар/зол.</v>
          </cell>
          <cell r="C350">
            <v>10666.67</v>
          </cell>
          <cell r="E350">
            <v>703</v>
          </cell>
          <cell r="F350">
            <v>914</v>
          </cell>
        </row>
        <row r="351">
          <cell r="A351">
            <v>193823</v>
          </cell>
          <cell r="B351" t="str">
            <v>Обеденная группа Sheffilton SHT-DS167  палисандр/импер. желт./черн. муар/золото</v>
          </cell>
          <cell r="C351">
            <v>12506.67</v>
          </cell>
          <cell r="E351">
            <v>824</v>
          </cell>
          <cell r="F351">
            <v>1071</v>
          </cell>
        </row>
        <row r="352">
          <cell r="A352">
            <v>194015</v>
          </cell>
          <cell r="B352" t="str">
            <v>Обеденная группа Sheffilton SHT-DS168  дуб сонома светлый/бежевый/кремовый</v>
          </cell>
          <cell r="C352">
            <v>17993.330000000002</v>
          </cell>
          <cell r="E352">
            <v>1185</v>
          </cell>
          <cell r="F352">
            <v>1541</v>
          </cell>
        </row>
        <row r="353">
          <cell r="A353">
            <v>195361</v>
          </cell>
          <cell r="B353" t="str">
            <v>Обеденная группа Sheffilton SHT-DS169  песчаное облако/белый</v>
          </cell>
          <cell r="C353">
            <v>19726.669999999998</v>
          </cell>
          <cell r="E353">
            <v>1300</v>
          </cell>
          <cell r="F353">
            <v>1690</v>
          </cell>
        </row>
        <row r="354">
          <cell r="A354">
            <v>195362</v>
          </cell>
          <cell r="B354" t="str">
            <v>Обеденная группа Sheffilton SHT-DS170  гранитно-серый/белый/серый</v>
          </cell>
          <cell r="C354">
            <v>16413.330000000002</v>
          </cell>
          <cell r="E354">
            <v>1081</v>
          </cell>
          <cell r="F354">
            <v>1405</v>
          </cell>
        </row>
        <row r="355">
          <cell r="A355">
            <v>195363</v>
          </cell>
          <cell r="B355" t="str">
            <v>Обеденная группа Sheffilton SHT-DS171  гранитно-серый/выбеленный/угольно-серый</v>
          </cell>
          <cell r="C355">
            <v>25166.67</v>
          </cell>
          <cell r="E355">
            <v>1658</v>
          </cell>
          <cell r="F355">
            <v>2155</v>
          </cell>
        </row>
        <row r="356">
          <cell r="A356">
            <v>195364</v>
          </cell>
          <cell r="B356" t="str">
            <v>Обеденная группа Sheffilton SHT-DS172  кор.сепия/черн.муар./тих.океан/темн.орех</v>
          </cell>
          <cell r="C356">
            <v>21806.67</v>
          </cell>
          <cell r="E356">
            <v>1437</v>
          </cell>
          <cell r="F356">
            <v>1868</v>
          </cell>
        </row>
        <row r="357">
          <cell r="A357">
            <v>195667</v>
          </cell>
          <cell r="B357" t="str">
            <v>Обеденная группа Sheffilton SHT-DS173  коричневая сепия/черный муар/латте</v>
          </cell>
          <cell r="C357">
            <v>17506.669999999998</v>
          </cell>
          <cell r="E357">
            <v>1153</v>
          </cell>
          <cell r="F357">
            <v>1499</v>
          </cell>
        </row>
        <row r="358">
          <cell r="A358">
            <v>195758</v>
          </cell>
          <cell r="B358" t="str">
            <v>Обеденная группа Sheffilton SHT-DS174  бетон светлый/белый/синий мираж</v>
          </cell>
          <cell r="C358">
            <v>12400</v>
          </cell>
          <cell r="E358">
            <v>817</v>
          </cell>
          <cell r="F358">
            <v>1062</v>
          </cell>
        </row>
        <row r="359">
          <cell r="A359">
            <v>195759</v>
          </cell>
          <cell r="B359" t="str">
            <v>Обеденная группа Sheffilton SHT-DS175  палисандр/черный муар/золото/синий мираж</v>
          </cell>
          <cell r="C359">
            <v>13080</v>
          </cell>
          <cell r="E359">
            <v>862</v>
          </cell>
          <cell r="F359">
            <v>1121</v>
          </cell>
        </row>
        <row r="360">
          <cell r="A360">
            <v>195760</v>
          </cell>
          <cell r="B360" t="str">
            <v>Обеденная группа Sheffilton SHT-DS176  палисандр/коричн./синий мираж/темн.орех</v>
          </cell>
          <cell r="C360">
            <v>14400</v>
          </cell>
          <cell r="E360">
            <v>949</v>
          </cell>
          <cell r="F360">
            <v>1234</v>
          </cell>
        </row>
        <row r="361">
          <cell r="A361">
            <v>195762</v>
          </cell>
          <cell r="B361" t="str">
            <v>Обеденная группа Sheffilton SHT-DS178  орех/голубая пастель/темн.орех/черн.муар</v>
          </cell>
          <cell r="C361">
            <v>17420</v>
          </cell>
          <cell r="E361">
            <v>1148</v>
          </cell>
          <cell r="F361">
            <v>1492</v>
          </cell>
        </row>
        <row r="362">
          <cell r="A362">
            <v>201427</v>
          </cell>
          <cell r="B362" t="str">
            <v>Обеденная группа Sheffilton SHT-DS179  мрамор прем./песч. буря/венге/тёмн.орех</v>
          </cell>
          <cell r="C362">
            <v>19226.669999999998</v>
          </cell>
          <cell r="E362">
            <v>1267</v>
          </cell>
          <cell r="F362">
            <v>1647</v>
          </cell>
        </row>
        <row r="363">
          <cell r="A363">
            <v>201428</v>
          </cell>
          <cell r="B363" t="str">
            <v>Обеденная группа Sheffilton SHT-DS180  мрамор прем./графит/черный/темный орех</v>
          </cell>
          <cell r="C363">
            <v>12793.33</v>
          </cell>
          <cell r="E363">
            <v>843</v>
          </cell>
          <cell r="F363">
            <v>1096</v>
          </cell>
        </row>
        <row r="364">
          <cell r="A364">
            <v>201429</v>
          </cell>
          <cell r="B364" t="str">
            <v>Обеденная группа Sheffilton SHT-DS181  мрам.прем./сосн.кор/черн.муар/темн.-сер.</v>
          </cell>
          <cell r="C364">
            <v>14106.67</v>
          </cell>
          <cell r="E364">
            <v>929</v>
          </cell>
          <cell r="F364">
            <v>1208</v>
          </cell>
        </row>
        <row r="365">
          <cell r="A365">
            <v>201430</v>
          </cell>
          <cell r="B365" t="str">
            <v>Обеденная группа Sheffilton SHT-DS182  мрамор прем./латте/черный муар/черный</v>
          </cell>
          <cell r="C365">
            <v>12580</v>
          </cell>
          <cell r="E365">
            <v>829</v>
          </cell>
          <cell r="F365">
            <v>1078</v>
          </cell>
        </row>
        <row r="366">
          <cell r="A366">
            <v>202983</v>
          </cell>
          <cell r="B366" t="str">
            <v>Обеденная группа Sheffilton SHT-DS183  дуб.браш.кор./руб.вино./черн.муар</v>
          </cell>
          <cell r="C366">
            <v>22906.67</v>
          </cell>
          <cell r="E366">
            <v>1509</v>
          </cell>
          <cell r="F366">
            <v>1962</v>
          </cell>
        </row>
        <row r="367">
          <cell r="A367">
            <v>202984</v>
          </cell>
          <cell r="B367" t="str">
            <v>Обеденная группа Sheffilton SHT-DS184  палисандр/песч.буря/черный муар</v>
          </cell>
          <cell r="C367">
            <v>22820</v>
          </cell>
          <cell r="E367">
            <v>1503</v>
          </cell>
          <cell r="F367">
            <v>1954</v>
          </cell>
        </row>
        <row r="368">
          <cell r="A368">
            <v>202985</v>
          </cell>
          <cell r="B368" t="str">
            <v>Обеденная группа Sheffilton SHT-DS185  белоснежная шагрень/мятный/черный муар</v>
          </cell>
          <cell r="C368">
            <v>13280</v>
          </cell>
          <cell r="E368">
            <v>875</v>
          </cell>
          <cell r="F368">
            <v>1138</v>
          </cell>
        </row>
        <row r="369">
          <cell r="A369">
            <v>204183</v>
          </cell>
          <cell r="B369" t="str">
            <v>Обеденная группа Sheffilton SHT-DS186  бетон светлый/угольно-серый/черный муар</v>
          </cell>
          <cell r="C369">
            <v>15420</v>
          </cell>
          <cell r="E369">
            <v>1016</v>
          </cell>
          <cell r="F369">
            <v>1321</v>
          </cell>
        </row>
        <row r="370">
          <cell r="A370">
            <v>210589</v>
          </cell>
          <cell r="B370" t="str">
            <v>Обеденная группа Sheffilton SHT-DS187  бетон светлый/ежевичное вино/хром лак</v>
          </cell>
          <cell r="C370">
            <v>15373.33</v>
          </cell>
          <cell r="E370">
            <v>1013</v>
          </cell>
          <cell r="F370">
            <v>1317</v>
          </cell>
        </row>
        <row r="371">
          <cell r="A371">
            <v>210590</v>
          </cell>
          <cell r="B371" t="str">
            <v>Обеденная группа Sheffilton SHT-DS188  мрам.прем.темн./песч. буря/черн.муар/зол</v>
          </cell>
          <cell r="C371">
            <v>22073.33</v>
          </cell>
          <cell r="E371">
            <v>1454</v>
          </cell>
          <cell r="F371">
            <v>1890</v>
          </cell>
        </row>
        <row r="372">
          <cell r="A372">
            <v>210591</v>
          </cell>
          <cell r="B372" t="str">
            <v>Обеденная группа Sheffilton SHT-DS189  мрам.прем.светл./нежная мята/хром лак</v>
          </cell>
          <cell r="C372">
            <v>20286.669999999998</v>
          </cell>
          <cell r="E372">
            <v>1336</v>
          </cell>
          <cell r="F372">
            <v>1737</v>
          </cell>
        </row>
        <row r="373">
          <cell r="A373">
            <v>210638</v>
          </cell>
          <cell r="B373" t="str">
            <v>Обеденная группа Sheffilton SHT-DS190  дымчатый/нейтральн. серый/белый/бел.муар</v>
          </cell>
          <cell r="C373">
            <v>25706.67</v>
          </cell>
          <cell r="E373">
            <v>1694</v>
          </cell>
          <cell r="F373">
            <v>2202</v>
          </cell>
        </row>
        <row r="374">
          <cell r="A374">
            <v>210639</v>
          </cell>
          <cell r="B374" t="str">
            <v>Обеденная группа Sheffilton SHT-DS191  палисандр/черн./угольно-серый/черн.муар</v>
          </cell>
          <cell r="C374">
            <v>18826.669999999998</v>
          </cell>
          <cell r="E374">
            <v>1240</v>
          </cell>
          <cell r="F374">
            <v>1612</v>
          </cell>
        </row>
        <row r="375">
          <cell r="A375">
            <v>210640</v>
          </cell>
          <cell r="B375" t="str">
            <v>Обеденная группа Sheffilton SHT-DS192  белоснежная шагрень/зефирный/венге</v>
          </cell>
          <cell r="C375">
            <v>17960</v>
          </cell>
          <cell r="E375">
            <v>1183</v>
          </cell>
          <cell r="F375">
            <v>1538</v>
          </cell>
        </row>
        <row r="376">
          <cell r="A376">
            <v>210641</v>
          </cell>
          <cell r="B376" t="str">
            <v>Обеденная группа Sheffilton SHT-DS193  бежевый</v>
          </cell>
          <cell r="C376">
            <v>12446.67</v>
          </cell>
          <cell r="E376">
            <v>820</v>
          </cell>
          <cell r="F376">
            <v>1066</v>
          </cell>
        </row>
        <row r="377">
          <cell r="A377">
            <v>210642</v>
          </cell>
          <cell r="B377" t="str">
            <v>Обеденная группа Sheffilton SHT-DS194  черный/белый/черный</v>
          </cell>
          <cell r="C377">
            <v>14366.67</v>
          </cell>
          <cell r="E377">
            <v>946</v>
          </cell>
          <cell r="F377">
            <v>1230</v>
          </cell>
        </row>
        <row r="378">
          <cell r="A378">
            <v>210643</v>
          </cell>
          <cell r="B378" t="str">
            <v>Обеденная группа Sheffilton SHT-DS195  белый/пастельно-зеленый</v>
          </cell>
          <cell r="C378">
            <v>12580</v>
          </cell>
          <cell r="E378">
            <v>829</v>
          </cell>
          <cell r="F378">
            <v>1078</v>
          </cell>
        </row>
        <row r="379">
          <cell r="A379">
            <v>210684</v>
          </cell>
          <cell r="B379" t="str">
            <v>Обеденная группа Sheffilton SHT-DS196  дымчатый/черный/серый</v>
          </cell>
          <cell r="C379">
            <v>18186.669999999998</v>
          </cell>
          <cell r="E379">
            <v>1198</v>
          </cell>
          <cell r="F379">
            <v>1557</v>
          </cell>
        </row>
        <row r="380">
          <cell r="A380">
            <v>182770</v>
          </cell>
          <cell r="B380" t="str">
            <v>Стол со стульями Sheffilton SHT-DS114  лиственно-зеленый/черный муар/браш.корич</v>
          </cell>
          <cell r="C380">
            <v>18060</v>
          </cell>
          <cell r="E380">
            <v>1190</v>
          </cell>
          <cell r="F380">
            <v>1547</v>
          </cell>
        </row>
        <row r="381">
          <cell r="A381">
            <v>185304</v>
          </cell>
          <cell r="B381" t="str">
            <v>Стол со стульями Sheffilton SHT-DS117  лиственно-зеленый/медный/палисандр</v>
          </cell>
          <cell r="C381">
            <v>12713.33</v>
          </cell>
          <cell r="E381">
            <v>838</v>
          </cell>
          <cell r="F381">
            <v>1089</v>
          </cell>
        </row>
        <row r="382">
          <cell r="A382">
            <v>951869</v>
          </cell>
          <cell r="B382" t="str">
            <v>Стол со стульями Sheffilton SHT-DS18 SHT-T32 дуб сонома/ал.металлик</v>
          </cell>
          <cell r="C382">
            <v>5626.67</v>
          </cell>
          <cell r="E382">
            <v>371</v>
          </cell>
          <cell r="F382">
            <v>482</v>
          </cell>
        </row>
        <row r="383">
          <cell r="A383">
            <v>140349</v>
          </cell>
          <cell r="B383" t="str">
            <v>Стол со стульями Sheffilton SHT-DS56  дуб выбеленный/черный муар/дуб беленый</v>
          </cell>
          <cell r="C383">
            <v>13853.33</v>
          </cell>
          <cell r="E383">
            <v>913</v>
          </cell>
          <cell r="F383">
            <v>1187</v>
          </cell>
        </row>
        <row r="384">
          <cell r="A384">
            <v>151486</v>
          </cell>
          <cell r="B384" t="str">
            <v>Стол со стульями Sheffilton SHT-DS69  розовый десерт/черный/белоснежная шагрен</v>
          </cell>
          <cell r="C384">
            <v>10466.67</v>
          </cell>
          <cell r="E384">
            <v>690</v>
          </cell>
          <cell r="F384">
            <v>897</v>
          </cell>
        </row>
        <row r="385">
          <cell r="A385">
            <v>151789</v>
          </cell>
          <cell r="B385" t="str">
            <v>Стол со стульями Sheffilton SHT-DS71  ягодное варенье/светлый орех/дуб тортуга</v>
          </cell>
          <cell r="C385">
            <v>15446.67</v>
          </cell>
          <cell r="E385">
            <v>1018</v>
          </cell>
          <cell r="F385">
            <v>1323</v>
          </cell>
        </row>
        <row r="386">
          <cell r="A386">
            <v>153818</v>
          </cell>
          <cell r="B386" t="str">
            <v>Стол со стульями Sheffilton SHT-DS81  кофейный ликер/тем.орех/черн/дуб сонома</v>
          </cell>
          <cell r="C386">
            <v>20540</v>
          </cell>
          <cell r="E386">
            <v>1353</v>
          </cell>
          <cell r="F386">
            <v>1759</v>
          </cell>
        </row>
        <row r="387">
          <cell r="A387">
            <v>154580</v>
          </cell>
          <cell r="B387" t="str">
            <v>Стол со стульями Sheffilton SHT-DS86  метрополитан/хром лак/белый</v>
          </cell>
          <cell r="C387">
            <v>18580</v>
          </cell>
          <cell r="E387">
            <v>1224</v>
          </cell>
          <cell r="F387">
            <v>1591</v>
          </cell>
        </row>
        <row r="388">
          <cell r="A388">
            <v>982502</v>
          </cell>
          <cell r="B388" t="str">
            <v>Cтул Sheffilton SHT-ST16/S92 СТ-457 браш.коричневый/черный муар</v>
          </cell>
          <cell r="C388">
            <v>7126.67</v>
          </cell>
          <cell r="E388">
            <v>469</v>
          </cell>
          <cell r="F388">
            <v>610</v>
          </cell>
        </row>
        <row r="389">
          <cell r="A389">
            <v>982509</v>
          </cell>
          <cell r="B389" t="str">
            <v>Cтул Sheffilton SHT-ST16/S93 СТ-203 браш.коричневый/черный муар</v>
          </cell>
          <cell r="C389">
            <v>6873.33</v>
          </cell>
          <cell r="E389">
            <v>453</v>
          </cell>
          <cell r="F389">
            <v>589</v>
          </cell>
        </row>
        <row r="390">
          <cell r="A390">
            <v>980013</v>
          </cell>
          <cell r="B390" t="str">
            <v>Cтул барный Sheffilton SHT-S91 СТ-104 прозр.лак/лосось RAL3022/т.сер. RAL702</v>
          </cell>
          <cell r="C390">
            <v>3840</v>
          </cell>
          <cell r="E390">
            <v>253</v>
          </cell>
          <cell r="F390">
            <v>329</v>
          </cell>
        </row>
        <row r="391">
          <cell r="A391">
            <v>151492</v>
          </cell>
          <cell r="B391" t="str">
            <v>Cтул барный Sheffilton SHT-ST16/S93 СТ-401 браш.коричневый/черный муар</v>
          </cell>
          <cell r="C391">
            <v>6873.33</v>
          </cell>
          <cell r="E391">
            <v>453</v>
          </cell>
          <cell r="F391">
            <v>589</v>
          </cell>
        </row>
        <row r="392">
          <cell r="A392">
            <v>140599</v>
          </cell>
          <cell r="B392" t="str">
            <v>Барный стул Sheffilton SHT-ST76/S69-C СТ-207 черный/светлый орех</v>
          </cell>
          <cell r="C392">
            <v>2510.0100000000002</v>
          </cell>
          <cell r="E392">
            <v>165</v>
          </cell>
          <cell r="F392">
            <v>215</v>
          </cell>
        </row>
        <row r="393">
          <cell r="A393">
            <v>183283</v>
          </cell>
          <cell r="B393" t="str">
            <v>Кресло Sheffilton SHT-AMS1-1 SHT-K1 дымный/черный муар/браш.корич.</v>
          </cell>
          <cell r="C393">
            <v>11886.67</v>
          </cell>
          <cell r="E393">
            <v>783</v>
          </cell>
          <cell r="F393">
            <v>1018</v>
          </cell>
        </row>
        <row r="394">
          <cell r="A394">
            <v>185589</v>
          </cell>
          <cell r="B394" t="str">
            <v>Кресло Sheffilton SHT-AMS1-2 SHT-K2 серое утро/антрацит</v>
          </cell>
          <cell r="C394">
            <v>11886.67</v>
          </cell>
          <cell r="E394">
            <v>783</v>
          </cell>
          <cell r="F394">
            <v>1018</v>
          </cell>
        </row>
        <row r="395">
          <cell r="A395">
            <v>205125</v>
          </cell>
          <cell r="B395" t="str">
            <v>Кресло Sheffilton SHT-AMS2 SHT-K3 серый дым/черный муар</v>
          </cell>
          <cell r="C395">
            <v>8520</v>
          </cell>
          <cell r="E395">
            <v>561</v>
          </cell>
          <cell r="F395">
            <v>729</v>
          </cell>
        </row>
        <row r="396">
          <cell r="A396">
            <v>987378</v>
          </cell>
          <cell r="B396" t="str">
            <v>Стул Sheffilton SHT-S101 СТ-101 желтый/espresso/белая шагрень гл.</v>
          </cell>
          <cell r="C396">
            <v>5046.67</v>
          </cell>
          <cell r="E396">
            <v>332</v>
          </cell>
          <cell r="F396">
            <v>432</v>
          </cell>
        </row>
        <row r="397">
          <cell r="A397">
            <v>987344</v>
          </cell>
          <cell r="B397" t="str">
            <v>Стул Sheffilton SHT-S101 СТ-101 сереб./espresso/белая шагрень гл.</v>
          </cell>
          <cell r="C397">
            <v>5246.67</v>
          </cell>
          <cell r="E397">
            <v>346</v>
          </cell>
          <cell r="F397">
            <v>450</v>
          </cell>
        </row>
        <row r="398">
          <cell r="A398">
            <v>172652</v>
          </cell>
          <cell r="B398" t="str">
            <v>Стул Sheffilton SHT-S108 СТ-250 бежевый</v>
          </cell>
          <cell r="C398">
            <v>1946.67</v>
          </cell>
          <cell r="E398">
            <v>128</v>
          </cell>
          <cell r="F398">
            <v>166</v>
          </cell>
        </row>
        <row r="399">
          <cell r="A399">
            <v>176969</v>
          </cell>
          <cell r="B399" t="str">
            <v>Стул Sheffilton SHT-S108 СТ-250 белый</v>
          </cell>
          <cell r="C399">
            <v>1946.67</v>
          </cell>
          <cell r="E399">
            <v>128</v>
          </cell>
          <cell r="F399">
            <v>166</v>
          </cell>
        </row>
        <row r="400">
          <cell r="A400">
            <v>173227</v>
          </cell>
          <cell r="B400" t="str">
            <v>Стул Sheffilton SHT-S108 СТ-250 бук</v>
          </cell>
          <cell r="C400">
            <v>1946.67</v>
          </cell>
          <cell r="E400">
            <v>128</v>
          </cell>
          <cell r="F400">
            <v>166</v>
          </cell>
        </row>
        <row r="401">
          <cell r="A401">
            <v>179396</v>
          </cell>
          <cell r="B401" t="str">
            <v>Стул Sheffilton SHT-S108 СТ-250 красный RAL3020</v>
          </cell>
          <cell r="C401">
            <v>1946.67</v>
          </cell>
          <cell r="E401">
            <v>128</v>
          </cell>
          <cell r="F401">
            <v>166</v>
          </cell>
        </row>
        <row r="402">
          <cell r="A402">
            <v>204762</v>
          </cell>
          <cell r="B402" t="str">
            <v>Стул Sheffilton SHT-S108 СТ-250 пастельно-зеленый</v>
          </cell>
          <cell r="C402">
            <v>2033.33</v>
          </cell>
          <cell r="E402">
            <v>134</v>
          </cell>
          <cell r="F402">
            <v>174</v>
          </cell>
        </row>
        <row r="403">
          <cell r="A403">
            <v>179400</v>
          </cell>
          <cell r="B403" t="str">
            <v>Стул Sheffilton SHT-S108-CN1 СТ-265 голубой PAN545c/белый</v>
          </cell>
          <cell r="C403">
            <v>2263.33</v>
          </cell>
          <cell r="E403">
            <v>149</v>
          </cell>
          <cell r="F403">
            <v>194</v>
          </cell>
        </row>
        <row r="404">
          <cell r="A404">
            <v>179401</v>
          </cell>
          <cell r="B404" t="str">
            <v>Стул Sheffilton SHT-S108-CN1 СТ-265 желтый RAL1021/черный</v>
          </cell>
          <cell r="C404">
            <v>2263.33</v>
          </cell>
          <cell r="E404">
            <v>149</v>
          </cell>
          <cell r="F404">
            <v>194</v>
          </cell>
        </row>
        <row r="405">
          <cell r="A405">
            <v>180197</v>
          </cell>
          <cell r="B405" t="str">
            <v>Стул Sheffilton SHT-S108-P  мятный/белый</v>
          </cell>
          <cell r="C405">
            <v>2053.33</v>
          </cell>
          <cell r="E405">
            <v>135</v>
          </cell>
          <cell r="F405">
            <v>176</v>
          </cell>
        </row>
        <row r="406">
          <cell r="A406">
            <v>180213</v>
          </cell>
          <cell r="B406" t="str">
            <v>Стул Sheffilton SHT-S108-P  серый/черный</v>
          </cell>
          <cell r="C406">
            <v>2053.33</v>
          </cell>
          <cell r="E406">
            <v>135</v>
          </cell>
          <cell r="F406">
            <v>176</v>
          </cell>
        </row>
        <row r="407">
          <cell r="A407">
            <v>172572</v>
          </cell>
          <cell r="B407" t="str">
            <v>Стул Sheffilton SHT-S110 СТ-251 белый</v>
          </cell>
          <cell r="C407">
            <v>2100</v>
          </cell>
          <cell r="E407">
            <v>138</v>
          </cell>
          <cell r="F407">
            <v>179</v>
          </cell>
        </row>
        <row r="408">
          <cell r="A408">
            <v>173125</v>
          </cell>
          <cell r="B408" t="str">
            <v>Стул Sheffilton SHT-S110 СТ-251 капучино</v>
          </cell>
          <cell r="C408">
            <v>2100</v>
          </cell>
          <cell r="E408">
            <v>138</v>
          </cell>
          <cell r="F408">
            <v>179</v>
          </cell>
        </row>
        <row r="409">
          <cell r="A409">
            <v>204771</v>
          </cell>
          <cell r="B409" t="str">
            <v>Стул Sheffilton SHT-S110 СТ-251 пастельно-лиловый</v>
          </cell>
          <cell r="C409">
            <v>2213.33</v>
          </cell>
          <cell r="E409">
            <v>146</v>
          </cell>
          <cell r="F409">
            <v>190</v>
          </cell>
        </row>
        <row r="410">
          <cell r="A410">
            <v>179408</v>
          </cell>
          <cell r="B410" t="str">
            <v>Стул Sheffilton SHT-S110 СТ-251 пастельно-розовый</v>
          </cell>
          <cell r="C410">
            <v>2213.33</v>
          </cell>
          <cell r="E410">
            <v>146</v>
          </cell>
          <cell r="F410">
            <v>190</v>
          </cell>
        </row>
        <row r="411">
          <cell r="A411">
            <v>179213</v>
          </cell>
          <cell r="B411" t="str">
            <v>Стул Sheffilton SHT-S110 СТ-251 серый</v>
          </cell>
          <cell r="C411">
            <v>2100</v>
          </cell>
          <cell r="E411">
            <v>138</v>
          </cell>
          <cell r="F411">
            <v>179</v>
          </cell>
        </row>
        <row r="412">
          <cell r="A412">
            <v>172651</v>
          </cell>
          <cell r="B412" t="str">
            <v>Стул Sheffilton SHT-S110-CN1 СТ-252 белый/черный</v>
          </cell>
          <cell r="C412">
            <v>2480</v>
          </cell>
          <cell r="E412">
            <v>163</v>
          </cell>
          <cell r="F412">
            <v>212</v>
          </cell>
        </row>
        <row r="413">
          <cell r="A413">
            <v>179409</v>
          </cell>
          <cell r="B413" t="str">
            <v>Стул Sheffilton SHT-S110-CN1 СТ-252 зеленый RAL6018/бежевый</v>
          </cell>
          <cell r="C413">
            <v>2480</v>
          </cell>
          <cell r="E413">
            <v>163</v>
          </cell>
          <cell r="F413">
            <v>212</v>
          </cell>
        </row>
        <row r="414">
          <cell r="A414">
            <v>180215</v>
          </cell>
          <cell r="B414" t="str">
            <v>Стул Sheffilton SHT-S110-P  серый/белый</v>
          </cell>
          <cell r="C414">
            <v>2280</v>
          </cell>
          <cell r="E414">
            <v>150</v>
          </cell>
          <cell r="F414">
            <v>195</v>
          </cell>
        </row>
        <row r="415">
          <cell r="A415">
            <v>188776</v>
          </cell>
          <cell r="B415" t="str">
            <v>Стул Sheffilton SHT-S110-P СТ-326 желтый/желтый</v>
          </cell>
          <cell r="C415">
            <v>2280</v>
          </cell>
          <cell r="E415">
            <v>150</v>
          </cell>
          <cell r="F415">
            <v>195</v>
          </cell>
        </row>
        <row r="416">
          <cell r="A416">
            <v>188775</v>
          </cell>
          <cell r="B416" t="str">
            <v>Стул Sheffilton SHT-S110-P СТ-326 зеленый/зеленый</v>
          </cell>
          <cell r="C416">
            <v>2280</v>
          </cell>
          <cell r="E416">
            <v>150</v>
          </cell>
          <cell r="F416">
            <v>195</v>
          </cell>
        </row>
        <row r="417">
          <cell r="A417">
            <v>180214</v>
          </cell>
          <cell r="B417" t="str">
            <v>Стул Sheffilton SHT-S110-P СТ-326 лаванда/черный</v>
          </cell>
          <cell r="C417">
            <v>2280</v>
          </cell>
          <cell r="E417">
            <v>150</v>
          </cell>
          <cell r="F417">
            <v>195</v>
          </cell>
        </row>
        <row r="418">
          <cell r="A418">
            <v>179214</v>
          </cell>
          <cell r="B418" t="str">
            <v>Стул Sheffilton SHT-S111 СТ-241 бежевый RAL1013</v>
          </cell>
          <cell r="C418">
            <v>2000</v>
          </cell>
          <cell r="E418">
            <v>132</v>
          </cell>
          <cell r="F418">
            <v>172</v>
          </cell>
        </row>
        <row r="419">
          <cell r="A419">
            <v>177001</v>
          </cell>
          <cell r="B419" t="str">
            <v>Стул Sheffilton SHT-S111 СТ-241 белый</v>
          </cell>
          <cell r="C419">
            <v>2000</v>
          </cell>
          <cell r="E419">
            <v>132</v>
          </cell>
          <cell r="F419">
            <v>172</v>
          </cell>
        </row>
        <row r="420">
          <cell r="A420">
            <v>179890</v>
          </cell>
          <cell r="B420" t="str">
            <v>Стул Sheffilton SHT-S111 СТ-241 голубой</v>
          </cell>
          <cell r="C420">
            <v>2000</v>
          </cell>
          <cell r="E420">
            <v>132</v>
          </cell>
          <cell r="F420">
            <v>172</v>
          </cell>
        </row>
        <row r="421">
          <cell r="A421">
            <v>169983</v>
          </cell>
          <cell r="B421" t="str">
            <v>Стул Sheffilton SHT-S111 СТ-241 лаванда RAL4011</v>
          </cell>
          <cell r="C421">
            <v>2000</v>
          </cell>
          <cell r="E421">
            <v>132</v>
          </cell>
          <cell r="F421">
            <v>172</v>
          </cell>
        </row>
        <row r="422">
          <cell r="A422">
            <v>180321</v>
          </cell>
          <cell r="B422" t="str">
            <v>Стул Sheffilton SHT-S111 СТ-241 мятный</v>
          </cell>
          <cell r="C422">
            <v>2000</v>
          </cell>
          <cell r="E422">
            <v>132</v>
          </cell>
          <cell r="F422">
            <v>172</v>
          </cell>
        </row>
        <row r="423">
          <cell r="A423">
            <v>169984</v>
          </cell>
          <cell r="B423" t="str">
            <v>Стул Sheffilton SHT-S111 СТ-241 оранжевый RAL2008</v>
          </cell>
          <cell r="C423">
            <v>2000</v>
          </cell>
          <cell r="E423">
            <v>132</v>
          </cell>
          <cell r="F423">
            <v>172</v>
          </cell>
        </row>
        <row r="424">
          <cell r="A424">
            <v>204769</v>
          </cell>
          <cell r="B424" t="str">
            <v>Стул Sheffilton SHT-S111 СТ-241 пастельно-голубой</v>
          </cell>
          <cell r="C424">
            <v>2113.33</v>
          </cell>
          <cell r="E424">
            <v>139</v>
          </cell>
          <cell r="F424">
            <v>181</v>
          </cell>
        </row>
        <row r="425">
          <cell r="A425">
            <v>174692</v>
          </cell>
          <cell r="B425" t="str">
            <v>Стул Sheffilton SHT-S111-CN1 СТ-253 бежевый RAL1001/кремовый мрамор</v>
          </cell>
          <cell r="C425">
            <v>2393.33</v>
          </cell>
          <cell r="E425">
            <v>158</v>
          </cell>
          <cell r="F425">
            <v>205</v>
          </cell>
        </row>
        <row r="426">
          <cell r="A426">
            <v>179414</v>
          </cell>
          <cell r="B426" t="str">
            <v>Стул Sheffilton SHT-S111-CN1 СТ-253 белый/белый</v>
          </cell>
          <cell r="C426">
            <v>2393.33</v>
          </cell>
          <cell r="E426">
            <v>158</v>
          </cell>
          <cell r="F426">
            <v>205</v>
          </cell>
        </row>
        <row r="427">
          <cell r="A427">
            <v>179415</v>
          </cell>
          <cell r="B427" t="str">
            <v>Стул Sheffilton SHT-S111-CN1 СТ-253 мятный/мятный</v>
          </cell>
          <cell r="C427">
            <v>2393.33</v>
          </cell>
          <cell r="E427">
            <v>158</v>
          </cell>
          <cell r="F427">
            <v>205</v>
          </cell>
        </row>
        <row r="428">
          <cell r="A428">
            <v>172653</v>
          </cell>
          <cell r="B428" t="str">
            <v>Стул Sheffilton SHT-S111-CN1 СТ-253 оранжевый/черный (+)</v>
          </cell>
          <cell r="C428">
            <v>2440</v>
          </cell>
          <cell r="E428">
            <v>161</v>
          </cell>
          <cell r="F428">
            <v>209</v>
          </cell>
        </row>
        <row r="429">
          <cell r="A429">
            <v>180358</v>
          </cell>
          <cell r="B429" t="str">
            <v>Стул Sheffilton SHT-S111-P  красный/черный</v>
          </cell>
          <cell r="C429">
            <v>2196.67</v>
          </cell>
          <cell r="E429">
            <v>145</v>
          </cell>
          <cell r="F429">
            <v>189</v>
          </cell>
        </row>
        <row r="430">
          <cell r="A430">
            <v>188774</v>
          </cell>
          <cell r="B430" t="str">
            <v>Стул Sheffilton SHT-S111-P СТ-327 желтый/желтый</v>
          </cell>
          <cell r="C430">
            <v>2196.67</v>
          </cell>
          <cell r="E430">
            <v>145</v>
          </cell>
          <cell r="F430">
            <v>189</v>
          </cell>
        </row>
        <row r="431">
          <cell r="A431">
            <v>188773</v>
          </cell>
          <cell r="B431" t="str">
            <v>Стул Sheffilton SHT-S111-P СТ-327 зеленый/зеленый</v>
          </cell>
          <cell r="C431">
            <v>2196.67</v>
          </cell>
          <cell r="E431">
            <v>145</v>
          </cell>
          <cell r="F431">
            <v>189</v>
          </cell>
        </row>
        <row r="432">
          <cell r="A432">
            <v>876920</v>
          </cell>
          <cell r="B432" t="str">
            <v>Стул Sheffilton SHT-S51 СТ-51 белый/белый</v>
          </cell>
          <cell r="C432">
            <v>1933.33</v>
          </cell>
          <cell r="E432">
            <v>127</v>
          </cell>
          <cell r="F432">
            <v>165</v>
          </cell>
        </row>
        <row r="433">
          <cell r="A433">
            <v>920083</v>
          </cell>
          <cell r="B433" t="str">
            <v>Стул Sheffilton SHT-S51 СТ-51 белый/серебр.патина</v>
          </cell>
          <cell r="C433">
            <v>1826.67</v>
          </cell>
          <cell r="E433">
            <v>120</v>
          </cell>
          <cell r="F433">
            <v>156</v>
          </cell>
        </row>
        <row r="434">
          <cell r="A434">
            <v>992168</v>
          </cell>
          <cell r="B434" t="str">
            <v>Стул Sheffilton SHT-S53 СТ-53 дуб сонома/ал.металлик</v>
          </cell>
          <cell r="C434">
            <v>1580</v>
          </cell>
          <cell r="E434">
            <v>104</v>
          </cell>
          <cell r="F434">
            <v>135</v>
          </cell>
        </row>
        <row r="435">
          <cell r="A435">
            <v>979892</v>
          </cell>
          <cell r="B435" t="str">
            <v>Стул Sheffilton SHT-S63  коричневый</v>
          </cell>
          <cell r="C435">
            <v>7333.33</v>
          </cell>
          <cell r="E435">
            <v>483</v>
          </cell>
          <cell r="F435">
            <v>628</v>
          </cell>
        </row>
        <row r="436">
          <cell r="A436">
            <v>979889</v>
          </cell>
          <cell r="B436" t="str">
            <v>Стул Sheffilton SHT-S63  серый/декор.состаривание</v>
          </cell>
          <cell r="C436">
            <v>6660</v>
          </cell>
          <cell r="E436">
            <v>439</v>
          </cell>
          <cell r="F436">
            <v>571</v>
          </cell>
        </row>
        <row r="437">
          <cell r="A437">
            <v>987527</v>
          </cell>
          <cell r="B437" t="str">
            <v>Стул Sheffilton SHT-S63 СТ-63 прозрачный лак/бук</v>
          </cell>
          <cell r="C437">
            <v>8466.67</v>
          </cell>
          <cell r="E437">
            <v>558</v>
          </cell>
          <cell r="F437">
            <v>725</v>
          </cell>
        </row>
        <row r="438">
          <cell r="A438">
            <v>987522</v>
          </cell>
          <cell r="B438" t="str">
            <v>Стул Sheffilton SHT-S63 СТ-63 прозрачный лак/дуб</v>
          </cell>
          <cell r="C438">
            <v>10210</v>
          </cell>
          <cell r="E438">
            <v>673</v>
          </cell>
          <cell r="F438">
            <v>875</v>
          </cell>
        </row>
        <row r="439">
          <cell r="A439">
            <v>979891</v>
          </cell>
          <cell r="B439" t="str">
            <v>Стул Sheffilton SHT-S63 СТ-63 прозрачный лак/кедровый</v>
          </cell>
          <cell r="C439">
            <v>8940</v>
          </cell>
          <cell r="E439">
            <v>589</v>
          </cell>
          <cell r="F439">
            <v>766</v>
          </cell>
        </row>
        <row r="440">
          <cell r="A440">
            <v>979890</v>
          </cell>
          <cell r="B440" t="str">
            <v>Стул Sheffilton SHT-S63 СТ-63 прозрачный лак/черный</v>
          </cell>
          <cell r="C440">
            <v>7513.33</v>
          </cell>
          <cell r="E440">
            <v>495</v>
          </cell>
          <cell r="F440">
            <v>644</v>
          </cell>
        </row>
        <row r="441">
          <cell r="A441">
            <v>957514</v>
          </cell>
          <cell r="B441" t="str">
            <v>Стул Sheffilton SHT-S68 СТ-68 бежевый/ваниль (цинк)</v>
          </cell>
          <cell r="C441">
            <v>1693.33</v>
          </cell>
          <cell r="E441">
            <v>112</v>
          </cell>
          <cell r="F441">
            <v>146</v>
          </cell>
        </row>
        <row r="442">
          <cell r="A442">
            <v>970191</v>
          </cell>
          <cell r="B442" t="str">
            <v>Стул Sheffilton SHT-S68 СТ-68 бежевый/коричневый муар</v>
          </cell>
          <cell r="C442">
            <v>1546.67</v>
          </cell>
          <cell r="E442">
            <v>102</v>
          </cell>
          <cell r="F442">
            <v>133</v>
          </cell>
        </row>
        <row r="443">
          <cell r="A443">
            <v>957515</v>
          </cell>
          <cell r="B443" t="str">
            <v>Стул Sheffilton SHT-S68 СТ-68 коричневый/коричневый муар (цинк)</v>
          </cell>
          <cell r="C443">
            <v>1686.67</v>
          </cell>
          <cell r="E443">
            <v>111</v>
          </cell>
          <cell r="F443">
            <v>144</v>
          </cell>
        </row>
        <row r="444">
          <cell r="A444">
            <v>970190</v>
          </cell>
          <cell r="B444" t="str">
            <v>Стул Sheffilton SHT-S68 СТ-68 коричневый/черный муар (цинк)</v>
          </cell>
          <cell r="C444">
            <v>1666.67</v>
          </cell>
          <cell r="E444">
            <v>110</v>
          </cell>
          <cell r="F444">
            <v>143</v>
          </cell>
        </row>
        <row r="445">
          <cell r="A445">
            <v>931437</v>
          </cell>
          <cell r="B445" t="str">
            <v>Стул Sheffilton SHT-S68 СТ-68 черно-коричневый/черный муар</v>
          </cell>
          <cell r="C445">
            <v>1666.67</v>
          </cell>
          <cell r="E445">
            <v>110</v>
          </cell>
          <cell r="F445">
            <v>143</v>
          </cell>
        </row>
        <row r="446">
          <cell r="A446">
            <v>164038</v>
          </cell>
          <cell r="B446" t="str">
            <v>Стул Sheffilton SHT-S68/S424-F  бежевый/ваниль</v>
          </cell>
          <cell r="C446">
            <v>1673.33</v>
          </cell>
          <cell r="E446">
            <v>110</v>
          </cell>
          <cell r="F446">
            <v>143</v>
          </cell>
        </row>
        <row r="447">
          <cell r="A447">
            <v>164042</v>
          </cell>
          <cell r="B447" t="str">
            <v>Стул Sheffilton SHT-S68/S424-F  черно-коричневый/коричневый муар</v>
          </cell>
          <cell r="C447">
            <v>1673.33</v>
          </cell>
          <cell r="E447">
            <v>110</v>
          </cell>
          <cell r="F447">
            <v>143</v>
          </cell>
        </row>
        <row r="448">
          <cell r="A448">
            <v>163993</v>
          </cell>
          <cell r="B448" t="str">
            <v>Стул Sheffilton SHT-S68/S424-С  бежевый/хром лак (цинк)</v>
          </cell>
          <cell r="C448">
            <v>1823.33</v>
          </cell>
          <cell r="E448">
            <v>120</v>
          </cell>
          <cell r="F448">
            <v>156</v>
          </cell>
        </row>
        <row r="449">
          <cell r="A449">
            <v>164043</v>
          </cell>
          <cell r="B449" t="str">
            <v>Стул Sheffilton SHT-S68/S424-С  коричневый/темный орех</v>
          </cell>
          <cell r="C449">
            <v>1773.33</v>
          </cell>
          <cell r="E449">
            <v>117</v>
          </cell>
          <cell r="F449">
            <v>152</v>
          </cell>
        </row>
        <row r="450">
          <cell r="A450">
            <v>164033</v>
          </cell>
          <cell r="B450" t="str">
            <v>Стул Sheffilton SHT-S68/S424-С СТ-324 бежевый/светлый орех</v>
          </cell>
          <cell r="C450">
            <v>1773.33</v>
          </cell>
          <cell r="E450">
            <v>117</v>
          </cell>
          <cell r="F450">
            <v>152</v>
          </cell>
        </row>
        <row r="451">
          <cell r="A451">
            <v>946680</v>
          </cell>
          <cell r="B451" t="str">
            <v>Стул Sheffilton SHT-S75 СТ-75 голубой Pan 278/хром лак</v>
          </cell>
          <cell r="C451">
            <v>1713.33</v>
          </cell>
          <cell r="E451">
            <v>113</v>
          </cell>
          <cell r="F451">
            <v>147</v>
          </cell>
        </row>
        <row r="452">
          <cell r="A452">
            <v>965748</v>
          </cell>
          <cell r="B452" t="str">
            <v>Стул Sheffilton SHT-S75 СТ-75 коричневый/ваниль</v>
          </cell>
          <cell r="C452">
            <v>1606.67</v>
          </cell>
          <cell r="E452">
            <v>106</v>
          </cell>
          <cell r="F452">
            <v>138</v>
          </cell>
        </row>
        <row r="453">
          <cell r="A453">
            <v>942470</v>
          </cell>
          <cell r="B453" t="str">
            <v>Стул Sheffilton SHT-S75 СТ-75 черный/черный муар</v>
          </cell>
          <cell r="C453">
            <v>1453.33</v>
          </cell>
          <cell r="E453">
            <v>96</v>
          </cell>
          <cell r="F453">
            <v>125</v>
          </cell>
        </row>
        <row r="454">
          <cell r="A454">
            <v>956346</v>
          </cell>
          <cell r="B454" t="str">
            <v>Стул Sheffilton SHT-S75-1  зеленый/черный муар</v>
          </cell>
          <cell r="C454">
            <v>1633.33</v>
          </cell>
          <cell r="E454">
            <v>108</v>
          </cell>
          <cell r="F454">
            <v>140</v>
          </cell>
        </row>
        <row r="455">
          <cell r="A455">
            <v>956486</v>
          </cell>
          <cell r="B455" t="str">
            <v>Стул Sheffilton SHT-S75-1 СТ-105 белый/хром лак</v>
          </cell>
          <cell r="C455">
            <v>1736.67</v>
          </cell>
          <cell r="E455">
            <v>114</v>
          </cell>
          <cell r="F455">
            <v>148</v>
          </cell>
        </row>
        <row r="456">
          <cell r="A456">
            <v>172029</v>
          </cell>
          <cell r="B456" t="str">
            <v>Стул Sheffilton SHT-S75-1 СТ-105 желтый RAL1021/хром лак</v>
          </cell>
          <cell r="C456">
            <v>1620</v>
          </cell>
          <cell r="E456">
            <v>107</v>
          </cell>
          <cell r="F456">
            <v>139</v>
          </cell>
        </row>
        <row r="457">
          <cell r="A457">
            <v>951551</v>
          </cell>
          <cell r="B457" t="str">
            <v>Стул Sheffilton SHT-S75-1 СТ-105 коричневый/темный орех</v>
          </cell>
          <cell r="C457">
            <v>1626.67</v>
          </cell>
          <cell r="E457">
            <v>107</v>
          </cell>
          <cell r="F457">
            <v>139</v>
          </cell>
        </row>
        <row r="458">
          <cell r="A458">
            <v>139972</v>
          </cell>
          <cell r="B458" t="str">
            <v>Стул Sheffilton SHT-S75-F  желтый/коричневый муар</v>
          </cell>
          <cell r="C458">
            <v>1586.67</v>
          </cell>
          <cell r="E458">
            <v>105</v>
          </cell>
          <cell r="F458">
            <v>137</v>
          </cell>
        </row>
        <row r="459">
          <cell r="A459">
            <v>138485</v>
          </cell>
          <cell r="B459" t="str">
            <v>Стул Sheffilton SHT-S75-F СТ-217 бежевый/ваниль</v>
          </cell>
          <cell r="C459">
            <v>1586.67</v>
          </cell>
          <cell r="E459">
            <v>105</v>
          </cell>
          <cell r="F459">
            <v>137</v>
          </cell>
        </row>
        <row r="460">
          <cell r="A460">
            <v>943152</v>
          </cell>
          <cell r="B460" t="str">
            <v>Стул Sheffilton SHT-S76 CT-76 бежевый/ваниль</v>
          </cell>
          <cell r="C460">
            <v>1536.67</v>
          </cell>
          <cell r="E460">
            <v>101</v>
          </cell>
          <cell r="F460">
            <v>131</v>
          </cell>
        </row>
        <row r="461">
          <cell r="A461">
            <v>944395</v>
          </cell>
          <cell r="B461" t="str">
            <v>Стул Sheffilton SHT-S76 CT-76 белый/хром лак</v>
          </cell>
          <cell r="C461">
            <v>1770.01</v>
          </cell>
          <cell r="E461">
            <v>117</v>
          </cell>
          <cell r="F461">
            <v>152</v>
          </cell>
        </row>
        <row r="462">
          <cell r="A462">
            <v>951553</v>
          </cell>
          <cell r="B462" t="str">
            <v>Стул Sheffilton SHT-S76 CT-76 красный/черный муар (цинк)</v>
          </cell>
          <cell r="C462">
            <v>1636.67</v>
          </cell>
          <cell r="E462">
            <v>108</v>
          </cell>
          <cell r="F462">
            <v>140</v>
          </cell>
        </row>
        <row r="463">
          <cell r="A463">
            <v>956345</v>
          </cell>
          <cell r="B463" t="str">
            <v>Стул Sheffilton SHT-S76 CT-76 оранжевый/коричневый муар</v>
          </cell>
          <cell r="C463">
            <v>1516.67</v>
          </cell>
          <cell r="E463">
            <v>100</v>
          </cell>
          <cell r="F463">
            <v>130</v>
          </cell>
        </row>
        <row r="464">
          <cell r="A464">
            <v>968784</v>
          </cell>
          <cell r="B464" t="str">
            <v>Стул Sheffilton SHT-S76 СТ-76 желтый/хром лак</v>
          </cell>
          <cell r="C464">
            <v>1770.01</v>
          </cell>
          <cell r="E464">
            <v>117</v>
          </cell>
          <cell r="F464">
            <v>152</v>
          </cell>
        </row>
        <row r="465">
          <cell r="A465">
            <v>942471</v>
          </cell>
          <cell r="B465" t="str">
            <v>Стул Sheffilton SHT-S76 СТ-76 черный/черный муар</v>
          </cell>
          <cell r="C465">
            <v>1510.01</v>
          </cell>
          <cell r="E465">
            <v>99</v>
          </cell>
          <cell r="F465">
            <v>129</v>
          </cell>
        </row>
        <row r="466">
          <cell r="A466">
            <v>945186</v>
          </cell>
          <cell r="B466" t="str">
            <v>Стул Sheffilton SHT-S76-1 СТ-142 бежевый/светлый орех</v>
          </cell>
          <cell r="C466">
            <v>1780</v>
          </cell>
          <cell r="E466">
            <v>117</v>
          </cell>
          <cell r="F466">
            <v>152</v>
          </cell>
        </row>
        <row r="467">
          <cell r="A467">
            <v>956344</v>
          </cell>
          <cell r="B467" t="str">
            <v>Стул Sheffilton SHT-S76-1 СТ-142 желтый/хром лак</v>
          </cell>
          <cell r="C467">
            <v>1793.34</v>
          </cell>
          <cell r="E467">
            <v>118</v>
          </cell>
          <cell r="F467">
            <v>153</v>
          </cell>
        </row>
        <row r="468">
          <cell r="A468">
            <v>138486</v>
          </cell>
          <cell r="B468" t="str">
            <v>Стул Sheffilton SHT-S76-F  коричневый/коричневый муар</v>
          </cell>
          <cell r="C468">
            <v>1643.34</v>
          </cell>
          <cell r="E468">
            <v>108</v>
          </cell>
          <cell r="F468">
            <v>140</v>
          </cell>
        </row>
        <row r="469">
          <cell r="A469">
            <v>139975</v>
          </cell>
          <cell r="B469" t="str">
            <v>Стул Sheffilton SHT-S76-F  мятный/ваниль</v>
          </cell>
          <cell r="C469">
            <v>1643.34</v>
          </cell>
          <cell r="E469">
            <v>108</v>
          </cell>
          <cell r="F469">
            <v>140</v>
          </cell>
        </row>
        <row r="470">
          <cell r="A470">
            <v>195673</v>
          </cell>
          <cell r="B470" t="str">
            <v>Стул Sheffilton SHT-S85  бежевый/пастельно-розовый</v>
          </cell>
          <cell r="C470">
            <v>2040</v>
          </cell>
          <cell r="E470">
            <v>134</v>
          </cell>
          <cell r="F470">
            <v>174</v>
          </cell>
        </row>
        <row r="471">
          <cell r="A471">
            <v>149932</v>
          </cell>
          <cell r="B471" t="str">
            <v>Стул Sheffilton SHT-S85  белый/пастельно-голубой/черный</v>
          </cell>
          <cell r="C471">
            <v>1743.33</v>
          </cell>
          <cell r="E471">
            <v>115</v>
          </cell>
          <cell r="F471">
            <v>150</v>
          </cell>
        </row>
        <row r="472">
          <cell r="A472">
            <v>195672</v>
          </cell>
          <cell r="B472" t="str">
            <v>Стул Sheffilton SHT-S85  зеленый ral6018/черный</v>
          </cell>
          <cell r="C472">
            <v>2040</v>
          </cell>
          <cell r="E472">
            <v>134</v>
          </cell>
          <cell r="F472">
            <v>174</v>
          </cell>
        </row>
        <row r="473">
          <cell r="A473">
            <v>149914</v>
          </cell>
          <cell r="B473" t="str">
            <v>Стул Sheffilton SHT-S85  красный/черный</v>
          </cell>
          <cell r="C473">
            <v>2040</v>
          </cell>
          <cell r="E473">
            <v>134</v>
          </cell>
          <cell r="F473">
            <v>174</v>
          </cell>
        </row>
        <row r="474">
          <cell r="A474">
            <v>149880</v>
          </cell>
          <cell r="B474" t="str">
            <v>Стул Sheffilton SHT-S85  мятный/бежевый</v>
          </cell>
          <cell r="C474">
            <v>1743.33</v>
          </cell>
          <cell r="E474">
            <v>115</v>
          </cell>
          <cell r="F474">
            <v>150</v>
          </cell>
        </row>
        <row r="475">
          <cell r="A475">
            <v>149931</v>
          </cell>
          <cell r="B475" t="str">
            <v>Стул Sheffilton SHT-S85  оранжевый/бежевый</v>
          </cell>
          <cell r="C475">
            <v>2040</v>
          </cell>
          <cell r="E475">
            <v>134</v>
          </cell>
          <cell r="F475">
            <v>174</v>
          </cell>
        </row>
        <row r="476">
          <cell r="A476">
            <v>149903</v>
          </cell>
          <cell r="B476" t="str">
            <v>Стул Sheffilton SHT-S85  пастельно-голубой/черный</v>
          </cell>
          <cell r="C476">
            <v>1743.33</v>
          </cell>
          <cell r="E476">
            <v>115</v>
          </cell>
          <cell r="F476">
            <v>150</v>
          </cell>
        </row>
        <row r="477">
          <cell r="A477">
            <v>195668</v>
          </cell>
          <cell r="B477" t="str">
            <v>Стул Sheffilton SHT-S85  синий морена 1604559-е/черный</v>
          </cell>
          <cell r="C477">
            <v>2040</v>
          </cell>
          <cell r="E477">
            <v>134</v>
          </cell>
          <cell r="F477">
            <v>174</v>
          </cell>
        </row>
        <row r="478">
          <cell r="A478">
            <v>195671</v>
          </cell>
          <cell r="B478" t="str">
            <v>Стул Sheffilton SHT-S85  фиолетовый pan 2582/черный</v>
          </cell>
          <cell r="C478">
            <v>2040</v>
          </cell>
          <cell r="E478">
            <v>134</v>
          </cell>
          <cell r="F478">
            <v>174</v>
          </cell>
        </row>
        <row r="479">
          <cell r="A479">
            <v>149934</v>
          </cell>
          <cell r="B479" t="str">
            <v>Стул Sheffilton SHT-S85  черный/оранжевый/черный</v>
          </cell>
          <cell r="C479">
            <v>2040</v>
          </cell>
          <cell r="E479">
            <v>134</v>
          </cell>
          <cell r="F479">
            <v>174</v>
          </cell>
        </row>
        <row r="480">
          <cell r="A480">
            <v>54774</v>
          </cell>
          <cell r="B480" t="str">
            <v>Стул Sheffilton SHT-S85 СТ-85 бежевый/белый/черный</v>
          </cell>
          <cell r="C480">
            <v>2040</v>
          </cell>
          <cell r="E480">
            <v>134</v>
          </cell>
          <cell r="F480">
            <v>174</v>
          </cell>
        </row>
        <row r="481">
          <cell r="A481">
            <v>54776</v>
          </cell>
          <cell r="B481" t="str">
            <v>Стул Sheffilton SHT-S85 СТ-85 бежевый/желтый/черный</v>
          </cell>
          <cell r="C481">
            <v>2040</v>
          </cell>
          <cell r="E481">
            <v>134</v>
          </cell>
          <cell r="F481">
            <v>174</v>
          </cell>
        </row>
        <row r="482">
          <cell r="A482">
            <v>54777</v>
          </cell>
          <cell r="B482" t="str">
            <v>Стул Sheffilton SHT-S85 СТ-85 белый/бежевый/бежевый</v>
          </cell>
          <cell r="C482">
            <v>2040</v>
          </cell>
          <cell r="E482">
            <v>134</v>
          </cell>
          <cell r="F482">
            <v>174</v>
          </cell>
        </row>
        <row r="483">
          <cell r="A483">
            <v>163106</v>
          </cell>
          <cell r="B483" t="str">
            <v>Стул Sheffilton SHT-S85 СТ-85 белый/черный</v>
          </cell>
          <cell r="C483">
            <v>2040</v>
          </cell>
          <cell r="E483">
            <v>134</v>
          </cell>
          <cell r="F483">
            <v>174</v>
          </cell>
        </row>
        <row r="484">
          <cell r="A484">
            <v>54773</v>
          </cell>
          <cell r="B484" t="str">
            <v>Стул Sheffilton SHT-S85 СТ-85 белый/черный/бежевый</v>
          </cell>
          <cell r="C484">
            <v>2040</v>
          </cell>
          <cell r="E484">
            <v>134</v>
          </cell>
          <cell r="F484">
            <v>174</v>
          </cell>
        </row>
        <row r="485">
          <cell r="A485">
            <v>54775</v>
          </cell>
          <cell r="B485" t="str">
            <v>Стул Sheffilton SHT-S85 СТ-85 желтый/черный/бежевый</v>
          </cell>
          <cell r="C485">
            <v>2040</v>
          </cell>
          <cell r="E485">
            <v>134</v>
          </cell>
          <cell r="F485">
            <v>174</v>
          </cell>
        </row>
        <row r="486">
          <cell r="A486">
            <v>990853</v>
          </cell>
          <cell r="B486" t="str">
            <v>Стул Sheffilton SHT-S85 СТ-85 черный/бежевый</v>
          </cell>
          <cell r="C486">
            <v>2040</v>
          </cell>
          <cell r="E486">
            <v>134</v>
          </cell>
          <cell r="F486">
            <v>174</v>
          </cell>
        </row>
        <row r="487">
          <cell r="A487">
            <v>54772</v>
          </cell>
          <cell r="B487" t="str">
            <v>Стул Sheffilton SHT-S85 СТ-85 черный/желтый/бежевый</v>
          </cell>
          <cell r="C487">
            <v>2040</v>
          </cell>
          <cell r="E487">
            <v>134</v>
          </cell>
          <cell r="F487">
            <v>174</v>
          </cell>
        </row>
        <row r="488">
          <cell r="A488">
            <v>168745</v>
          </cell>
          <cell r="B488" t="str">
            <v>Стул Sheffilton SHT-S85 СТ-85 черный/красный/черный</v>
          </cell>
          <cell r="C488">
            <v>2040</v>
          </cell>
          <cell r="E488">
            <v>134</v>
          </cell>
          <cell r="F488">
            <v>174</v>
          </cell>
        </row>
        <row r="489">
          <cell r="A489">
            <v>163107</v>
          </cell>
          <cell r="B489" t="str">
            <v>Стул Sheffilton SHT-S85 СТ-85 черный/черный</v>
          </cell>
          <cell r="C489">
            <v>2040</v>
          </cell>
          <cell r="E489">
            <v>134</v>
          </cell>
          <cell r="F489">
            <v>174</v>
          </cell>
        </row>
        <row r="490">
          <cell r="A490">
            <v>168741</v>
          </cell>
          <cell r="B490" t="str">
            <v>Стул Sheffilton SHT-S85 СТ-85 черный/черный/красный</v>
          </cell>
          <cell r="C490">
            <v>2040</v>
          </cell>
          <cell r="E490">
            <v>134</v>
          </cell>
          <cell r="F490">
            <v>174</v>
          </cell>
        </row>
        <row r="491">
          <cell r="A491">
            <v>153270</v>
          </cell>
          <cell r="B491" t="str">
            <v>Стул Sheffilton SHT-S85-1  прозрачный лак/черный</v>
          </cell>
          <cell r="C491">
            <v>7406.67</v>
          </cell>
          <cell r="E491">
            <v>488</v>
          </cell>
          <cell r="F491">
            <v>634</v>
          </cell>
        </row>
        <row r="492">
          <cell r="A492">
            <v>195670</v>
          </cell>
          <cell r="B492" t="str">
            <v>Стул Sheffilton SHT-S85-2  белый/черный</v>
          </cell>
          <cell r="C492">
            <v>2233.33</v>
          </cell>
          <cell r="E492">
            <v>147</v>
          </cell>
          <cell r="F492">
            <v>191</v>
          </cell>
        </row>
        <row r="493">
          <cell r="A493">
            <v>163503</v>
          </cell>
          <cell r="B493" t="str">
            <v>Стул Sheffilton SHT-S85-2 СТ-231 бежевый/бежевый</v>
          </cell>
          <cell r="C493">
            <v>2160</v>
          </cell>
          <cell r="E493">
            <v>142</v>
          </cell>
          <cell r="F493">
            <v>185</v>
          </cell>
        </row>
        <row r="494">
          <cell r="A494">
            <v>164431</v>
          </cell>
          <cell r="B494" t="str">
            <v>Стул Sheffilton SHT-S85-2 СТ-231 белый/коричневый/бежевый</v>
          </cell>
          <cell r="C494">
            <v>2233.33</v>
          </cell>
          <cell r="E494">
            <v>147</v>
          </cell>
          <cell r="F494">
            <v>191</v>
          </cell>
        </row>
        <row r="495">
          <cell r="A495">
            <v>165490</v>
          </cell>
          <cell r="B495" t="str">
            <v>Стул Sheffilton SHT-S85-2 СТ-231 красный/черный</v>
          </cell>
          <cell r="C495">
            <v>2233.33</v>
          </cell>
          <cell r="E495">
            <v>147</v>
          </cell>
          <cell r="F495">
            <v>191</v>
          </cell>
        </row>
        <row r="496">
          <cell r="A496">
            <v>164430</v>
          </cell>
          <cell r="B496" t="str">
            <v>Стул Sheffilton SHT-S85-2 СТ-231 серый/голубой/черный муар</v>
          </cell>
          <cell r="C496">
            <v>2233.33</v>
          </cell>
          <cell r="E496">
            <v>147</v>
          </cell>
          <cell r="F496">
            <v>191</v>
          </cell>
        </row>
        <row r="497">
          <cell r="A497">
            <v>195669</v>
          </cell>
          <cell r="B497" t="str">
            <v>Стул Sheffilton SHT-S85-2 СТ-231 черный/белый/черный</v>
          </cell>
          <cell r="C497">
            <v>2266.67</v>
          </cell>
          <cell r="E497">
            <v>149</v>
          </cell>
          <cell r="F497">
            <v>194</v>
          </cell>
        </row>
        <row r="498">
          <cell r="A498">
            <v>163502</v>
          </cell>
          <cell r="B498" t="str">
            <v>Стул Sheffilton SHT-S85-2 СТ-231 черный/черный</v>
          </cell>
          <cell r="C498">
            <v>2266.67</v>
          </cell>
          <cell r="E498">
            <v>149</v>
          </cell>
          <cell r="F498">
            <v>194</v>
          </cell>
        </row>
        <row r="499">
          <cell r="A499">
            <v>150301</v>
          </cell>
          <cell r="B499" t="str">
            <v>Стул Sheffilton SHT-S85-C12 СТ-234 кремовый/бежевый</v>
          </cell>
          <cell r="C499">
            <v>3106.67</v>
          </cell>
          <cell r="E499">
            <v>205</v>
          </cell>
          <cell r="F499">
            <v>267</v>
          </cell>
        </row>
        <row r="500">
          <cell r="A500">
            <v>157306</v>
          </cell>
          <cell r="B500" t="str">
            <v>Стул Sheffilton SHT-S85-C12 СТ-234 черный/черный</v>
          </cell>
          <cell r="C500">
            <v>3106.67</v>
          </cell>
          <cell r="E500">
            <v>205</v>
          </cell>
          <cell r="F500">
            <v>267</v>
          </cell>
        </row>
        <row r="501">
          <cell r="A501">
            <v>155610</v>
          </cell>
          <cell r="B501" t="str">
            <v>Стул Sheffilton SHT-S85M-1  прозрачный лак/хром лак</v>
          </cell>
          <cell r="C501">
            <v>7273.33</v>
          </cell>
          <cell r="E501">
            <v>479</v>
          </cell>
          <cell r="F501">
            <v>623</v>
          </cell>
        </row>
        <row r="502">
          <cell r="A502">
            <v>155408</v>
          </cell>
          <cell r="B502" t="str">
            <v>Стул Sheffilton SHT-S85M-1  прозрачный лак/черный муар</v>
          </cell>
          <cell r="C502">
            <v>7126.67</v>
          </cell>
          <cell r="E502">
            <v>469</v>
          </cell>
          <cell r="F502">
            <v>610</v>
          </cell>
        </row>
        <row r="503">
          <cell r="A503">
            <v>157303</v>
          </cell>
          <cell r="B503" t="str">
            <v>Стул Sheffilton SHT-S85M-C12  черный/хром лак</v>
          </cell>
          <cell r="C503">
            <v>2973.33</v>
          </cell>
          <cell r="E503">
            <v>196</v>
          </cell>
          <cell r="F503">
            <v>255</v>
          </cell>
        </row>
        <row r="504">
          <cell r="A504">
            <v>172506</v>
          </cell>
          <cell r="B504" t="str">
            <v>Стул Sheffilton SHT-S85PB-1 СТ-278 черный/красный/черный муар</v>
          </cell>
          <cell r="C504">
            <v>2366.67</v>
          </cell>
          <cell r="E504">
            <v>156</v>
          </cell>
          <cell r="F504">
            <v>203</v>
          </cell>
        </row>
        <row r="505">
          <cell r="A505">
            <v>172513</v>
          </cell>
          <cell r="B505" t="str">
            <v>Стул Sheffilton SHT-S85PB-1 СТ-278 черный/черный/черный муар</v>
          </cell>
          <cell r="C505">
            <v>2366.67</v>
          </cell>
          <cell r="E505">
            <v>156</v>
          </cell>
          <cell r="F505">
            <v>203</v>
          </cell>
        </row>
        <row r="506">
          <cell r="A506">
            <v>149933</v>
          </cell>
          <cell r="B506" t="str">
            <v>Стул Sheffilton SHT-S85М  белый/пастельно-голубой/черный</v>
          </cell>
          <cell r="C506">
            <v>1580</v>
          </cell>
          <cell r="E506">
            <v>104</v>
          </cell>
          <cell r="F506">
            <v>135</v>
          </cell>
        </row>
        <row r="507">
          <cell r="A507">
            <v>195703</v>
          </cell>
          <cell r="B507" t="str">
            <v>Стул Sheffilton SHT-S85М  белый/пастельно-розовый/хром лак</v>
          </cell>
          <cell r="C507">
            <v>1906.67</v>
          </cell>
          <cell r="E507">
            <v>126</v>
          </cell>
          <cell r="F507">
            <v>164</v>
          </cell>
        </row>
        <row r="508">
          <cell r="A508">
            <v>149330</v>
          </cell>
          <cell r="B508" t="str">
            <v>Стул Sheffilton SHT-S85М  желтый/белый/хром лак</v>
          </cell>
          <cell r="C508">
            <v>1906.67</v>
          </cell>
          <cell r="E508">
            <v>126</v>
          </cell>
          <cell r="F508">
            <v>164</v>
          </cell>
        </row>
        <row r="509">
          <cell r="A509">
            <v>195697</v>
          </cell>
          <cell r="B509" t="str">
            <v>Стул Sheffilton SHT-S85М  зеленый ral6018/черный</v>
          </cell>
          <cell r="C509">
            <v>1760</v>
          </cell>
          <cell r="E509">
            <v>116</v>
          </cell>
          <cell r="F509">
            <v>151</v>
          </cell>
        </row>
        <row r="510">
          <cell r="A510">
            <v>149889</v>
          </cell>
          <cell r="B510" t="str">
            <v>Стул Sheffilton SHT-S85М  мятный/хром лак</v>
          </cell>
          <cell r="C510">
            <v>1580</v>
          </cell>
          <cell r="E510">
            <v>104</v>
          </cell>
          <cell r="F510">
            <v>135</v>
          </cell>
        </row>
        <row r="511">
          <cell r="A511">
            <v>149930</v>
          </cell>
          <cell r="B511" t="str">
            <v>Стул Sheffilton SHT-S85М  оранжевый/черный муар</v>
          </cell>
          <cell r="C511">
            <v>1760</v>
          </cell>
          <cell r="E511">
            <v>116</v>
          </cell>
          <cell r="F511">
            <v>151</v>
          </cell>
        </row>
        <row r="512">
          <cell r="A512">
            <v>149897</v>
          </cell>
          <cell r="B512" t="str">
            <v>Стул Sheffilton SHT-S85М  пастельно-голубой/хром лак</v>
          </cell>
          <cell r="C512">
            <v>1580</v>
          </cell>
          <cell r="E512">
            <v>104</v>
          </cell>
          <cell r="F512">
            <v>135</v>
          </cell>
        </row>
        <row r="513">
          <cell r="A513">
            <v>195702</v>
          </cell>
          <cell r="B513" t="str">
            <v>Стул Sheffilton SHT-S85М  синий морена 1604559-е/хром лак</v>
          </cell>
          <cell r="C513">
            <v>1906.67</v>
          </cell>
          <cell r="E513">
            <v>126</v>
          </cell>
          <cell r="F513">
            <v>164</v>
          </cell>
        </row>
        <row r="514">
          <cell r="A514">
            <v>195701</v>
          </cell>
          <cell r="B514" t="str">
            <v>Стул Sheffilton SHT-S85М  фиолетовый pan 2582/черный</v>
          </cell>
          <cell r="C514">
            <v>1760</v>
          </cell>
          <cell r="E514">
            <v>116</v>
          </cell>
          <cell r="F514">
            <v>151</v>
          </cell>
        </row>
        <row r="515">
          <cell r="A515">
            <v>149935</v>
          </cell>
          <cell r="B515" t="str">
            <v>Стул Sheffilton SHT-S85М  черный/оранжевый/черный муар</v>
          </cell>
          <cell r="C515">
            <v>1760</v>
          </cell>
          <cell r="E515">
            <v>116</v>
          </cell>
          <cell r="F515">
            <v>151</v>
          </cell>
        </row>
        <row r="516">
          <cell r="A516">
            <v>149258</v>
          </cell>
          <cell r="B516" t="str">
            <v>Стул Sheffilton SHT-S85М СТ-208 белый/бежевый/хром лак</v>
          </cell>
          <cell r="C516">
            <v>1906.67</v>
          </cell>
          <cell r="E516">
            <v>126</v>
          </cell>
          <cell r="F516">
            <v>164</v>
          </cell>
        </row>
        <row r="517">
          <cell r="A517">
            <v>148232</v>
          </cell>
          <cell r="B517" t="str">
            <v>Стул Sheffilton SHT-S85М СТ-208 белый/хром лак</v>
          </cell>
          <cell r="C517">
            <v>1906.67</v>
          </cell>
          <cell r="E517">
            <v>126</v>
          </cell>
          <cell r="F517">
            <v>164</v>
          </cell>
        </row>
        <row r="518">
          <cell r="A518">
            <v>148225</v>
          </cell>
          <cell r="B518" t="str">
            <v>Стул Sheffilton SHT-S85М СТ-208 белый/черный</v>
          </cell>
          <cell r="C518">
            <v>1760</v>
          </cell>
          <cell r="E518">
            <v>116</v>
          </cell>
          <cell r="F518">
            <v>151</v>
          </cell>
        </row>
        <row r="519">
          <cell r="A519">
            <v>149256</v>
          </cell>
          <cell r="B519" t="str">
            <v>Стул Sheffilton SHT-S85М СТ-208 желтый/черный</v>
          </cell>
          <cell r="C519">
            <v>1760</v>
          </cell>
          <cell r="E519">
            <v>116</v>
          </cell>
          <cell r="F519">
            <v>151</v>
          </cell>
        </row>
        <row r="520">
          <cell r="A520">
            <v>149919</v>
          </cell>
          <cell r="B520" t="str">
            <v>Стул Sheffilton SHT-S85М СТ-208 красный/черный муар</v>
          </cell>
          <cell r="C520">
            <v>1760</v>
          </cell>
          <cell r="E520">
            <v>116</v>
          </cell>
          <cell r="F520">
            <v>151</v>
          </cell>
        </row>
        <row r="521">
          <cell r="A521">
            <v>149336</v>
          </cell>
          <cell r="B521" t="str">
            <v>Стул Sheffilton SHT-S85М СТ-208 черный/бежевый/черный муар</v>
          </cell>
          <cell r="C521">
            <v>1760</v>
          </cell>
          <cell r="E521">
            <v>116</v>
          </cell>
          <cell r="F521">
            <v>151</v>
          </cell>
        </row>
        <row r="522">
          <cell r="A522">
            <v>149252</v>
          </cell>
          <cell r="B522" t="str">
            <v>Стул Sheffilton SHT-S85М СТ-208 черный/черный муар</v>
          </cell>
          <cell r="C522">
            <v>1760</v>
          </cell>
          <cell r="E522">
            <v>116</v>
          </cell>
          <cell r="F522">
            <v>151</v>
          </cell>
        </row>
        <row r="523">
          <cell r="A523">
            <v>164180</v>
          </cell>
          <cell r="B523" t="str">
            <v>Стул Sheffilton SHT-S85М-2  бежевый/бежевый/хром лак</v>
          </cell>
          <cell r="C523">
            <v>2100</v>
          </cell>
          <cell r="E523">
            <v>138</v>
          </cell>
          <cell r="F523">
            <v>179</v>
          </cell>
        </row>
        <row r="524">
          <cell r="A524">
            <v>164409</v>
          </cell>
          <cell r="B524" t="str">
            <v>Стул Sheffilton SHT-S85М-2  бежевый/черный/хром лак</v>
          </cell>
          <cell r="C524">
            <v>2133.33</v>
          </cell>
          <cell r="E524">
            <v>141</v>
          </cell>
          <cell r="F524">
            <v>183</v>
          </cell>
        </row>
        <row r="525">
          <cell r="A525">
            <v>195704</v>
          </cell>
          <cell r="B525" t="str">
            <v>Стул Sheffilton SHT-S85М-2  белый/хром лак</v>
          </cell>
          <cell r="C525">
            <v>2100</v>
          </cell>
          <cell r="E525">
            <v>138</v>
          </cell>
          <cell r="F525">
            <v>179</v>
          </cell>
        </row>
        <row r="526">
          <cell r="A526">
            <v>164164</v>
          </cell>
          <cell r="B526" t="str">
            <v>Стул Sheffilton SHT-S85М-2  красный/красный/хром лак</v>
          </cell>
          <cell r="C526">
            <v>2100</v>
          </cell>
          <cell r="E526">
            <v>138</v>
          </cell>
          <cell r="F526">
            <v>179</v>
          </cell>
        </row>
        <row r="527">
          <cell r="A527">
            <v>163504</v>
          </cell>
          <cell r="B527" t="str">
            <v>Стул Sheffilton SHT-S85М-2  красный/черный муар</v>
          </cell>
          <cell r="C527">
            <v>1953.33</v>
          </cell>
          <cell r="E527">
            <v>129</v>
          </cell>
          <cell r="F527">
            <v>168</v>
          </cell>
        </row>
        <row r="528">
          <cell r="A528">
            <v>164429</v>
          </cell>
          <cell r="B528" t="str">
            <v>Стул Sheffilton SHT-S85М-2  мятный/белый/черный муар</v>
          </cell>
          <cell r="C528">
            <v>1733.33</v>
          </cell>
          <cell r="E528">
            <v>114</v>
          </cell>
          <cell r="F528">
            <v>148</v>
          </cell>
        </row>
        <row r="529">
          <cell r="A529">
            <v>164428</v>
          </cell>
          <cell r="B529" t="str">
            <v>Стул Sheffilton SHT-S85М-2  пастельно-розовый/хром лак</v>
          </cell>
          <cell r="C529">
            <v>1860</v>
          </cell>
          <cell r="E529">
            <v>123</v>
          </cell>
          <cell r="F529">
            <v>160</v>
          </cell>
        </row>
        <row r="530">
          <cell r="A530">
            <v>164412</v>
          </cell>
          <cell r="B530" t="str">
            <v>Стул Sheffilton SHT-S85М-2  черный/бежевый/черный муар</v>
          </cell>
          <cell r="C530">
            <v>1986.67</v>
          </cell>
          <cell r="E530">
            <v>131</v>
          </cell>
          <cell r="F530">
            <v>170</v>
          </cell>
        </row>
        <row r="531">
          <cell r="A531">
            <v>164177</v>
          </cell>
          <cell r="B531" t="str">
            <v>Стул Sheffilton SHT-S85М-2  черный/красный/черный муар</v>
          </cell>
          <cell r="C531">
            <v>1986.67</v>
          </cell>
          <cell r="E531">
            <v>131</v>
          </cell>
          <cell r="F531">
            <v>170</v>
          </cell>
        </row>
        <row r="532">
          <cell r="A532">
            <v>164178</v>
          </cell>
          <cell r="B532" t="str">
            <v>Стул Sheffilton SHT-S85М-2 СТ-307 бежевый/черный/черный муар</v>
          </cell>
          <cell r="C532">
            <v>1953.33</v>
          </cell>
          <cell r="E532">
            <v>129</v>
          </cell>
          <cell r="F532">
            <v>168</v>
          </cell>
        </row>
        <row r="533">
          <cell r="A533">
            <v>168751</v>
          </cell>
          <cell r="B533" t="str">
            <v>Стул Sheffilton SHT-S85М-2 СТ-307 красный/черный/черный муар</v>
          </cell>
          <cell r="C533">
            <v>1953.33</v>
          </cell>
          <cell r="E533">
            <v>129</v>
          </cell>
          <cell r="F533">
            <v>168</v>
          </cell>
        </row>
        <row r="534">
          <cell r="A534">
            <v>150302</v>
          </cell>
          <cell r="B534" t="str">
            <v>Стул Sheffilton SHT-S85М-C12  кремовый/хром лак</v>
          </cell>
          <cell r="C534">
            <v>2973.33</v>
          </cell>
          <cell r="E534">
            <v>196</v>
          </cell>
          <cell r="F534">
            <v>255</v>
          </cell>
        </row>
        <row r="535">
          <cell r="A535">
            <v>149346</v>
          </cell>
          <cell r="B535" t="str">
            <v>Стул Sheffilton SHT-S85М-C12 СТ-205 черный/черный муар</v>
          </cell>
          <cell r="C535">
            <v>2826.67</v>
          </cell>
          <cell r="E535">
            <v>186</v>
          </cell>
          <cell r="F535">
            <v>242</v>
          </cell>
        </row>
        <row r="536">
          <cell r="A536">
            <v>964381</v>
          </cell>
          <cell r="B536" t="str">
            <v>Стул Sheffilton SHT-S90 СТ-43 прозрачный лак/т.серый RAL7022</v>
          </cell>
          <cell r="C536">
            <v>3780</v>
          </cell>
          <cell r="E536">
            <v>249</v>
          </cell>
          <cell r="F536">
            <v>324</v>
          </cell>
        </row>
        <row r="537">
          <cell r="A537">
            <v>964382</v>
          </cell>
          <cell r="B537" t="str">
            <v>Стул Sheffilton SHT-S90 СТ-43 прозр.лак/лосось RAL3022/т.сер. RAL702</v>
          </cell>
          <cell r="C537">
            <v>3800</v>
          </cell>
          <cell r="E537">
            <v>250</v>
          </cell>
          <cell r="F537">
            <v>325</v>
          </cell>
        </row>
        <row r="538">
          <cell r="A538">
            <v>168826</v>
          </cell>
          <cell r="B538" t="str">
            <v>Стул Sheffilton SHT-ST10-1/S37  ноче рубино/хром лак</v>
          </cell>
          <cell r="C538">
            <v>3426.67</v>
          </cell>
          <cell r="E538">
            <v>226</v>
          </cell>
          <cell r="F538">
            <v>294</v>
          </cell>
        </row>
        <row r="539">
          <cell r="A539">
            <v>154070</v>
          </cell>
          <cell r="B539" t="str">
            <v>Стул Sheffilton SHT-ST10-1/S39 СТ-302 дуб выбеленный/светлый орех</v>
          </cell>
          <cell r="C539">
            <v>5913.33</v>
          </cell>
          <cell r="E539">
            <v>390</v>
          </cell>
          <cell r="F539">
            <v>507</v>
          </cell>
        </row>
        <row r="540">
          <cell r="A540">
            <v>194437</v>
          </cell>
          <cell r="B540" t="str">
            <v>Стул Sheffilton SHT-ST10-1/S86 HD  дуб выбеленный/хром лак</v>
          </cell>
          <cell r="C540">
            <v>4806.67</v>
          </cell>
          <cell r="E540">
            <v>317</v>
          </cell>
          <cell r="F540">
            <v>412</v>
          </cell>
        </row>
        <row r="541">
          <cell r="A541">
            <v>162354</v>
          </cell>
          <cell r="B541" t="str">
            <v>Стул Sheffilton SHT-ST10-2/S62  дуб кера/хром лак</v>
          </cell>
          <cell r="C541">
            <v>2816.67</v>
          </cell>
          <cell r="E541">
            <v>186</v>
          </cell>
          <cell r="F541">
            <v>242</v>
          </cell>
        </row>
        <row r="542">
          <cell r="A542">
            <v>162341</v>
          </cell>
          <cell r="B542" t="str">
            <v>Стул Sheffilton SHT-ST10-2/S62  дуб кера/черный муар</v>
          </cell>
          <cell r="C542">
            <v>2816.67</v>
          </cell>
          <cell r="E542">
            <v>186</v>
          </cell>
          <cell r="F542">
            <v>242</v>
          </cell>
        </row>
        <row r="543">
          <cell r="A543">
            <v>154076</v>
          </cell>
          <cell r="B543" t="str">
            <v>Стул Sheffilton SHT-ST15-1/S39  дуб выбеленный/темный орех</v>
          </cell>
          <cell r="C543">
            <v>4713.33</v>
          </cell>
          <cell r="E543">
            <v>311</v>
          </cell>
          <cell r="F543">
            <v>404</v>
          </cell>
        </row>
        <row r="544">
          <cell r="A544">
            <v>154084</v>
          </cell>
          <cell r="B544" t="str">
            <v>Стул Sheffilton SHT-ST15-1/S70 СТ-427 венге/темный орех/черный</v>
          </cell>
          <cell r="C544">
            <v>7153.33</v>
          </cell>
          <cell r="E544">
            <v>471</v>
          </cell>
          <cell r="F544">
            <v>612</v>
          </cell>
        </row>
        <row r="545">
          <cell r="A545">
            <v>154085</v>
          </cell>
          <cell r="B545" t="str">
            <v>Стул Sheffilton SHT-ST15-1/S74  венге/черный зол.патина</v>
          </cell>
          <cell r="C545">
            <v>9303.33</v>
          </cell>
          <cell r="E545">
            <v>613</v>
          </cell>
          <cell r="F545">
            <v>797</v>
          </cell>
        </row>
        <row r="546">
          <cell r="A546">
            <v>194446</v>
          </cell>
          <cell r="B546" t="str">
            <v>Стул Sheffilton SHT-ST15-1/S86 HD  венге/черный муар</v>
          </cell>
          <cell r="C546">
            <v>5813.33</v>
          </cell>
          <cell r="E546">
            <v>383</v>
          </cell>
          <cell r="F546">
            <v>498</v>
          </cell>
        </row>
        <row r="547">
          <cell r="A547">
            <v>194445</v>
          </cell>
          <cell r="B547" t="str">
            <v>Стул Sheffilton SHT-ST15-1/S86 HD  дуб выбеленный/черный муар</v>
          </cell>
          <cell r="C547">
            <v>3446.67</v>
          </cell>
          <cell r="E547">
            <v>227</v>
          </cell>
          <cell r="F547">
            <v>295</v>
          </cell>
        </row>
        <row r="548">
          <cell r="A548">
            <v>162358</v>
          </cell>
          <cell r="B548" t="str">
            <v>Стул Sheffilton SHT-ST15-2/S62 СТ-223 трансильвания/хром лак</v>
          </cell>
          <cell r="C548">
            <v>2816.67</v>
          </cell>
          <cell r="E548">
            <v>186</v>
          </cell>
          <cell r="F548">
            <v>242</v>
          </cell>
        </row>
        <row r="549">
          <cell r="A549">
            <v>162357</v>
          </cell>
          <cell r="B549" t="str">
            <v>Стул Sheffilton SHT-ST15-2/S62 СТ-223 трансильвания/черный муар</v>
          </cell>
          <cell r="C549">
            <v>2816.67</v>
          </cell>
          <cell r="E549">
            <v>186</v>
          </cell>
          <cell r="F549">
            <v>242</v>
          </cell>
        </row>
        <row r="550">
          <cell r="A550">
            <v>145185</v>
          </cell>
          <cell r="B550" t="str">
            <v>Стул Sheffilton SHT-ST16/S37 СТ-336 дуб брашированный/медный</v>
          </cell>
          <cell r="C550">
            <v>2706.67</v>
          </cell>
          <cell r="E550">
            <v>178</v>
          </cell>
          <cell r="F550">
            <v>231</v>
          </cell>
        </row>
        <row r="551">
          <cell r="A551">
            <v>145182</v>
          </cell>
          <cell r="B551" t="str">
            <v>Стул Sheffilton SHT-ST16/S37 СТ-336 дуб брашированный/черный</v>
          </cell>
          <cell r="C551">
            <v>2706.67</v>
          </cell>
          <cell r="E551">
            <v>178</v>
          </cell>
          <cell r="F551">
            <v>231</v>
          </cell>
        </row>
        <row r="552">
          <cell r="A552">
            <v>962039</v>
          </cell>
          <cell r="B552" t="str">
            <v>Стул Sheffilton SHT-ST16/S38 СТ-376 дуб брашированный/черный муар</v>
          </cell>
          <cell r="C552">
            <v>2833.33</v>
          </cell>
          <cell r="E552">
            <v>187</v>
          </cell>
          <cell r="F552">
            <v>243</v>
          </cell>
        </row>
        <row r="553">
          <cell r="A553">
            <v>388171</v>
          </cell>
          <cell r="B553" t="str">
            <v>Стул Sheffilton SHT-ST16/S70  прозрачный лак/черный муар</v>
          </cell>
          <cell r="C553">
            <v>3260</v>
          </cell>
          <cell r="E553">
            <v>215</v>
          </cell>
          <cell r="F553">
            <v>280</v>
          </cell>
        </row>
        <row r="554">
          <cell r="A554">
            <v>962046</v>
          </cell>
          <cell r="B554" t="str">
            <v>Стул Sheffilton SHT-ST16/S70 СТ-94 дуб брашированный/темный орех</v>
          </cell>
          <cell r="C554">
            <v>4160</v>
          </cell>
          <cell r="E554">
            <v>274</v>
          </cell>
          <cell r="F554">
            <v>356</v>
          </cell>
        </row>
        <row r="555">
          <cell r="A555">
            <v>962048</v>
          </cell>
          <cell r="B555" t="str">
            <v>Стул Sheffilton SHT-ST16/S71  дуб брашированный коричневый</v>
          </cell>
          <cell r="C555">
            <v>5200</v>
          </cell>
          <cell r="E555">
            <v>343</v>
          </cell>
          <cell r="F555">
            <v>446</v>
          </cell>
        </row>
        <row r="556">
          <cell r="A556">
            <v>962047</v>
          </cell>
          <cell r="B556" t="str">
            <v>Стул Sheffilton SHT-ST16/S74  дуб брашированный/черный зол.патина</v>
          </cell>
          <cell r="C556">
            <v>6310</v>
          </cell>
          <cell r="E556">
            <v>416</v>
          </cell>
          <cell r="F556">
            <v>541</v>
          </cell>
        </row>
        <row r="557">
          <cell r="A557">
            <v>157562</v>
          </cell>
          <cell r="B557" t="str">
            <v>Стул Sheffilton SHT-ST18-1/S106  темный янтарь/черный муар</v>
          </cell>
          <cell r="C557">
            <v>5873.33</v>
          </cell>
          <cell r="E557">
            <v>387</v>
          </cell>
          <cell r="F557">
            <v>503</v>
          </cell>
        </row>
        <row r="558">
          <cell r="A558">
            <v>155528</v>
          </cell>
          <cell r="B558" t="str">
            <v>Стул Sheffilton SHT-ST19/S100 СТ-407 белый/хром лак</v>
          </cell>
          <cell r="C558">
            <v>1513.33</v>
          </cell>
          <cell r="E558">
            <v>100</v>
          </cell>
          <cell r="F558">
            <v>130</v>
          </cell>
        </row>
        <row r="559">
          <cell r="A559">
            <v>155759</v>
          </cell>
          <cell r="B559" t="str">
            <v>Стул Sheffilton SHT-ST19/S100 СТ-407 белый/черный муар</v>
          </cell>
          <cell r="C559">
            <v>1426.67</v>
          </cell>
          <cell r="E559">
            <v>94</v>
          </cell>
          <cell r="F559">
            <v>122</v>
          </cell>
        </row>
        <row r="560">
          <cell r="A560">
            <v>157752</v>
          </cell>
          <cell r="B560" t="str">
            <v>Стул Sheffilton SHT-ST19/S106 СТ-496 белый/хром лак</v>
          </cell>
          <cell r="C560">
            <v>2240</v>
          </cell>
          <cell r="E560">
            <v>148</v>
          </cell>
          <cell r="F560">
            <v>192</v>
          </cell>
        </row>
        <row r="561">
          <cell r="A561">
            <v>162278</v>
          </cell>
          <cell r="B561" t="str">
            <v>Стул Sheffilton SHT-ST19/S107  черный/хром лак</v>
          </cell>
          <cell r="C561">
            <v>1560</v>
          </cell>
          <cell r="E561">
            <v>103</v>
          </cell>
          <cell r="F561">
            <v>134</v>
          </cell>
        </row>
        <row r="562">
          <cell r="A562">
            <v>157396</v>
          </cell>
          <cell r="B562" t="str">
            <v>Стул Sheffilton SHT-ST19/S107 СТ-337 белый/черный муар</v>
          </cell>
          <cell r="C562">
            <v>1493.33</v>
          </cell>
          <cell r="E562">
            <v>98</v>
          </cell>
          <cell r="F562">
            <v>127</v>
          </cell>
        </row>
        <row r="563">
          <cell r="A563">
            <v>144086</v>
          </cell>
          <cell r="B563" t="str">
            <v>Стул Sheffilton SHT-ST19/S37 СТ-211 белый/хром лак</v>
          </cell>
          <cell r="C563">
            <v>1400</v>
          </cell>
          <cell r="E563">
            <v>92</v>
          </cell>
          <cell r="F563">
            <v>120</v>
          </cell>
        </row>
        <row r="564">
          <cell r="A564">
            <v>188791</v>
          </cell>
          <cell r="B564" t="str">
            <v>Стул Sheffilton SHT-ST19/S37 СТ-211 черный/золото</v>
          </cell>
          <cell r="C564">
            <v>1400</v>
          </cell>
          <cell r="E564">
            <v>92</v>
          </cell>
          <cell r="F564">
            <v>120</v>
          </cell>
        </row>
        <row r="565">
          <cell r="A565">
            <v>144030</v>
          </cell>
          <cell r="B565" t="str">
            <v>Стул Sheffilton SHT-ST19/S37 СТ-211 черный/черный</v>
          </cell>
          <cell r="C565">
            <v>1306.67</v>
          </cell>
          <cell r="E565">
            <v>86</v>
          </cell>
          <cell r="F565">
            <v>112</v>
          </cell>
        </row>
        <row r="566">
          <cell r="A566">
            <v>144041</v>
          </cell>
          <cell r="B566" t="str">
            <v>Стул Sheffilton SHT-ST19/S38 СТ-338 черный/черный</v>
          </cell>
          <cell r="C566">
            <v>1433.33</v>
          </cell>
          <cell r="E566">
            <v>94</v>
          </cell>
          <cell r="F566">
            <v>122</v>
          </cell>
        </row>
        <row r="567">
          <cell r="A567">
            <v>24062</v>
          </cell>
          <cell r="B567" t="str">
            <v>Стул Sheffilton SHT-ST19/S39 СТ-124 белый/белый/патина серебро</v>
          </cell>
          <cell r="C567">
            <v>2473.33</v>
          </cell>
          <cell r="E567">
            <v>163</v>
          </cell>
          <cell r="F567">
            <v>212</v>
          </cell>
        </row>
        <row r="568">
          <cell r="A568">
            <v>991251</v>
          </cell>
          <cell r="B568" t="str">
            <v>Стул Sheffilton SHT-ST19/S39 СТ-124 желтый/темный орех</v>
          </cell>
          <cell r="C568">
            <v>2686.67</v>
          </cell>
          <cell r="E568">
            <v>177</v>
          </cell>
          <cell r="F568">
            <v>230</v>
          </cell>
        </row>
        <row r="569">
          <cell r="A569">
            <v>982994</v>
          </cell>
          <cell r="B569" t="str">
            <v>Стул Sheffilton SHT-ST19/S39 СТ-124 черный/темный орех</v>
          </cell>
          <cell r="C569">
            <v>2686.67</v>
          </cell>
          <cell r="E569">
            <v>177</v>
          </cell>
          <cell r="F569">
            <v>230</v>
          </cell>
        </row>
        <row r="570">
          <cell r="A570">
            <v>207542</v>
          </cell>
          <cell r="B570" t="str">
            <v>Стул Sheffilton SHT-ST19/S64  черный/черный муар</v>
          </cell>
          <cell r="C570">
            <v>1473.33</v>
          </cell>
          <cell r="E570">
            <v>97</v>
          </cell>
          <cell r="F570">
            <v>126</v>
          </cell>
        </row>
        <row r="571">
          <cell r="A571">
            <v>207543</v>
          </cell>
          <cell r="B571" t="str">
            <v>Стул Sheffilton SHT-ST19/S64 СТ-532 белый/черный муар</v>
          </cell>
          <cell r="C571">
            <v>1473.33</v>
          </cell>
          <cell r="E571">
            <v>97</v>
          </cell>
          <cell r="F571">
            <v>126</v>
          </cell>
        </row>
        <row r="572">
          <cell r="A572">
            <v>143781</v>
          </cell>
          <cell r="B572" t="str">
            <v>Стул Sheffilton SHT-ST19/S70  черный/черный/прозрачный лак</v>
          </cell>
          <cell r="C572">
            <v>2713.33</v>
          </cell>
          <cell r="E572">
            <v>179</v>
          </cell>
          <cell r="F572">
            <v>233</v>
          </cell>
        </row>
        <row r="573">
          <cell r="A573">
            <v>143785</v>
          </cell>
          <cell r="B573" t="str">
            <v>Стул Sheffilton SHT-ST19/S70  черный/черный/темный орех</v>
          </cell>
          <cell r="C573">
            <v>2760</v>
          </cell>
          <cell r="E573">
            <v>182</v>
          </cell>
          <cell r="F573">
            <v>237</v>
          </cell>
        </row>
        <row r="574">
          <cell r="A574">
            <v>143761</v>
          </cell>
          <cell r="B574" t="str">
            <v>Стул Sheffilton SHT-ST19/S70 СТ-216 желтый/черный/прозрачный лак</v>
          </cell>
          <cell r="C574">
            <v>2713.33</v>
          </cell>
          <cell r="E574">
            <v>179</v>
          </cell>
          <cell r="F574">
            <v>233</v>
          </cell>
        </row>
        <row r="575">
          <cell r="A575">
            <v>146065</v>
          </cell>
          <cell r="B575" t="str">
            <v>Стул Sheffilton SHT-ST19/S87  белый/хром лак</v>
          </cell>
          <cell r="C575">
            <v>3046.67</v>
          </cell>
          <cell r="E575">
            <v>201</v>
          </cell>
          <cell r="F575">
            <v>261</v>
          </cell>
        </row>
        <row r="576">
          <cell r="A576">
            <v>199208</v>
          </cell>
          <cell r="B576" t="str">
            <v>Стул Sheffilton SHT-ST19/S95-1  бежевый/белый муар</v>
          </cell>
          <cell r="C576">
            <v>1606.67</v>
          </cell>
          <cell r="E576">
            <v>106</v>
          </cell>
          <cell r="F576">
            <v>138</v>
          </cell>
        </row>
        <row r="577">
          <cell r="A577">
            <v>199207</v>
          </cell>
          <cell r="B577" t="str">
            <v>Стул Sheffilton SHT-ST19/S95-1  белый/белый муар</v>
          </cell>
          <cell r="C577">
            <v>1606.67</v>
          </cell>
          <cell r="E577">
            <v>106</v>
          </cell>
          <cell r="F577">
            <v>138</v>
          </cell>
        </row>
        <row r="578">
          <cell r="A578">
            <v>199209</v>
          </cell>
          <cell r="B578" t="str">
            <v>Стул Sheffilton SHT-ST19/S95-1  черный/белый муар</v>
          </cell>
          <cell r="C578">
            <v>1606.67</v>
          </cell>
          <cell r="E578">
            <v>106</v>
          </cell>
          <cell r="F578">
            <v>138</v>
          </cell>
        </row>
        <row r="579">
          <cell r="A579">
            <v>192080</v>
          </cell>
          <cell r="B579" t="str">
            <v>Стул Sheffilton SHT-ST19/S95-1 СТ-460 черный/черный муар</v>
          </cell>
          <cell r="C579">
            <v>1593.33</v>
          </cell>
          <cell r="E579">
            <v>105</v>
          </cell>
          <cell r="F579">
            <v>137</v>
          </cell>
        </row>
        <row r="580">
          <cell r="A580">
            <v>192014</v>
          </cell>
          <cell r="B580" t="str">
            <v>Стул Sheffilton SHT-ST19-SF1/S100 СТ-371 горький шоколад/чёрный муар</v>
          </cell>
          <cell r="C580">
            <v>2460</v>
          </cell>
          <cell r="E580">
            <v>162</v>
          </cell>
          <cell r="F580">
            <v>211</v>
          </cell>
        </row>
        <row r="581">
          <cell r="A581">
            <v>189421</v>
          </cell>
          <cell r="B581" t="str">
            <v>Стул Sheffilton SHT-ST19-SF1/S107  коричневый  сахар/черный муар</v>
          </cell>
          <cell r="C581">
            <v>2593.33</v>
          </cell>
          <cell r="E581">
            <v>171</v>
          </cell>
          <cell r="F581">
            <v>222</v>
          </cell>
        </row>
        <row r="582">
          <cell r="A582">
            <v>192010</v>
          </cell>
          <cell r="B582" t="str">
            <v>Стул Sheffilton SHT-ST19-SF1/S37  горький шоколад/медный металлик</v>
          </cell>
          <cell r="C582">
            <v>2340</v>
          </cell>
          <cell r="E582">
            <v>154</v>
          </cell>
          <cell r="F582">
            <v>200</v>
          </cell>
        </row>
        <row r="583">
          <cell r="A583">
            <v>192011</v>
          </cell>
          <cell r="B583" t="str">
            <v>Стул Sheffilton SHT-ST19-SF1/S37 СТ-368 горький шоколад/чёрный муар</v>
          </cell>
          <cell r="C583">
            <v>2340</v>
          </cell>
          <cell r="E583">
            <v>154</v>
          </cell>
          <cell r="F583">
            <v>200</v>
          </cell>
        </row>
        <row r="584">
          <cell r="A584">
            <v>189418</v>
          </cell>
          <cell r="B584" t="str">
            <v>Стул Sheffilton SHT-ST19-SF1/S37 СТ-368 дымный/хром лак</v>
          </cell>
          <cell r="C584">
            <v>2573.33</v>
          </cell>
          <cell r="E584">
            <v>170</v>
          </cell>
          <cell r="F584">
            <v>221</v>
          </cell>
        </row>
        <row r="585">
          <cell r="A585">
            <v>192012</v>
          </cell>
          <cell r="B585" t="str">
            <v>Стул Sheffilton SHT-ST19-SF1/S38  горький шоколад/черный муар</v>
          </cell>
          <cell r="C585">
            <v>2466.67</v>
          </cell>
          <cell r="E585">
            <v>163</v>
          </cell>
          <cell r="F585">
            <v>212</v>
          </cell>
        </row>
        <row r="586">
          <cell r="A586">
            <v>189419</v>
          </cell>
          <cell r="B586" t="str">
            <v>Стул Sheffilton SHT-ST19-SF1/S39  дымный/серый</v>
          </cell>
          <cell r="C586">
            <v>3046.67</v>
          </cell>
          <cell r="E586">
            <v>201</v>
          </cell>
          <cell r="F586">
            <v>261</v>
          </cell>
        </row>
        <row r="587">
          <cell r="A587">
            <v>192015</v>
          </cell>
          <cell r="B587" t="str">
            <v>Стул Sheffilton SHT-ST19-SF1/S39 СТ-369 горький шоколад/темный орех</v>
          </cell>
          <cell r="C587">
            <v>3720</v>
          </cell>
          <cell r="E587">
            <v>245</v>
          </cell>
          <cell r="F587">
            <v>319</v>
          </cell>
        </row>
        <row r="588">
          <cell r="A588">
            <v>207819</v>
          </cell>
          <cell r="B588" t="str">
            <v>Стул Sheffilton SHT-ST19-SF1/S64  коричневый сахар/черный муар</v>
          </cell>
          <cell r="C588">
            <v>2573.33</v>
          </cell>
          <cell r="E588">
            <v>170</v>
          </cell>
          <cell r="F588">
            <v>221</v>
          </cell>
        </row>
        <row r="589">
          <cell r="A589">
            <v>192016</v>
          </cell>
          <cell r="B589" t="str">
            <v>Стул Sheffilton SHT-ST19-SF1/S70 СТ-370 горький шоколад/темный орех</v>
          </cell>
          <cell r="C589">
            <v>3793.33</v>
          </cell>
          <cell r="E589">
            <v>250</v>
          </cell>
          <cell r="F589">
            <v>325</v>
          </cell>
        </row>
        <row r="590">
          <cell r="A590">
            <v>192017</v>
          </cell>
          <cell r="B590" t="str">
            <v>Стул Sheffilton SHT-ST19-SF1/S71 СТ-455 горький шоколад/брашированный коричневый</v>
          </cell>
          <cell r="C590">
            <v>4833.33</v>
          </cell>
          <cell r="E590">
            <v>318</v>
          </cell>
          <cell r="F590">
            <v>413</v>
          </cell>
        </row>
        <row r="591">
          <cell r="A591">
            <v>209798</v>
          </cell>
          <cell r="B591" t="str">
            <v>Стул Sheffilton SHT-ST19-SF2/S37  ванильный крем/белый</v>
          </cell>
          <cell r="C591">
            <v>2446.67</v>
          </cell>
          <cell r="E591">
            <v>161</v>
          </cell>
          <cell r="F591">
            <v>209</v>
          </cell>
        </row>
        <row r="592">
          <cell r="A592">
            <v>209796</v>
          </cell>
          <cell r="B592" t="str">
            <v>Стул Sheffilton SHT-ST19-SF2/S37  ванильный крем/медный металлик</v>
          </cell>
          <cell r="C592">
            <v>2446.67</v>
          </cell>
          <cell r="E592">
            <v>161</v>
          </cell>
          <cell r="F592">
            <v>209</v>
          </cell>
        </row>
        <row r="593">
          <cell r="A593">
            <v>209797</v>
          </cell>
          <cell r="B593" t="str">
            <v>Стул Sheffilton SHT-ST19-SF2/S37  ванильный крем/черный муар</v>
          </cell>
          <cell r="C593">
            <v>2446.67</v>
          </cell>
          <cell r="E593">
            <v>161</v>
          </cell>
          <cell r="F593">
            <v>209</v>
          </cell>
        </row>
        <row r="594">
          <cell r="A594">
            <v>209800</v>
          </cell>
          <cell r="B594" t="str">
            <v>Стул Sheffilton SHT-ST19-SF2/S39  ванильный крем/прозрачный лак</v>
          </cell>
          <cell r="C594">
            <v>3706.67</v>
          </cell>
          <cell r="E594">
            <v>244</v>
          </cell>
          <cell r="F594">
            <v>317</v>
          </cell>
        </row>
        <row r="595">
          <cell r="A595">
            <v>209799</v>
          </cell>
          <cell r="B595" t="str">
            <v>Стул Sheffilton SHT-ST19-SF2/S39  ванильный крем/темный орех</v>
          </cell>
          <cell r="C595">
            <v>3826.67</v>
          </cell>
          <cell r="E595">
            <v>252</v>
          </cell>
          <cell r="F595">
            <v>328</v>
          </cell>
        </row>
        <row r="596">
          <cell r="A596">
            <v>209801</v>
          </cell>
          <cell r="B596" t="str">
            <v>Стул Sheffilton SHT-ST19-SF2/S70  ванильный крем/темный орех</v>
          </cell>
          <cell r="C596">
            <v>3900</v>
          </cell>
          <cell r="E596">
            <v>257</v>
          </cell>
          <cell r="F596">
            <v>334</v>
          </cell>
        </row>
        <row r="597">
          <cell r="A597">
            <v>154392</v>
          </cell>
          <cell r="B597" t="str">
            <v>Стул Sheffilton SHT-ST27-C1/S37  кремовое облако/медный металлик</v>
          </cell>
          <cell r="C597">
            <v>1830</v>
          </cell>
          <cell r="E597">
            <v>121</v>
          </cell>
          <cell r="F597">
            <v>157</v>
          </cell>
        </row>
        <row r="598">
          <cell r="A598">
            <v>154390</v>
          </cell>
          <cell r="B598" t="str">
            <v>Стул Sheffilton SHT-ST27-C1/S38  кремовое облако/хром лак</v>
          </cell>
          <cell r="C598">
            <v>2076.67</v>
          </cell>
          <cell r="E598">
            <v>137</v>
          </cell>
          <cell r="F598">
            <v>178</v>
          </cell>
        </row>
        <row r="599">
          <cell r="A599">
            <v>185842</v>
          </cell>
          <cell r="B599" t="str">
            <v>Стул Sheffilton SHT-ST29-C12/S113  ежевичное вино/черный муар</v>
          </cell>
          <cell r="C599">
            <v>3126.67</v>
          </cell>
          <cell r="E599">
            <v>206</v>
          </cell>
          <cell r="F599">
            <v>268</v>
          </cell>
        </row>
        <row r="600">
          <cell r="A600">
            <v>194031</v>
          </cell>
          <cell r="B600" t="str">
            <v>Стул Sheffilton SHT-ST29-C12/S130 HD  ежевичное вино/черный муар</v>
          </cell>
          <cell r="C600">
            <v>2520</v>
          </cell>
          <cell r="E600">
            <v>166</v>
          </cell>
          <cell r="F600">
            <v>216</v>
          </cell>
        </row>
        <row r="601">
          <cell r="A601">
            <v>151605</v>
          </cell>
          <cell r="B601" t="str">
            <v>Стул Sheffilton SHT-ST29-C12/S30 СТ-285 голубая лагуна/хром лак</v>
          </cell>
          <cell r="C601">
            <v>2473.33</v>
          </cell>
          <cell r="E601">
            <v>163</v>
          </cell>
          <cell r="F601">
            <v>212</v>
          </cell>
        </row>
        <row r="602">
          <cell r="A602">
            <v>151841</v>
          </cell>
          <cell r="B602" t="str">
            <v>Стул Sheffilton SHT-ST29-C12/S38  коричневый сахар/хром лак</v>
          </cell>
          <cell r="C602">
            <v>2480</v>
          </cell>
          <cell r="E602">
            <v>163</v>
          </cell>
          <cell r="F602">
            <v>212</v>
          </cell>
        </row>
        <row r="603">
          <cell r="A603">
            <v>152007</v>
          </cell>
          <cell r="B603" t="str">
            <v>Стул Sheffilton SHT-ST29-C12/S39  коричневый сахар/темный орех</v>
          </cell>
          <cell r="C603">
            <v>3613.33</v>
          </cell>
          <cell r="E603">
            <v>238</v>
          </cell>
          <cell r="F603">
            <v>309</v>
          </cell>
        </row>
        <row r="604">
          <cell r="A604">
            <v>164505</v>
          </cell>
          <cell r="B604" t="str">
            <v>Стул Sheffilton SHT-ST29-C12/S39 СТ-287 голубая лагуна/дуб выбеленный</v>
          </cell>
          <cell r="C604">
            <v>3780</v>
          </cell>
          <cell r="E604">
            <v>249</v>
          </cell>
          <cell r="F604">
            <v>324</v>
          </cell>
        </row>
        <row r="605">
          <cell r="A605">
            <v>151586</v>
          </cell>
          <cell r="B605" t="str">
            <v>Стул Sheffilton SHT-ST29-C12/S39 СТ-287 голубая лагуна/темный орех</v>
          </cell>
          <cell r="C605">
            <v>3753.33</v>
          </cell>
          <cell r="E605">
            <v>247</v>
          </cell>
          <cell r="F605">
            <v>321</v>
          </cell>
        </row>
        <row r="606">
          <cell r="A606">
            <v>151316</v>
          </cell>
          <cell r="B606" t="str">
            <v>Стул Sheffilton SHT-ST29-C12/S39 СТ-287 ежевичное вино/прозрачный лак</v>
          </cell>
          <cell r="C606">
            <v>3633.33</v>
          </cell>
          <cell r="E606">
            <v>239</v>
          </cell>
          <cell r="F606">
            <v>311</v>
          </cell>
        </row>
        <row r="607">
          <cell r="A607">
            <v>207820</v>
          </cell>
          <cell r="B607" t="str">
            <v>Стул Sheffilton SHT-ST29-C12/S64  голубая лагуна/черный муар</v>
          </cell>
          <cell r="C607">
            <v>2540</v>
          </cell>
          <cell r="E607">
            <v>167</v>
          </cell>
          <cell r="F607">
            <v>217</v>
          </cell>
        </row>
        <row r="608">
          <cell r="A608">
            <v>151595</v>
          </cell>
          <cell r="B608" t="str">
            <v>Стул Sheffilton SHT-ST29-C12/S70  голубая лагуна/темный орех/черный</v>
          </cell>
          <cell r="C608">
            <v>3826.67</v>
          </cell>
          <cell r="E608">
            <v>252</v>
          </cell>
          <cell r="F608">
            <v>328</v>
          </cell>
        </row>
        <row r="609">
          <cell r="A609">
            <v>164506</v>
          </cell>
          <cell r="B609" t="str">
            <v>Стул Sheffilton SHT-ST29-C12/S70  ежевичное вино/прозрачный лак/черный</v>
          </cell>
          <cell r="C609">
            <v>3780</v>
          </cell>
          <cell r="E609">
            <v>249</v>
          </cell>
          <cell r="F609">
            <v>324</v>
          </cell>
        </row>
        <row r="610">
          <cell r="A610">
            <v>151323</v>
          </cell>
          <cell r="B610" t="str">
            <v>Стул Sheffilton SHT-ST29-C12/S70  ежевичное вино/темный орех/черный</v>
          </cell>
          <cell r="C610">
            <v>3826.67</v>
          </cell>
          <cell r="E610">
            <v>252</v>
          </cell>
          <cell r="F610">
            <v>328</v>
          </cell>
        </row>
        <row r="611">
          <cell r="A611">
            <v>165562</v>
          </cell>
          <cell r="B611" t="str">
            <v>Стул Sheffilton SHT-ST29-C12/S70 СТ-343 коричневый сахар/темный орех/черный</v>
          </cell>
          <cell r="C611">
            <v>3686.67</v>
          </cell>
          <cell r="E611">
            <v>243</v>
          </cell>
          <cell r="F611">
            <v>316</v>
          </cell>
        </row>
        <row r="612">
          <cell r="A612">
            <v>151604</v>
          </cell>
          <cell r="B612" t="str">
            <v>Стул Sheffilton SHT-ST29-C12/S71  голубая лагуна/чер/дуб брашированный кор</v>
          </cell>
          <cell r="C612">
            <v>4866.67</v>
          </cell>
          <cell r="E612">
            <v>321</v>
          </cell>
          <cell r="F612">
            <v>417</v>
          </cell>
        </row>
        <row r="613">
          <cell r="A613">
            <v>151356</v>
          </cell>
          <cell r="B613" t="str">
            <v>Стул Sheffilton SHT-ST29-C12/S71  ежевичное вино/чер/дуб брашированный кор</v>
          </cell>
          <cell r="C613">
            <v>4866.67</v>
          </cell>
          <cell r="E613">
            <v>321</v>
          </cell>
          <cell r="F613">
            <v>417</v>
          </cell>
        </row>
        <row r="614">
          <cell r="A614">
            <v>151315</v>
          </cell>
          <cell r="B614" t="str">
            <v>Стул Sheffilton SHT-ST29-C12/S86  ежевичное вино/черный муар</v>
          </cell>
          <cell r="C614">
            <v>2273.33</v>
          </cell>
          <cell r="E614">
            <v>150</v>
          </cell>
          <cell r="F614">
            <v>195</v>
          </cell>
        </row>
        <row r="615">
          <cell r="A615">
            <v>152014</v>
          </cell>
          <cell r="B615" t="str">
            <v>Стул Sheffilton SHT-ST29-C12/S86 СТ-239 коричневый сахар/черный муар</v>
          </cell>
          <cell r="C615">
            <v>2133.33</v>
          </cell>
          <cell r="E615">
            <v>141</v>
          </cell>
          <cell r="F615">
            <v>183</v>
          </cell>
        </row>
        <row r="616">
          <cell r="A616">
            <v>981221</v>
          </cell>
          <cell r="B616" t="str">
            <v>Стул Sheffilton SHT-ST29-C12/S98  ежевичное вино/хром лак</v>
          </cell>
          <cell r="C616">
            <v>3133.33</v>
          </cell>
          <cell r="E616">
            <v>206</v>
          </cell>
          <cell r="F616">
            <v>268</v>
          </cell>
        </row>
        <row r="617">
          <cell r="A617">
            <v>155635</v>
          </cell>
          <cell r="B617" t="str">
            <v>Стул Sheffilton SHT-ST29-C1/S100  оливковый/черный муар</v>
          </cell>
          <cell r="C617">
            <v>2426.67</v>
          </cell>
          <cell r="E617">
            <v>160</v>
          </cell>
          <cell r="F617">
            <v>208</v>
          </cell>
        </row>
        <row r="618">
          <cell r="A618">
            <v>163686</v>
          </cell>
          <cell r="B618" t="str">
            <v>Стул Sheffilton SHT-ST29-C1/S100 СТ-294 морская глубина/черный муар</v>
          </cell>
          <cell r="C618">
            <v>2420</v>
          </cell>
          <cell r="E618">
            <v>159</v>
          </cell>
          <cell r="F618">
            <v>207</v>
          </cell>
        </row>
        <row r="619">
          <cell r="A619">
            <v>194028</v>
          </cell>
          <cell r="B619" t="str">
            <v>Стул Sheffilton SHT-ST29-C1/S130 HD  морская глубина/черный муар</v>
          </cell>
          <cell r="C619">
            <v>2446.67</v>
          </cell>
          <cell r="E619">
            <v>161</v>
          </cell>
          <cell r="F619">
            <v>209</v>
          </cell>
        </row>
        <row r="620">
          <cell r="A620">
            <v>194029</v>
          </cell>
          <cell r="B620" t="str">
            <v>Стул Sheffilton SHT-ST29-C1/S130 HD  оливковый/черный муар</v>
          </cell>
          <cell r="C620">
            <v>2453.33</v>
          </cell>
          <cell r="E620">
            <v>162</v>
          </cell>
          <cell r="F620">
            <v>211</v>
          </cell>
        </row>
        <row r="621">
          <cell r="A621">
            <v>188800</v>
          </cell>
          <cell r="B621" t="str">
            <v>Стул Sheffilton SHT-ST29-C1/S37 СТ-267 морская глубина/золото</v>
          </cell>
          <cell r="C621">
            <v>2393.33</v>
          </cell>
          <cell r="E621">
            <v>158</v>
          </cell>
          <cell r="F621">
            <v>205</v>
          </cell>
        </row>
        <row r="622">
          <cell r="A622">
            <v>168828</v>
          </cell>
          <cell r="B622" t="str">
            <v>Стул Sheffilton SHT-ST29-C1/S37 СТ-267 морская глубина/хром лак</v>
          </cell>
          <cell r="C622">
            <v>2393.33</v>
          </cell>
          <cell r="E622">
            <v>158</v>
          </cell>
          <cell r="F622">
            <v>205</v>
          </cell>
        </row>
        <row r="623">
          <cell r="A623">
            <v>962038</v>
          </cell>
          <cell r="B623" t="str">
            <v>Стул Sheffilton SHT-ST29-C1/S64  лунный камень/черный муар</v>
          </cell>
          <cell r="C623">
            <v>2466.67</v>
          </cell>
          <cell r="E623">
            <v>163</v>
          </cell>
          <cell r="F623">
            <v>212</v>
          </cell>
        </row>
        <row r="624">
          <cell r="A624">
            <v>972027</v>
          </cell>
          <cell r="B624" t="str">
            <v>Стул Sheffilton SHT-ST29-C1/S64  морская глубина/черный муар</v>
          </cell>
          <cell r="C624">
            <v>2466.67</v>
          </cell>
          <cell r="E624">
            <v>163</v>
          </cell>
          <cell r="F624">
            <v>212</v>
          </cell>
        </row>
        <row r="625">
          <cell r="A625">
            <v>1626</v>
          </cell>
          <cell r="B625" t="str">
            <v>Стул Sheffilton SHT-ST29-C1/S64  оливковый/черный муар</v>
          </cell>
          <cell r="C625">
            <v>2473.33</v>
          </cell>
          <cell r="E625">
            <v>163</v>
          </cell>
          <cell r="F625">
            <v>212</v>
          </cell>
        </row>
        <row r="626">
          <cell r="A626">
            <v>163687</v>
          </cell>
          <cell r="B626" t="str">
            <v>Стул Sheffilton SHT-ST29-C1/S70 СТ-328 морская глубина/темный орех/черный</v>
          </cell>
          <cell r="C626">
            <v>3753.33</v>
          </cell>
          <cell r="E626">
            <v>247</v>
          </cell>
          <cell r="F626">
            <v>321</v>
          </cell>
        </row>
        <row r="627">
          <cell r="A627">
            <v>163946</v>
          </cell>
          <cell r="B627" t="str">
            <v>Стул Sheffilton SHT-ST29-C1/S86  морская глубина/черный муар</v>
          </cell>
          <cell r="C627">
            <v>2200</v>
          </cell>
          <cell r="E627">
            <v>145</v>
          </cell>
          <cell r="F627">
            <v>189</v>
          </cell>
        </row>
        <row r="628">
          <cell r="A628">
            <v>194030</v>
          </cell>
          <cell r="B628" t="str">
            <v>Стул Sheffilton SHT-ST29-C20/S130 HD  серый туман/черный муар</v>
          </cell>
          <cell r="C628">
            <v>2520</v>
          </cell>
          <cell r="E628">
            <v>166</v>
          </cell>
          <cell r="F628">
            <v>216</v>
          </cell>
        </row>
        <row r="629">
          <cell r="A629">
            <v>168733</v>
          </cell>
          <cell r="B629" t="str">
            <v>Стул Sheffilton SHT-ST29-C20/S70  серый туман/прозрачный лак/черный</v>
          </cell>
          <cell r="C629">
            <v>3780</v>
          </cell>
          <cell r="E629">
            <v>249</v>
          </cell>
          <cell r="F629">
            <v>324</v>
          </cell>
        </row>
        <row r="630">
          <cell r="A630">
            <v>199590</v>
          </cell>
          <cell r="B630" t="str">
            <v>Стул Sheffilton SHT-ST29-C22/S100  розовый зефир/черный муар</v>
          </cell>
          <cell r="C630">
            <v>2880</v>
          </cell>
          <cell r="E630">
            <v>190</v>
          </cell>
          <cell r="F630">
            <v>247</v>
          </cell>
        </row>
        <row r="631">
          <cell r="A631">
            <v>199591</v>
          </cell>
          <cell r="B631" t="str">
            <v>Стул Sheffilton SHT-ST29-C22/S106  розовый зефир/хром лак</v>
          </cell>
          <cell r="C631">
            <v>3693.33</v>
          </cell>
          <cell r="E631">
            <v>243</v>
          </cell>
          <cell r="F631">
            <v>316</v>
          </cell>
        </row>
        <row r="632">
          <cell r="A632">
            <v>199589</v>
          </cell>
          <cell r="B632" t="str">
            <v>Стул Sheffilton SHT-ST29-C22/S113  розовый зефир/черный муар</v>
          </cell>
          <cell r="C632">
            <v>3513.33</v>
          </cell>
          <cell r="E632">
            <v>231</v>
          </cell>
          <cell r="F632">
            <v>300</v>
          </cell>
        </row>
        <row r="633">
          <cell r="A633">
            <v>199595</v>
          </cell>
          <cell r="B633" t="str">
            <v>Стул Sheffilton SHT-ST29-C22/S130 HD  розовый зефир/хром лак</v>
          </cell>
          <cell r="C633">
            <v>3106.67</v>
          </cell>
          <cell r="E633">
            <v>205</v>
          </cell>
          <cell r="F633">
            <v>267</v>
          </cell>
        </row>
        <row r="634">
          <cell r="A634">
            <v>199593</v>
          </cell>
          <cell r="B634" t="str">
            <v>Стул Sheffilton SHT-ST29-C22/S37  розовый зефир/хром лак</v>
          </cell>
          <cell r="C634">
            <v>2853.33</v>
          </cell>
          <cell r="E634">
            <v>188</v>
          </cell>
          <cell r="F634">
            <v>244</v>
          </cell>
        </row>
        <row r="635">
          <cell r="A635">
            <v>199596</v>
          </cell>
          <cell r="B635" t="str">
            <v>Стул Sheffilton SHT-ST29-C22/S38  розовый зефир/черный муар</v>
          </cell>
          <cell r="C635">
            <v>2886.67</v>
          </cell>
          <cell r="E635">
            <v>190</v>
          </cell>
          <cell r="F635">
            <v>247</v>
          </cell>
        </row>
        <row r="636">
          <cell r="A636">
            <v>199597</v>
          </cell>
          <cell r="B636" t="str">
            <v>Стул Sheffilton SHT-ST29-C22/S39  розовый зефир/дуб выбеленный</v>
          </cell>
          <cell r="C636">
            <v>4166.67</v>
          </cell>
          <cell r="E636">
            <v>274</v>
          </cell>
          <cell r="F636">
            <v>356</v>
          </cell>
        </row>
        <row r="637">
          <cell r="A637">
            <v>199598</v>
          </cell>
          <cell r="B637" t="str">
            <v>Стул Sheffilton SHT-ST29-C22/S39  розовый зефир/темный орех</v>
          </cell>
          <cell r="C637">
            <v>4140</v>
          </cell>
          <cell r="E637">
            <v>273</v>
          </cell>
          <cell r="F637">
            <v>355</v>
          </cell>
        </row>
        <row r="638">
          <cell r="A638">
            <v>199884</v>
          </cell>
          <cell r="B638" t="str">
            <v>Стул Sheffilton SHT-ST29-C22/S70  розовый зефир/темный орех/черный муар</v>
          </cell>
          <cell r="C638">
            <v>4213.33</v>
          </cell>
          <cell r="E638">
            <v>278</v>
          </cell>
          <cell r="F638">
            <v>361</v>
          </cell>
        </row>
        <row r="639">
          <cell r="A639">
            <v>199594</v>
          </cell>
          <cell r="B639" t="str">
            <v>Стул Sheffilton SHT-ST29-C22/S95-1  розовый зефир/белый муар</v>
          </cell>
          <cell r="C639">
            <v>3060</v>
          </cell>
          <cell r="E639">
            <v>202</v>
          </cell>
          <cell r="F639">
            <v>263</v>
          </cell>
        </row>
        <row r="640">
          <cell r="A640">
            <v>191928</v>
          </cell>
          <cell r="B640" t="str">
            <v>Стул Sheffilton SHT-ST29-C4/S100 СТ-256 графит/хром лак</v>
          </cell>
          <cell r="C640">
            <v>2513.33</v>
          </cell>
          <cell r="E640">
            <v>166</v>
          </cell>
          <cell r="F640">
            <v>216</v>
          </cell>
        </row>
        <row r="641">
          <cell r="A641">
            <v>191929</v>
          </cell>
          <cell r="B641" t="str">
            <v>Стул Sheffilton SHT-ST29-C4/S106  графит/черный муар</v>
          </cell>
          <cell r="C641">
            <v>3173.33</v>
          </cell>
          <cell r="E641">
            <v>209</v>
          </cell>
          <cell r="F641">
            <v>272</v>
          </cell>
        </row>
        <row r="642">
          <cell r="A642">
            <v>191930</v>
          </cell>
          <cell r="B642" t="str">
            <v>Стул Sheffilton SHT-ST29-C4/S112  графит/черный муар</v>
          </cell>
          <cell r="C642">
            <v>3506.67</v>
          </cell>
          <cell r="E642">
            <v>231</v>
          </cell>
          <cell r="F642">
            <v>300</v>
          </cell>
        </row>
        <row r="643">
          <cell r="A643">
            <v>191931</v>
          </cell>
          <cell r="B643" t="str">
            <v>Стул Sheffilton SHT-ST29-C4/S113  графит/чёрный муар</v>
          </cell>
          <cell r="C643">
            <v>3060</v>
          </cell>
          <cell r="E643">
            <v>202</v>
          </cell>
          <cell r="F643">
            <v>263</v>
          </cell>
        </row>
        <row r="644">
          <cell r="A644">
            <v>194032</v>
          </cell>
          <cell r="B644" t="str">
            <v>Стул Sheffilton SHT-ST29-C4/S130 HD  графит/черный муар</v>
          </cell>
          <cell r="C644">
            <v>2453.33</v>
          </cell>
          <cell r="E644">
            <v>162</v>
          </cell>
          <cell r="F644">
            <v>211</v>
          </cell>
        </row>
        <row r="645">
          <cell r="A645">
            <v>191926</v>
          </cell>
          <cell r="B645" t="str">
            <v>Стул Sheffilton SHT-ST29-C4/S38 СТ-274 графит/хром лак</v>
          </cell>
          <cell r="C645">
            <v>2553.33</v>
          </cell>
          <cell r="E645">
            <v>168</v>
          </cell>
          <cell r="F645">
            <v>218</v>
          </cell>
        </row>
        <row r="646">
          <cell r="A646">
            <v>191923</v>
          </cell>
          <cell r="B646" t="str">
            <v>Стул Sheffilton SHT-ST29-C4/S39  графит/серый</v>
          </cell>
          <cell r="C646">
            <v>2873.33</v>
          </cell>
          <cell r="E646">
            <v>189</v>
          </cell>
          <cell r="F646">
            <v>246</v>
          </cell>
        </row>
        <row r="647">
          <cell r="A647">
            <v>151296</v>
          </cell>
          <cell r="B647" t="str">
            <v>Стул Sheffilton SHT-ST29-C4/S39  графит/темный орех</v>
          </cell>
          <cell r="C647">
            <v>3686.67</v>
          </cell>
          <cell r="E647">
            <v>243</v>
          </cell>
          <cell r="F647">
            <v>316</v>
          </cell>
        </row>
        <row r="648">
          <cell r="A648">
            <v>1606</v>
          </cell>
          <cell r="B648" t="str">
            <v>Стул Sheffilton SHT-ST29-C4/S64  графит/черный муар</v>
          </cell>
          <cell r="C648">
            <v>2473.33</v>
          </cell>
          <cell r="E648">
            <v>163</v>
          </cell>
          <cell r="F648">
            <v>212</v>
          </cell>
        </row>
        <row r="649">
          <cell r="A649">
            <v>191924</v>
          </cell>
          <cell r="B649" t="str">
            <v>Стул Sheffilton SHT-ST29-C4/S70  графит/прозрачный лак</v>
          </cell>
          <cell r="C649">
            <v>3713.33</v>
          </cell>
          <cell r="E649">
            <v>245</v>
          </cell>
          <cell r="F649">
            <v>319</v>
          </cell>
        </row>
        <row r="650">
          <cell r="A650">
            <v>191925</v>
          </cell>
          <cell r="B650" t="str">
            <v>Стул Sheffilton SHT-ST29-C4/S70  графит/темный орех</v>
          </cell>
          <cell r="C650">
            <v>3760</v>
          </cell>
          <cell r="E650">
            <v>248</v>
          </cell>
          <cell r="F650">
            <v>322</v>
          </cell>
        </row>
        <row r="651">
          <cell r="A651">
            <v>155632</v>
          </cell>
          <cell r="B651" t="str">
            <v>Стул Sheffilton SHT-ST29-C/S100 СТ-237 жемчужный/хром лак</v>
          </cell>
          <cell r="C651">
            <v>2506.67</v>
          </cell>
          <cell r="E651">
            <v>165</v>
          </cell>
          <cell r="F651">
            <v>215</v>
          </cell>
        </row>
        <row r="652">
          <cell r="A652">
            <v>194026</v>
          </cell>
          <cell r="B652" t="str">
            <v>Стул Sheffilton SHT-ST29-C/S130 HD  жемчужный/черный муар</v>
          </cell>
          <cell r="C652">
            <v>2446.67</v>
          </cell>
          <cell r="E652">
            <v>161</v>
          </cell>
          <cell r="F652">
            <v>209</v>
          </cell>
        </row>
        <row r="653">
          <cell r="A653">
            <v>194027</v>
          </cell>
          <cell r="B653" t="str">
            <v>Стул Sheffilton SHT-ST29-C/S130 HD  пепельный/черный муар</v>
          </cell>
          <cell r="C653">
            <v>2293.33</v>
          </cell>
          <cell r="E653">
            <v>151</v>
          </cell>
          <cell r="F653">
            <v>196</v>
          </cell>
        </row>
        <row r="654">
          <cell r="A654">
            <v>152200</v>
          </cell>
          <cell r="B654" t="str">
            <v>Стул Sheffilton SHT-ST29-C/S38 СТ-243 пепельный/хром лак</v>
          </cell>
          <cell r="C654">
            <v>2393.33</v>
          </cell>
          <cell r="E654">
            <v>158</v>
          </cell>
          <cell r="F654">
            <v>205</v>
          </cell>
        </row>
        <row r="655">
          <cell r="A655">
            <v>152209</v>
          </cell>
          <cell r="B655" t="str">
            <v>Стул Sheffilton SHT-ST29-C/S70 СТ-363 пепельный/темный орех/черный</v>
          </cell>
          <cell r="C655">
            <v>3600</v>
          </cell>
          <cell r="E655">
            <v>237</v>
          </cell>
          <cell r="F655">
            <v>308</v>
          </cell>
        </row>
        <row r="656">
          <cell r="A656">
            <v>149153</v>
          </cell>
          <cell r="B656" t="str">
            <v>Стул Sheffilton SHT-ST29/S100 СТ-221 красный RAL3020/хром лак</v>
          </cell>
          <cell r="C656">
            <v>1793.33</v>
          </cell>
          <cell r="E656">
            <v>118</v>
          </cell>
          <cell r="F656">
            <v>153</v>
          </cell>
        </row>
        <row r="657">
          <cell r="A657">
            <v>155819</v>
          </cell>
          <cell r="B657" t="str">
            <v>Стул Sheffilton SHT-ST29/S100 СТ-221 красный RAL3020/черный муар</v>
          </cell>
          <cell r="C657">
            <v>1706.67</v>
          </cell>
          <cell r="E657">
            <v>112</v>
          </cell>
          <cell r="F657">
            <v>146</v>
          </cell>
        </row>
        <row r="658">
          <cell r="A658">
            <v>168502</v>
          </cell>
          <cell r="B658" t="str">
            <v>Стул Sheffilton SHT-ST29/S100 СТ-221 серый ral 7040/хром лак</v>
          </cell>
          <cell r="C658">
            <v>1793.33</v>
          </cell>
          <cell r="E658">
            <v>118</v>
          </cell>
          <cell r="F658">
            <v>153</v>
          </cell>
        </row>
        <row r="659">
          <cell r="A659">
            <v>157753</v>
          </cell>
          <cell r="B659" t="str">
            <v>Стул Sheffilton SHT-ST29/S106  голубой pan278/хром лак</v>
          </cell>
          <cell r="C659">
            <v>2520</v>
          </cell>
          <cell r="E659">
            <v>166</v>
          </cell>
          <cell r="F659">
            <v>216</v>
          </cell>
        </row>
        <row r="660">
          <cell r="A660">
            <v>162279</v>
          </cell>
          <cell r="B660" t="str">
            <v>Стул Sheffilton SHT-ST29/S107 СТ-245 зеленый RAL6018/хром лак</v>
          </cell>
          <cell r="C660">
            <v>1840</v>
          </cell>
          <cell r="E660">
            <v>121</v>
          </cell>
          <cell r="F660">
            <v>157</v>
          </cell>
        </row>
        <row r="661">
          <cell r="A661">
            <v>157397</v>
          </cell>
          <cell r="B661" t="str">
            <v>Стул Sheffilton SHT-ST29/S107 СТ-245 красный RAL3020/черный муар</v>
          </cell>
          <cell r="C661">
            <v>1773.33</v>
          </cell>
          <cell r="E661">
            <v>117</v>
          </cell>
          <cell r="F661">
            <v>152</v>
          </cell>
        </row>
        <row r="662">
          <cell r="A662">
            <v>178704</v>
          </cell>
          <cell r="B662" t="str">
            <v>Стул Sheffilton SHT-ST29/S112 СТ-426 черный/черный муар</v>
          </cell>
          <cell r="C662">
            <v>2786.67</v>
          </cell>
          <cell r="E662">
            <v>184</v>
          </cell>
          <cell r="F662">
            <v>239</v>
          </cell>
        </row>
        <row r="663">
          <cell r="A663">
            <v>194022</v>
          </cell>
          <cell r="B663" t="str">
            <v>Стул Sheffilton SHT-ST29/S130 СТ-386 желтый/черный муар</v>
          </cell>
          <cell r="C663">
            <v>1733.33</v>
          </cell>
          <cell r="E663">
            <v>114</v>
          </cell>
          <cell r="F663">
            <v>148</v>
          </cell>
        </row>
        <row r="664">
          <cell r="A664">
            <v>194024</v>
          </cell>
          <cell r="B664" t="str">
            <v>Стул Sheffilton SHT-ST29/S130 СТ-386 коричневый/черный муар</v>
          </cell>
          <cell r="C664">
            <v>1733.33</v>
          </cell>
          <cell r="E664">
            <v>114</v>
          </cell>
          <cell r="F664">
            <v>148</v>
          </cell>
        </row>
        <row r="665">
          <cell r="A665">
            <v>194025</v>
          </cell>
          <cell r="B665" t="str">
            <v>Стул Sheffilton SHT-ST29/S130 СТ-386 мятный/черный муар</v>
          </cell>
          <cell r="C665">
            <v>1733.33</v>
          </cell>
          <cell r="E665">
            <v>114</v>
          </cell>
          <cell r="F665">
            <v>148</v>
          </cell>
        </row>
        <row r="666">
          <cell r="A666">
            <v>194016</v>
          </cell>
          <cell r="B666" t="str">
            <v>Стул Sheffilton SHT-ST29/S130 HD  голубой/черный муар</v>
          </cell>
          <cell r="C666">
            <v>1733.33</v>
          </cell>
          <cell r="E666">
            <v>114</v>
          </cell>
          <cell r="F666">
            <v>148</v>
          </cell>
        </row>
        <row r="667">
          <cell r="A667">
            <v>194017</v>
          </cell>
          <cell r="B667" t="str">
            <v>Стул Sheffilton SHT-ST29/S130 HD  зеленый/черный муар</v>
          </cell>
          <cell r="C667">
            <v>1733.33</v>
          </cell>
          <cell r="E667">
            <v>114</v>
          </cell>
          <cell r="F667">
            <v>148</v>
          </cell>
        </row>
        <row r="668">
          <cell r="A668">
            <v>194021</v>
          </cell>
          <cell r="B668" t="str">
            <v>Стул Sheffilton SHT-ST29/S130 HD  пастельно-розовый/черный муар</v>
          </cell>
          <cell r="C668">
            <v>1746.67</v>
          </cell>
          <cell r="E668">
            <v>115</v>
          </cell>
          <cell r="F668">
            <v>150</v>
          </cell>
        </row>
        <row r="669">
          <cell r="A669">
            <v>194020</v>
          </cell>
          <cell r="B669" t="str">
            <v>Стул Sheffilton SHT-ST29/S130 HD СТ-406 бежевый/черный муар</v>
          </cell>
          <cell r="C669">
            <v>1733.33</v>
          </cell>
          <cell r="E669">
            <v>114</v>
          </cell>
          <cell r="F669">
            <v>148</v>
          </cell>
        </row>
        <row r="670">
          <cell r="A670">
            <v>194019</v>
          </cell>
          <cell r="B670" t="str">
            <v>Стул Sheffilton SHT-ST29/S130 HD СТ-406 белый/черный муар</v>
          </cell>
          <cell r="C670">
            <v>1733.33</v>
          </cell>
          <cell r="E670">
            <v>114</v>
          </cell>
          <cell r="F670">
            <v>148</v>
          </cell>
        </row>
        <row r="671">
          <cell r="A671">
            <v>194018</v>
          </cell>
          <cell r="B671" t="str">
            <v>Стул Sheffilton SHT-ST29/S130 HD СТ-406 красный/чёрный муар</v>
          </cell>
          <cell r="C671">
            <v>1733.33</v>
          </cell>
          <cell r="E671">
            <v>114</v>
          </cell>
          <cell r="F671">
            <v>148</v>
          </cell>
        </row>
        <row r="672">
          <cell r="A672">
            <v>194023</v>
          </cell>
          <cell r="B672" t="str">
            <v>Стул Sheffilton SHT-ST29/S130 HD СТ-406 оранжевый/черный муар</v>
          </cell>
          <cell r="C672">
            <v>1733.33</v>
          </cell>
          <cell r="E672">
            <v>114</v>
          </cell>
          <cell r="F672">
            <v>148</v>
          </cell>
        </row>
        <row r="673">
          <cell r="A673">
            <v>149137</v>
          </cell>
          <cell r="B673" t="str">
            <v>Стул Sheffilton SHT-ST29/S30  красный RAL3020/черный муар</v>
          </cell>
          <cell r="C673">
            <v>1520</v>
          </cell>
          <cell r="E673">
            <v>100</v>
          </cell>
          <cell r="F673">
            <v>130</v>
          </cell>
        </row>
        <row r="674">
          <cell r="A674">
            <v>163877</v>
          </cell>
          <cell r="B674" t="str">
            <v>Стул Sheffilton SHT-ST29/S30 СТ-230 красный RAL3020/хром лак</v>
          </cell>
          <cell r="C674">
            <v>1686.67</v>
          </cell>
          <cell r="E674">
            <v>111</v>
          </cell>
          <cell r="F674">
            <v>144</v>
          </cell>
        </row>
        <row r="675">
          <cell r="A675">
            <v>197488</v>
          </cell>
          <cell r="B675" t="str">
            <v>Стул Sheffilton SHT-ST29/S37 СТ-215 белый/белый</v>
          </cell>
          <cell r="C675">
            <v>1586.67</v>
          </cell>
          <cell r="E675">
            <v>105</v>
          </cell>
          <cell r="F675">
            <v>137</v>
          </cell>
        </row>
        <row r="676">
          <cell r="A676">
            <v>149146</v>
          </cell>
          <cell r="B676" t="str">
            <v>Стул Sheffilton SHT-ST29/S37 СТ-215 белый/черный муар</v>
          </cell>
          <cell r="C676">
            <v>1586.67</v>
          </cell>
          <cell r="E676">
            <v>105</v>
          </cell>
          <cell r="F676">
            <v>137</v>
          </cell>
        </row>
        <row r="677">
          <cell r="A677">
            <v>149150</v>
          </cell>
          <cell r="B677" t="str">
            <v>Стул Sheffilton SHT-ST29/S37 СТ-215 зеленый RAL6018/черный муар</v>
          </cell>
          <cell r="C677">
            <v>1586.67</v>
          </cell>
          <cell r="E677">
            <v>105</v>
          </cell>
          <cell r="F677">
            <v>137</v>
          </cell>
        </row>
        <row r="678">
          <cell r="A678">
            <v>188819</v>
          </cell>
          <cell r="B678" t="str">
            <v>Стул Sheffilton SHT-ST29/S37 СТ-215 коричневый/золото</v>
          </cell>
          <cell r="C678">
            <v>1680</v>
          </cell>
          <cell r="E678">
            <v>111</v>
          </cell>
          <cell r="F678">
            <v>144</v>
          </cell>
        </row>
        <row r="679">
          <cell r="A679">
            <v>188818</v>
          </cell>
          <cell r="B679" t="str">
            <v>Стул Sheffilton SHT-ST29/S37 СТ-215 черный/золото</v>
          </cell>
          <cell r="C679">
            <v>1680</v>
          </cell>
          <cell r="E679">
            <v>111</v>
          </cell>
          <cell r="F679">
            <v>144</v>
          </cell>
        </row>
        <row r="680">
          <cell r="A680">
            <v>168829</v>
          </cell>
          <cell r="B680" t="str">
            <v>Стул Sheffilton SHT-ST29/S37 СТ-215 черный/хром лак</v>
          </cell>
          <cell r="C680">
            <v>1680</v>
          </cell>
          <cell r="E680">
            <v>111</v>
          </cell>
          <cell r="F680">
            <v>144</v>
          </cell>
        </row>
        <row r="681">
          <cell r="A681">
            <v>202855</v>
          </cell>
          <cell r="B681" t="str">
            <v>Стул Sheffilton SHT-ST29/S37-1  оранжевый/черный муар</v>
          </cell>
          <cell r="C681">
            <v>1653.33</v>
          </cell>
          <cell r="E681">
            <v>109</v>
          </cell>
          <cell r="F681">
            <v>142</v>
          </cell>
        </row>
        <row r="682">
          <cell r="A682">
            <v>202857</v>
          </cell>
          <cell r="B682" t="str">
            <v>Стул Sheffilton SHT-ST29/S37-1 СТ-437 бежевый/черный муар</v>
          </cell>
          <cell r="C682">
            <v>1653.33</v>
          </cell>
          <cell r="E682">
            <v>109</v>
          </cell>
          <cell r="F682">
            <v>142</v>
          </cell>
        </row>
        <row r="683">
          <cell r="A683">
            <v>202856</v>
          </cell>
          <cell r="B683" t="str">
            <v>Стул Sheffilton SHT-ST29/S37-1 СТ-437 желтый/черный муар</v>
          </cell>
          <cell r="C683">
            <v>1653.33</v>
          </cell>
          <cell r="E683">
            <v>109</v>
          </cell>
          <cell r="F683">
            <v>142</v>
          </cell>
        </row>
        <row r="684">
          <cell r="A684">
            <v>202853</v>
          </cell>
          <cell r="B684" t="str">
            <v>Стул Sheffilton SHT-ST29/S37-1 СТ-437 коричневый/черный муар</v>
          </cell>
          <cell r="C684">
            <v>1653.33</v>
          </cell>
          <cell r="E684">
            <v>109</v>
          </cell>
          <cell r="F684">
            <v>142</v>
          </cell>
        </row>
        <row r="685">
          <cell r="A685">
            <v>202854</v>
          </cell>
          <cell r="B685" t="str">
            <v>Стул Sheffilton SHT-ST29/S37-1 СТ-437 красный/черный муар</v>
          </cell>
          <cell r="C685">
            <v>1653.33</v>
          </cell>
          <cell r="E685">
            <v>109</v>
          </cell>
          <cell r="F685">
            <v>142</v>
          </cell>
        </row>
        <row r="686">
          <cell r="A686">
            <v>202852</v>
          </cell>
          <cell r="B686" t="str">
            <v>Стул Sheffilton SHT-ST29/S37-1 СТ-437 серый/черный муар</v>
          </cell>
          <cell r="C686">
            <v>1653.33</v>
          </cell>
          <cell r="E686">
            <v>109</v>
          </cell>
          <cell r="F686">
            <v>142</v>
          </cell>
        </row>
        <row r="687">
          <cell r="A687">
            <v>202851</v>
          </cell>
          <cell r="B687" t="str">
            <v>Стул Sheffilton SHT-ST29/S37-1 СТ-437 черный/черный муар</v>
          </cell>
          <cell r="C687">
            <v>1653.33</v>
          </cell>
          <cell r="E687">
            <v>109</v>
          </cell>
          <cell r="F687">
            <v>142</v>
          </cell>
        </row>
        <row r="688">
          <cell r="A688">
            <v>149205</v>
          </cell>
          <cell r="B688" t="str">
            <v>Стул Sheffilton SHT-ST29/S38 СТ-255 зеленый RAL6018/хром лак</v>
          </cell>
          <cell r="C688">
            <v>1833.33</v>
          </cell>
          <cell r="E688">
            <v>121</v>
          </cell>
          <cell r="F688">
            <v>157</v>
          </cell>
        </row>
        <row r="689">
          <cell r="A689">
            <v>149159</v>
          </cell>
          <cell r="B689" t="str">
            <v>Стул Sheffilton SHT-ST29/S38 СТ-255 черный/черный муар</v>
          </cell>
          <cell r="C689">
            <v>1713.33</v>
          </cell>
          <cell r="E689">
            <v>113</v>
          </cell>
          <cell r="F689">
            <v>147</v>
          </cell>
        </row>
        <row r="690">
          <cell r="A690">
            <v>149254</v>
          </cell>
          <cell r="B690" t="str">
            <v>Стул Sheffilton SHT-ST29/S39  белый/дуб атланта брашированный</v>
          </cell>
          <cell r="C690">
            <v>3280</v>
          </cell>
          <cell r="E690">
            <v>216</v>
          </cell>
          <cell r="F690">
            <v>281</v>
          </cell>
        </row>
        <row r="691">
          <cell r="A691">
            <v>149259</v>
          </cell>
          <cell r="B691" t="str">
            <v>Стул Sheffilton SHT-ST29/S39  голубой Pan278/прозрачный лак</v>
          </cell>
          <cell r="C691">
            <v>2846.67</v>
          </cell>
          <cell r="E691">
            <v>188</v>
          </cell>
          <cell r="F691">
            <v>244</v>
          </cell>
        </row>
        <row r="692">
          <cell r="A692">
            <v>149257</v>
          </cell>
          <cell r="B692" t="str">
            <v>Стул Sheffilton SHT-ST29/S39  зеленый RAL6018/белый патина серебро</v>
          </cell>
          <cell r="C692">
            <v>2753.33</v>
          </cell>
          <cell r="E692">
            <v>181</v>
          </cell>
          <cell r="F692">
            <v>235</v>
          </cell>
        </row>
        <row r="693">
          <cell r="A693">
            <v>149255</v>
          </cell>
          <cell r="B693" t="str">
            <v>Стул Sheffilton SHT-ST29/S39  зеленый RAL6018/брашированный корич.</v>
          </cell>
          <cell r="C693">
            <v>3320</v>
          </cell>
          <cell r="E693">
            <v>219</v>
          </cell>
          <cell r="F693">
            <v>285</v>
          </cell>
        </row>
        <row r="694">
          <cell r="A694">
            <v>207541</v>
          </cell>
          <cell r="B694" t="str">
            <v>Стул Sheffilton SHT-ST29/S64  белый/хром лак</v>
          </cell>
          <cell r="C694">
            <v>1853.33</v>
          </cell>
          <cell r="E694">
            <v>122</v>
          </cell>
          <cell r="F694">
            <v>159</v>
          </cell>
        </row>
        <row r="695">
          <cell r="A695">
            <v>207531</v>
          </cell>
          <cell r="B695" t="str">
            <v>Стул Sheffilton SHT-ST29/S64  белый/черный муар</v>
          </cell>
          <cell r="C695">
            <v>1753.33</v>
          </cell>
          <cell r="E695">
            <v>116</v>
          </cell>
          <cell r="F695">
            <v>151</v>
          </cell>
        </row>
        <row r="696">
          <cell r="A696">
            <v>207534</v>
          </cell>
          <cell r="B696" t="str">
            <v>Стул Sheffilton SHT-ST29/S64  желтый ral1021/черный муар</v>
          </cell>
          <cell r="C696">
            <v>1753.33</v>
          </cell>
          <cell r="E696">
            <v>116</v>
          </cell>
          <cell r="F696">
            <v>151</v>
          </cell>
        </row>
        <row r="697">
          <cell r="A697">
            <v>207536</v>
          </cell>
          <cell r="B697" t="str">
            <v>Стул Sheffilton SHT-ST29/S64  зеленый ral6018/черный муар</v>
          </cell>
          <cell r="C697">
            <v>1753.33</v>
          </cell>
          <cell r="E697">
            <v>116</v>
          </cell>
          <cell r="F697">
            <v>151</v>
          </cell>
        </row>
        <row r="698">
          <cell r="A698">
            <v>149136</v>
          </cell>
          <cell r="B698" t="str">
            <v>Стул Sheffilton SHT-ST29/S64  красный RAL3020/черный муар</v>
          </cell>
          <cell r="C698">
            <v>1753.33</v>
          </cell>
          <cell r="E698">
            <v>116</v>
          </cell>
          <cell r="F698">
            <v>151</v>
          </cell>
        </row>
        <row r="699">
          <cell r="A699">
            <v>207535</v>
          </cell>
          <cell r="B699" t="str">
            <v>Стул Sheffilton SHT-ST29/S64  оранжевый ral2003/черный муар</v>
          </cell>
          <cell r="C699">
            <v>1753.33</v>
          </cell>
          <cell r="E699">
            <v>116</v>
          </cell>
          <cell r="F699">
            <v>151</v>
          </cell>
        </row>
        <row r="700">
          <cell r="A700">
            <v>207540</v>
          </cell>
          <cell r="B700" t="str">
            <v>Стул Sheffilton SHT-ST29/S64  черный/хром лак</v>
          </cell>
          <cell r="C700">
            <v>1853.33</v>
          </cell>
          <cell r="E700">
            <v>122</v>
          </cell>
          <cell r="F700">
            <v>159</v>
          </cell>
        </row>
        <row r="701">
          <cell r="A701">
            <v>207532</v>
          </cell>
          <cell r="B701" t="str">
            <v>Стул Sheffilton SHT-ST29/S64 СТ-262 бежевый ral1013/черный муар</v>
          </cell>
          <cell r="C701">
            <v>1753.33</v>
          </cell>
          <cell r="E701">
            <v>116</v>
          </cell>
          <cell r="F701">
            <v>151</v>
          </cell>
        </row>
        <row r="702">
          <cell r="A702">
            <v>207537</v>
          </cell>
          <cell r="B702" t="str">
            <v>Стул Sheffilton SHT-ST29/S64 СТ-262 серый ral040/черный муар</v>
          </cell>
          <cell r="C702">
            <v>1753.33</v>
          </cell>
          <cell r="E702">
            <v>116</v>
          </cell>
          <cell r="F702">
            <v>151</v>
          </cell>
        </row>
        <row r="703">
          <cell r="A703">
            <v>175202</v>
          </cell>
          <cell r="B703" t="str">
            <v>Стул Sheffilton SHT-ST29/S64 СТ-262 черный/черный муар</v>
          </cell>
          <cell r="C703">
            <v>1753.33</v>
          </cell>
          <cell r="E703">
            <v>116</v>
          </cell>
          <cell r="F703">
            <v>151</v>
          </cell>
        </row>
        <row r="704">
          <cell r="A704">
            <v>149222</v>
          </cell>
          <cell r="B704" t="str">
            <v>Стул Sheffilton SHT-ST29/S70  белый/темный орех/черный муар</v>
          </cell>
          <cell r="C704">
            <v>3040</v>
          </cell>
          <cell r="E704">
            <v>200</v>
          </cell>
          <cell r="F704">
            <v>260</v>
          </cell>
        </row>
        <row r="705">
          <cell r="A705">
            <v>149219</v>
          </cell>
          <cell r="B705" t="str">
            <v>Стул Sheffilton SHT-ST29/S70  красный RAL3020/прозрачный лак/черный</v>
          </cell>
          <cell r="C705">
            <v>2993.33</v>
          </cell>
          <cell r="E705">
            <v>197</v>
          </cell>
          <cell r="F705">
            <v>256</v>
          </cell>
        </row>
        <row r="706">
          <cell r="A706">
            <v>149223</v>
          </cell>
          <cell r="B706" t="str">
            <v>Стул Sheffilton SHT-ST29/S71  красный RAL3020/дуб брашированный коричн</v>
          </cell>
          <cell r="C706">
            <v>4080</v>
          </cell>
          <cell r="E706">
            <v>269</v>
          </cell>
          <cell r="F706">
            <v>350</v>
          </cell>
        </row>
        <row r="707">
          <cell r="A707">
            <v>149480</v>
          </cell>
          <cell r="B707" t="str">
            <v>Стул Sheffilton SHT-ST29/S74  зеленый RAL6018/черный зол.патина</v>
          </cell>
          <cell r="C707">
            <v>5190</v>
          </cell>
          <cell r="E707">
            <v>342</v>
          </cell>
          <cell r="F707">
            <v>445</v>
          </cell>
        </row>
        <row r="708">
          <cell r="A708">
            <v>149251</v>
          </cell>
          <cell r="B708" t="str">
            <v>Стул Sheffilton SHT-ST29/S86 СТ-240 голубой Pan278/черный муар</v>
          </cell>
          <cell r="C708">
            <v>1486.67</v>
          </cell>
          <cell r="E708">
            <v>98</v>
          </cell>
          <cell r="F708">
            <v>127</v>
          </cell>
        </row>
        <row r="709">
          <cell r="A709">
            <v>199211</v>
          </cell>
          <cell r="B709" t="str">
            <v>Стул Sheffilton SHT-ST29/S95-1  бежевый/белый муар</v>
          </cell>
          <cell r="C709">
            <v>1886.67</v>
          </cell>
          <cell r="E709">
            <v>124</v>
          </cell>
          <cell r="F709">
            <v>161</v>
          </cell>
        </row>
        <row r="710">
          <cell r="A710">
            <v>192094</v>
          </cell>
          <cell r="B710" t="str">
            <v>Стул Sheffilton SHT-ST29/S95-1  желтый/черный муар</v>
          </cell>
          <cell r="C710">
            <v>1873.33</v>
          </cell>
          <cell r="E710">
            <v>123</v>
          </cell>
          <cell r="F710">
            <v>160</v>
          </cell>
        </row>
        <row r="711">
          <cell r="A711">
            <v>192099</v>
          </cell>
          <cell r="B711" t="str">
            <v>Стул Sheffilton SHT-ST29/S95-1  красный/черный муар</v>
          </cell>
          <cell r="C711">
            <v>1873.33</v>
          </cell>
          <cell r="E711">
            <v>123</v>
          </cell>
          <cell r="F711">
            <v>160</v>
          </cell>
        </row>
        <row r="712">
          <cell r="A712">
            <v>192100</v>
          </cell>
          <cell r="B712" t="str">
            <v>Стул Sheffilton SHT-ST29/S95-1  серый/черный муар</v>
          </cell>
          <cell r="C712">
            <v>1873.33</v>
          </cell>
          <cell r="E712">
            <v>123</v>
          </cell>
          <cell r="F712">
            <v>160</v>
          </cell>
        </row>
        <row r="713">
          <cell r="A713">
            <v>199212</v>
          </cell>
          <cell r="B713" t="str">
            <v>Стул Sheffilton SHT-ST29/S95-1  черный/белый муар</v>
          </cell>
          <cell r="C713">
            <v>1886.67</v>
          </cell>
          <cell r="E713">
            <v>124</v>
          </cell>
          <cell r="F713">
            <v>161</v>
          </cell>
        </row>
        <row r="714">
          <cell r="A714">
            <v>192085</v>
          </cell>
          <cell r="B714" t="str">
            <v>Стул Sheffilton SHT-ST29/S95-1 СТ-413 бежевый/черный муар</v>
          </cell>
          <cell r="C714">
            <v>1873.33</v>
          </cell>
          <cell r="E714">
            <v>123</v>
          </cell>
          <cell r="F714">
            <v>160</v>
          </cell>
        </row>
        <row r="715">
          <cell r="A715">
            <v>199210</v>
          </cell>
          <cell r="B715" t="str">
            <v>Стул Sheffilton SHT-ST29/S95-1 СТ-413 белый/белый муар</v>
          </cell>
          <cell r="C715">
            <v>1886.67</v>
          </cell>
          <cell r="E715">
            <v>124</v>
          </cell>
          <cell r="F715">
            <v>161</v>
          </cell>
        </row>
        <row r="716">
          <cell r="A716">
            <v>192090</v>
          </cell>
          <cell r="B716" t="str">
            <v>Стул Sheffilton SHT-ST29/S95-1 СТ-413 белый/черный муар</v>
          </cell>
          <cell r="C716">
            <v>1873.33</v>
          </cell>
          <cell r="E716">
            <v>123</v>
          </cell>
          <cell r="F716">
            <v>160</v>
          </cell>
        </row>
        <row r="717">
          <cell r="A717">
            <v>192097</v>
          </cell>
          <cell r="B717" t="str">
            <v>Стул Sheffilton SHT-ST29/S95-1 СТ-413 коричневый/черный муар</v>
          </cell>
          <cell r="C717">
            <v>1873.33</v>
          </cell>
          <cell r="E717">
            <v>123</v>
          </cell>
          <cell r="F717">
            <v>160</v>
          </cell>
        </row>
        <row r="718">
          <cell r="A718">
            <v>192103</v>
          </cell>
          <cell r="B718" t="str">
            <v>Стул Sheffilton SHT-ST29/S95-1 СТ-413 черный/черный муар/золото</v>
          </cell>
          <cell r="C718">
            <v>1906.67</v>
          </cell>
          <cell r="E718">
            <v>126</v>
          </cell>
          <cell r="F718">
            <v>164</v>
          </cell>
        </row>
        <row r="719">
          <cell r="A719">
            <v>170543</v>
          </cell>
          <cell r="B719" t="str">
            <v>Стул Sheffilton SHT-ST29/S98  белый/хром лак</v>
          </cell>
          <cell r="C719">
            <v>2346.67</v>
          </cell>
          <cell r="E719">
            <v>155</v>
          </cell>
          <cell r="F719">
            <v>202</v>
          </cell>
        </row>
        <row r="720">
          <cell r="A720">
            <v>149610</v>
          </cell>
          <cell r="B720" t="str">
            <v>Стул Sheffilton SHT-ST29/S98  черный/хром лак</v>
          </cell>
          <cell r="C720">
            <v>2346.67</v>
          </cell>
          <cell r="E720">
            <v>155</v>
          </cell>
          <cell r="F720">
            <v>202</v>
          </cell>
        </row>
        <row r="721">
          <cell r="A721">
            <v>157565</v>
          </cell>
          <cell r="B721" t="str">
            <v>Стул Sheffilton SHT-ST29-С12/S106  ежевичное вино/черный муар</v>
          </cell>
          <cell r="C721">
            <v>3240</v>
          </cell>
          <cell r="E721">
            <v>213</v>
          </cell>
          <cell r="F721">
            <v>277</v>
          </cell>
        </row>
        <row r="722">
          <cell r="A722">
            <v>151998</v>
          </cell>
          <cell r="B722" t="str">
            <v>Стул Sheffilton SHT-ST29-С12/S30  коричневый сахар/черный муар</v>
          </cell>
          <cell r="C722">
            <v>2200</v>
          </cell>
          <cell r="E722">
            <v>145</v>
          </cell>
          <cell r="F722">
            <v>189</v>
          </cell>
        </row>
        <row r="723">
          <cell r="A723">
            <v>151584</v>
          </cell>
          <cell r="B723" t="str">
            <v>Стул Sheffilton SHT-ST29-С12/S37 СТ-209 голубая лагуна/черный муар</v>
          </cell>
          <cell r="C723">
            <v>2373.33</v>
          </cell>
          <cell r="E723">
            <v>156</v>
          </cell>
          <cell r="F723">
            <v>203</v>
          </cell>
        </row>
        <row r="724">
          <cell r="A724">
            <v>151310</v>
          </cell>
          <cell r="B724" t="str">
            <v>Стул Sheffilton SHT-ST29-С12/S37 СТ-209 ежевичное вино/черный муар</v>
          </cell>
          <cell r="C724">
            <v>2373.33</v>
          </cell>
          <cell r="E724">
            <v>156</v>
          </cell>
          <cell r="F724">
            <v>203</v>
          </cell>
        </row>
        <row r="725">
          <cell r="A725">
            <v>151817</v>
          </cell>
          <cell r="B725" t="str">
            <v>Стул Sheffilton SHT-ST29-С12/S37 СТ-209 коричневый сахар/черный муар</v>
          </cell>
          <cell r="C725">
            <v>2233.33</v>
          </cell>
          <cell r="E725">
            <v>147</v>
          </cell>
          <cell r="F725">
            <v>191</v>
          </cell>
        </row>
        <row r="726">
          <cell r="A726">
            <v>199215</v>
          </cell>
          <cell r="B726" t="str">
            <v>Стул Sheffilton SHT-ST29-С12/S95-1  голубая лагуна/белый муар</v>
          </cell>
          <cell r="C726">
            <v>2673.33</v>
          </cell>
          <cell r="E726">
            <v>176</v>
          </cell>
          <cell r="F726">
            <v>229</v>
          </cell>
        </row>
        <row r="727">
          <cell r="A727">
            <v>192151</v>
          </cell>
          <cell r="B727" t="str">
            <v>Стул Sheffilton SHT-ST29-С12/S95-1  голубая лагуна/черный муар</v>
          </cell>
          <cell r="C727">
            <v>2660</v>
          </cell>
          <cell r="E727">
            <v>175</v>
          </cell>
          <cell r="F727">
            <v>228</v>
          </cell>
        </row>
        <row r="728">
          <cell r="A728">
            <v>192153</v>
          </cell>
          <cell r="B728" t="str">
            <v>Стул Sheffilton SHT-ST29-С12/S95-1  ежевичное вино/черный муар</v>
          </cell>
          <cell r="C728">
            <v>2660</v>
          </cell>
          <cell r="E728">
            <v>175</v>
          </cell>
          <cell r="F728">
            <v>228</v>
          </cell>
        </row>
        <row r="729">
          <cell r="A729">
            <v>192152</v>
          </cell>
          <cell r="B729" t="str">
            <v>Стул Sheffilton SHT-ST29-С12/S95-1  ежевичное вино/черный муар/золото</v>
          </cell>
          <cell r="C729">
            <v>2693.33</v>
          </cell>
          <cell r="E729">
            <v>177</v>
          </cell>
          <cell r="F729">
            <v>230</v>
          </cell>
        </row>
        <row r="730">
          <cell r="A730">
            <v>192154</v>
          </cell>
          <cell r="B730" t="str">
            <v>Стул Sheffilton SHT-ST29-С12/S95-1  коричневый сахар/черный муар</v>
          </cell>
          <cell r="C730">
            <v>2520</v>
          </cell>
          <cell r="E730">
            <v>166</v>
          </cell>
          <cell r="F730">
            <v>216</v>
          </cell>
        </row>
        <row r="731">
          <cell r="A731">
            <v>990955</v>
          </cell>
          <cell r="B731" t="str">
            <v>Стул Sheffilton SHT-ST29-С12/S98  голубая лагуна/хром лак</v>
          </cell>
          <cell r="C731">
            <v>3133.33</v>
          </cell>
          <cell r="E731">
            <v>206</v>
          </cell>
          <cell r="F731">
            <v>268</v>
          </cell>
        </row>
        <row r="732">
          <cell r="A732">
            <v>163688</v>
          </cell>
          <cell r="B732" t="str">
            <v>Стул Sheffilton SHT-ST29-С1/S106  морская глубина/хром лак</v>
          </cell>
          <cell r="C732">
            <v>3233.33</v>
          </cell>
          <cell r="E732">
            <v>213</v>
          </cell>
          <cell r="F732">
            <v>277</v>
          </cell>
        </row>
        <row r="733">
          <cell r="A733">
            <v>202981</v>
          </cell>
          <cell r="B733" t="str">
            <v>Стул Sheffilton SHT-ST29-С1/S37-1  лунный камень/черный муар</v>
          </cell>
          <cell r="C733">
            <v>2366.67</v>
          </cell>
          <cell r="E733">
            <v>156</v>
          </cell>
          <cell r="F733">
            <v>203</v>
          </cell>
        </row>
        <row r="734">
          <cell r="A734">
            <v>155634</v>
          </cell>
          <cell r="B734" t="str">
            <v>Стул Sheffilton SHT-ST29-С1/S39 СТ-303 оливковый/венге</v>
          </cell>
          <cell r="C734">
            <v>3686.67</v>
          </cell>
          <cell r="E734">
            <v>243</v>
          </cell>
          <cell r="F734">
            <v>316</v>
          </cell>
        </row>
        <row r="735">
          <cell r="A735">
            <v>192134</v>
          </cell>
          <cell r="B735" t="str">
            <v>Стул Sheffilton SHT-ST29-С1/S95-1  лунный камень/черный муар</v>
          </cell>
          <cell r="C735">
            <v>2586.67</v>
          </cell>
          <cell r="E735">
            <v>170</v>
          </cell>
          <cell r="F735">
            <v>221</v>
          </cell>
        </row>
        <row r="736">
          <cell r="A736">
            <v>192140</v>
          </cell>
          <cell r="B736" t="str">
            <v>Стул Sheffilton SHT-ST29-С1/S95-1  морская глубина/черный муар</v>
          </cell>
          <cell r="C736">
            <v>2586.67</v>
          </cell>
          <cell r="E736">
            <v>170</v>
          </cell>
          <cell r="F736">
            <v>221</v>
          </cell>
        </row>
        <row r="737">
          <cell r="A737">
            <v>192136</v>
          </cell>
          <cell r="B737" t="str">
            <v>Стул Sheffilton SHT-ST29-С1/S95-1  морская глубина/черный муар/золото</v>
          </cell>
          <cell r="C737">
            <v>2620</v>
          </cell>
          <cell r="E737">
            <v>173</v>
          </cell>
          <cell r="F737">
            <v>225</v>
          </cell>
        </row>
        <row r="738">
          <cell r="A738">
            <v>199216</v>
          </cell>
          <cell r="B738" t="str">
            <v>Стул Sheffilton SHT-ST29-С1/S95-1  оливковый/белый муар</v>
          </cell>
          <cell r="C738">
            <v>2606.67</v>
          </cell>
          <cell r="E738">
            <v>172</v>
          </cell>
          <cell r="F738">
            <v>224</v>
          </cell>
        </row>
        <row r="739">
          <cell r="A739">
            <v>192141</v>
          </cell>
          <cell r="B739" t="str">
            <v>Стул Sheffilton SHT-ST29-С1/S95-1  оливковый/черный муар</v>
          </cell>
          <cell r="C739">
            <v>2593.33</v>
          </cell>
          <cell r="E739">
            <v>171</v>
          </cell>
          <cell r="F739">
            <v>222</v>
          </cell>
        </row>
        <row r="740">
          <cell r="A740">
            <v>188816</v>
          </cell>
          <cell r="B740" t="str">
            <v>Стул Sheffilton SHT-ST29-С20/S37  серый туман/золото</v>
          </cell>
          <cell r="C740">
            <v>2466.67</v>
          </cell>
          <cell r="E740">
            <v>163</v>
          </cell>
          <cell r="F740">
            <v>212</v>
          </cell>
        </row>
        <row r="741">
          <cell r="A741">
            <v>168734</v>
          </cell>
          <cell r="B741" t="str">
            <v>Стул Sheffilton SHT-ST29-С20/S37 СТ-295 серый туман/хром лак</v>
          </cell>
          <cell r="C741">
            <v>2466.67</v>
          </cell>
          <cell r="E741">
            <v>163</v>
          </cell>
          <cell r="F741">
            <v>212</v>
          </cell>
        </row>
        <row r="742">
          <cell r="A742">
            <v>168732</v>
          </cell>
          <cell r="B742" t="str">
            <v>Стул Sheffilton SHT-ST29-С20/S39  серый туман/серый</v>
          </cell>
          <cell r="C742">
            <v>2940</v>
          </cell>
          <cell r="E742">
            <v>194</v>
          </cell>
          <cell r="F742">
            <v>252</v>
          </cell>
        </row>
        <row r="743">
          <cell r="A743">
            <v>971827</v>
          </cell>
          <cell r="B743" t="str">
            <v>Стул Sheffilton SHT-ST29-С20/S64 СТ-521 серый туман/черный муар</v>
          </cell>
          <cell r="C743">
            <v>2540</v>
          </cell>
          <cell r="E743">
            <v>167</v>
          </cell>
          <cell r="F743">
            <v>217</v>
          </cell>
        </row>
        <row r="744">
          <cell r="A744">
            <v>192155</v>
          </cell>
          <cell r="B744" t="str">
            <v>Стул Sheffilton SHT-ST29-С20/S95-1  серый туман/черный муар</v>
          </cell>
          <cell r="C744">
            <v>2660</v>
          </cell>
          <cell r="E744">
            <v>175</v>
          </cell>
          <cell r="F744">
            <v>228</v>
          </cell>
        </row>
        <row r="745">
          <cell r="A745">
            <v>192209</v>
          </cell>
          <cell r="B745" t="str">
            <v>Стул Sheffilton SHT-ST29-С20/S95-1  серый туман/черный муар/золото</v>
          </cell>
          <cell r="C745">
            <v>2693.33</v>
          </cell>
          <cell r="E745">
            <v>177</v>
          </cell>
          <cell r="F745">
            <v>230</v>
          </cell>
        </row>
        <row r="746">
          <cell r="A746">
            <v>188817</v>
          </cell>
          <cell r="B746" t="str">
            <v>Стул Sheffilton SHT-ST29-С4/S37  графит/золото</v>
          </cell>
          <cell r="C746">
            <v>2400</v>
          </cell>
          <cell r="E746">
            <v>158</v>
          </cell>
          <cell r="F746">
            <v>205</v>
          </cell>
        </row>
        <row r="747">
          <cell r="A747">
            <v>151295</v>
          </cell>
          <cell r="B747" t="str">
            <v>Стул Sheffilton SHT-ST29-С4/S37 СТ-325 графит/черный муар</v>
          </cell>
          <cell r="C747">
            <v>2306.67</v>
          </cell>
          <cell r="E747">
            <v>152</v>
          </cell>
          <cell r="F747">
            <v>198</v>
          </cell>
        </row>
        <row r="748">
          <cell r="A748">
            <v>199218</v>
          </cell>
          <cell r="B748" t="str">
            <v>Стул Sheffilton SHT-ST29-С4/S95-1  графит/белый муар</v>
          </cell>
          <cell r="C748">
            <v>2606.67</v>
          </cell>
          <cell r="E748">
            <v>172</v>
          </cell>
          <cell r="F748">
            <v>224</v>
          </cell>
        </row>
        <row r="749">
          <cell r="A749">
            <v>192146</v>
          </cell>
          <cell r="B749" t="str">
            <v>Стул Sheffilton SHT-ST29-С4/S95-1  графит/черный муар</v>
          </cell>
          <cell r="C749">
            <v>2593.33</v>
          </cell>
          <cell r="E749">
            <v>171</v>
          </cell>
          <cell r="F749">
            <v>222</v>
          </cell>
        </row>
        <row r="750">
          <cell r="A750">
            <v>192143</v>
          </cell>
          <cell r="B750" t="str">
            <v>Стул Sheffilton SHT-ST29-С4/S95-1  графит/черный муар/золото</v>
          </cell>
          <cell r="C750">
            <v>2626.67</v>
          </cell>
          <cell r="E750">
            <v>173</v>
          </cell>
          <cell r="F750">
            <v>225</v>
          </cell>
        </row>
        <row r="751">
          <cell r="A751">
            <v>152197</v>
          </cell>
          <cell r="B751" t="str">
            <v>Стул Sheffilton SHT-ST29-С/S100 СТ-237 пепельный/хром лак</v>
          </cell>
          <cell r="C751">
            <v>2353.33</v>
          </cell>
          <cell r="E751">
            <v>155</v>
          </cell>
          <cell r="F751">
            <v>202</v>
          </cell>
        </row>
        <row r="752">
          <cell r="A752">
            <v>155823</v>
          </cell>
          <cell r="B752" t="str">
            <v>Стул Sheffilton SHT-ST29-С/S100 СТ-237 пепельный/черный муар</v>
          </cell>
          <cell r="C752">
            <v>2266.67</v>
          </cell>
          <cell r="E752">
            <v>149</v>
          </cell>
          <cell r="F752">
            <v>194</v>
          </cell>
        </row>
        <row r="753">
          <cell r="A753">
            <v>202982</v>
          </cell>
          <cell r="B753" t="str">
            <v>Стул Sheffilton SHT-ST29-С/S37-1  пепельный/черный муар</v>
          </cell>
          <cell r="C753">
            <v>2213.33</v>
          </cell>
          <cell r="E753">
            <v>146</v>
          </cell>
          <cell r="F753">
            <v>190</v>
          </cell>
        </row>
        <row r="754">
          <cell r="A754">
            <v>155633</v>
          </cell>
          <cell r="B754" t="str">
            <v>Стул Sheffilton SHT-ST29-С/S39  жемчужный/венге</v>
          </cell>
          <cell r="C754">
            <v>3680</v>
          </cell>
          <cell r="E754">
            <v>242</v>
          </cell>
          <cell r="F754">
            <v>315</v>
          </cell>
        </row>
        <row r="755">
          <cell r="A755">
            <v>165587</v>
          </cell>
          <cell r="B755" t="str">
            <v>Стул Sheffilton SHT-ST29-С/S39 СТ-475 жемчужный/прозрачный лак</v>
          </cell>
          <cell r="C755">
            <v>3560</v>
          </cell>
          <cell r="E755">
            <v>235</v>
          </cell>
          <cell r="F755">
            <v>306</v>
          </cell>
        </row>
        <row r="756">
          <cell r="A756">
            <v>199217</v>
          </cell>
          <cell r="B756" t="str">
            <v>Стул Sheffilton SHT-ST29-С/S95-1  жемчужный/белый муар</v>
          </cell>
          <cell r="C756">
            <v>2600</v>
          </cell>
          <cell r="E756">
            <v>171</v>
          </cell>
          <cell r="F756">
            <v>222</v>
          </cell>
        </row>
        <row r="757">
          <cell r="A757">
            <v>192119</v>
          </cell>
          <cell r="B757" t="str">
            <v>Стул Sheffilton SHT-ST29-С/S95-1  жемчужный/черный муар</v>
          </cell>
          <cell r="C757">
            <v>2586.67</v>
          </cell>
          <cell r="E757">
            <v>170</v>
          </cell>
          <cell r="F757">
            <v>221</v>
          </cell>
        </row>
        <row r="758">
          <cell r="A758">
            <v>192128</v>
          </cell>
          <cell r="B758" t="str">
            <v>Стул Sheffilton SHT-ST29-С/S95-1  пепельный/черный муар</v>
          </cell>
          <cell r="C758">
            <v>2433.33</v>
          </cell>
          <cell r="E758">
            <v>160</v>
          </cell>
          <cell r="F758">
            <v>208</v>
          </cell>
        </row>
        <row r="759">
          <cell r="A759">
            <v>192129</v>
          </cell>
          <cell r="B759" t="str">
            <v>Стул Sheffilton SHT-ST29-С/S95-1 СТ-450 лунный камень/черный муар/золото</v>
          </cell>
          <cell r="C759">
            <v>2620</v>
          </cell>
          <cell r="E759">
            <v>173</v>
          </cell>
          <cell r="F759">
            <v>225</v>
          </cell>
        </row>
        <row r="760">
          <cell r="A760">
            <v>202980</v>
          </cell>
          <cell r="B760" t="str">
            <v>Стул Sheffilton SHT-ST31-1/S37-1  пепельный/черный муар</v>
          </cell>
          <cell r="C760">
            <v>3306.67</v>
          </cell>
          <cell r="E760">
            <v>218</v>
          </cell>
          <cell r="F760">
            <v>283</v>
          </cell>
        </row>
        <row r="761">
          <cell r="A761">
            <v>155755</v>
          </cell>
          <cell r="B761" t="str">
            <v>Стул Sheffilton SHT-ST31-C1/S100 СТ-259 ледяная лаванда/черный муар</v>
          </cell>
          <cell r="C761">
            <v>3460</v>
          </cell>
          <cell r="E761">
            <v>228</v>
          </cell>
          <cell r="F761">
            <v>296</v>
          </cell>
        </row>
        <row r="762">
          <cell r="A762">
            <v>178715</v>
          </cell>
          <cell r="B762" t="str">
            <v>Стул Sheffilton SHT-ST31-C1/S112  пепельный/черный муар</v>
          </cell>
          <cell r="C762">
            <v>4440</v>
          </cell>
          <cell r="E762">
            <v>293</v>
          </cell>
          <cell r="F762">
            <v>381</v>
          </cell>
        </row>
        <row r="763">
          <cell r="A763">
            <v>154483</v>
          </cell>
          <cell r="B763" t="str">
            <v>Стул Sheffilton SHT-ST31-C1/S39 СТ-232 пепельный/темный орех</v>
          </cell>
          <cell r="C763">
            <v>4620</v>
          </cell>
          <cell r="E763">
            <v>304</v>
          </cell>
          <cell r="F763">
            <v>395</v>
          </cell>
        </row>
        <row r="764">
          <cell r="A764">
            <v>149701</v>
          </cell>
          <cell r="B764" t="str">
            <v>Стул Sheffilton SHT-ST31-C1/S64  ледяная лаванда/черный муар</v>
          </cell>
          <cell r="C764">
            <v>3506.67</v>
          </cell>
          <cell r="E764">
            <v>231</v>
          </cell>
          <cell r="F764">
            <v>300</v>
          </cell>
        </row>
        <row r="765">
          <cell r="A765">
            <v>149744</v>
          </cell>
          <cell r="B765" t="str">
            <v>Стул Sheffilton SHT-ST31-C1/S64  пепельный/черный муар</v>
          </cell>
          <cell r="C765">
            <v>3406.67</v>
          </cell>
          <cell r="E765">
            <v>224</v>
          </cell>
          <cell r="F765">
            <v>291</v>
          </cell>
        </row>
        <row r="766">
          <cell r="A766">
            <v>153267</v>
          </cell>
          <cell r="B766" t="str">
            <v>Стул Sheffilton SHT-ST31-C1/S74  пепельный/черный зол.патина</v>
          </cell>
          <cell r="C766">
            <v>6843.33</v>
          </cell>
          <cell r="E766">
            <v>451</v>
          </cell>
          <cell r="F766">
            <v>586</v>
          </cell>
        </row>
        <row r="767">
          <cell r="A767">
            <v>154410</v>
          </cell>
          <cell r="B767" t="str">
            <v>Стул Sheffilton SHT-ST31-C2/S100 CТ-236 лунный камень/черный муар</v>
          </cell>
          <cell r="C767">
            <v>3520</v>
          </cell>
          <cell r="E767">
            <v>232</v>
          </cell>
          <cell r="F767">
            <v>302</v>
          </cell>
        </row>
        <row r="768">
          <cell r="A768">
            <v>185843</v>
          </cell>
          <cell r="B768" t="str">
            <v>Стул Sheffilton SHT-ST31-C2/S113 СТ-331 аквамарин/черный муар</v>
          </cell>
          <cell r="C768">
            <v>4146.67</v>
          </cell>
          <cell r="E768">
            <v>273</v>
          </cell>
          <cell r="F768">
            <v>355</v>
          </cell>
        </row>
        <row r="769">
          <cell r="A769">
            <v>149662</v>
          </cell>
          <cell r="B769" t="str">
            <v>Стул Sheffilton SHT-ST31-C2/S64  аквамарин/черный муар</v>
          </cell>
          <cell r="C769">
            <v>3560</v>
          </cell>
          <cell r="E769">
            <v>235</v>
          </cell>
          <cell r="F769">
            <v>306</v>
          </cell>
        </row>
        <row r="770">
          <cell r="A770">
            <v>155822</v>
          </cell>
          <cell r="B770" t="str">
            <v>Стул Sheffilton SHT-ST31/S100 СТ-264 бежевый/черный муар</v>
          </cell>
          <cell r="C770">
            <v>2030</v>
          </cell>
          <cell r="E770">
            <v>134</v>
          </cell>
          <cell r="F770">
            <v>174</v>
          </cell>
        </row>
        <row r="771">
          <cell r="A771">
            <v>155544</v>
          </cell>
          <cell r="B771" t="str">
            <v>Стул Sheffilton SHT-ST31/S100 СТ-264 белый/хром лак</v>
          </cell>
          <cell r="C771">
            <v>2116.67</v>
          </cell>
          <cell r="E771">
            <v>139</v>
          </cell>
          <cell r="F771">
            <v>181</v>
          </cell>
        </row>
        <row r="772">
          <cell r="A772">
            <v>157754</v>
          </cell>
          <cell r="B772" t="str">
            <v>Стул Sheffilton SHT-ST31/S106  белый/хром лак</v>
          </cell>
          <cell r="C772">
            <v>2843.33</v>
          </cell>
          <cell r="E772">
            <v>187</v>
          </cell>
          <cell r="F772">
            <v>243</v>
          </cell>
        </row>
        <row r="773">
          <cell r="A773">
            <v>162281</v>
          </cell>
          <cell r="B773" t="str">
            <v>Стул Sheffilton SHT-ST31/S107  бежевый/хром лак</v>
          </cell>
          <cell r="C773">
            <v>2163.33</v>
          </cell>
          <cell r="E773">
            <v>143</v>
          </cell>
          <cell r="F773">
            <v>186</v>
          </cell>
        </row>
        <row r="774">
          <cell r="A774">
            <v>188809</v>
          </cell>
          <cell r="B774" t="str">
            <v>Стул Sheffilton SHT-ST31/S37 СТ-249 бежевый/золото</v>
          </cell>
          <cell r="C774">
            <v>2003.33</v>
          </cell>
          <cell r="E774">
            <v>132</v>
          </cell>
          <cell r="F774">
            <v>172</v>
          </cell>
        </row>
        <row r="775">
          <cell r="A775">
            <v>149319</v>
          </cell>
          <cell r="B775" t="str">
            <v>Стул Sheffilton SHT-ST31/S37 СТ-249 красный RAL3020/черный муар</v>
          </cell>
          <cell r="C775">
            <v>1910</v>
          </cell>
          <cell r="E775">
            <v>126</v>
          </cell>
          <cell r="F775">
            <v>164</v>
          </cell>
        </row>
        <row r="776">
          <cell r="A776">
            <v>149344</v>
          </cell>
          <cell r="B776" t="str">
            <v>Стул Sheffilton SHT-ST31/S39 СТ-263 белый/дуб выбеленный</v>
          </cell>
          <cell r="C776">
            <v>3316.67</v>
          </cell>
          <cell r="E776">
            <v>218</v>
          </cell>
          <cell r="F776">
            <v>283</v>
          </cell>
        </row>
        <row r="777">
          <cell r="A777">
            <v>149343</v>
          </cell>
          <cell r="B777" t="str">
            <v>Стул Sheffilton SHT-ST31/S39 СТ-263 красный RAL3020/прозрачный лак</v>
          </cell>
          <cell r="C777">
            <v>3170</v>
          </cell>
          <cell r="E777">
            <v>209</v>
          </cell>
          <cell r="F777">
            <v>272</v>
          </cell>
        </row>
        <row r="778">
          <cell r="A778">
            <v>149335</v>
          </cell>
          <cell r="B778" t="str">
            <v>Стул Sheffilton SHT-ST31/S64  бежевый/хром лак</v>
          </cell>
          <cell r="C778">
            <v>2176.67</v>
          </cell>
          <cell r="E778">
            <v>143</v>
          </cell>
          <cell r="F778">
            <v>186</v>
          </cell>
        </row>
        <row r="779">
          <cell r="A779">
            <v>207816</v>
          </cell>
          <cell r="B779" t="str">
            <v>Стул Sheffilton SHT-ST31/S64  белый/черный муар</v>
          </cell>
          <cell r="C779">
            <v>2076.67</v>
          </cell>
          <cell r="E779">
            <v>137</v>
          </cell>
          <cell r="F779">
            <v>178</v>
          </cell>
        </row>
        <row r="780">
          <cell r="A780">
            <v>203539</v>
          </cell>
          <cell r="B780" t="str">
            <v>Стул Sheffilton SHT-ST31/S64  красный/черный муар</v>
          </cell>
          <cell r="C780">
            <v>2076.67</v>
          </cell>
          <cell r="E780">
            <v>137</v>
          </cell>
          <cell r="F780">
            <v>178</v>
          </cell>
        </row>
        <row r="781">
          <cell r="A781">
            <v>207818</v>
          </cell>
          <cell r="B781" t="str">
            <v>Стул Sheffilton SHT-ST31/S64  черный/черный муар</v>
          </cell>
          <cell r="C781">
            <v>2100</v>
          </cell>
          <cell r="E781">
            <v>138</v>
          </cell>
          <cell r="F781">
            <v>179</v>
          </cell>
        </row>
        <row r="782">
          <cell r="A782">
            <v>207817</v>
          </cell>
          <cell r="B782" t="str">
            <v>Стул Sheffilton SHT-ST31/S64 СТ-492 белый/хром лак</v>
          </cell>
          <cell r="C782">
            <v>2176.67</v>
          </cell>
          <cell r="E782">
            <v>143</v>
          </cell>
          <cell r="F782">
            <v>186</v>
          </cell>
        </row>
        <row r="783">
          <cell r="A783">
            <v>149342</v>
          </cell>
          <cell r="B783" t="str">
            <v>Стул Sheffilton SHT-ST31/S70  белый/темный орех/черный</v>
          </cell>
          <cell r="C783">
            <v>3363.33</v>
          </cell>
          <cell r="E783">
            <v>222</v>
          </cell>
          <cell r="F783">
            <v>289</v>
          </cell>
        </row>
        <row r="784">
          <cell r="A784">
            <v>192104</v>
          </cell>
          <cell r="B784" t="str">
            <v>Стул Sheffilton SHT-ST31/S95-1  белый/черный муар</v>
          </cell>
          <cell r="C784">
            <v>2196.67</v>
          </cell>
          <cell r="E784">
            <v>145</v>
          </cell>
          <cell r="F784">
            <v>189</v>
          </cell>
        </row>
        <row r="785">
          <cell r="A785">
            <v>192105</v>
          </cell>
          <cell r="B785" t="str">
            <v>Стул Sheffilton SHT-ST31/S95-1  красный/черный муар</v>
          </cell>
          <cell r="C785">
            <v>2196.67</v>
          </cell>
          <cell r="E785">
            <v>145</v>
          </cell>
          <cell r="F785">
            <v>189</v>
          </cell>
        </row>
        <row r="786">
          <cell r="A786">
            <v>199214</v>
          </cell>
          <cell r="B786" t="str">
            <v>Стул Sheffilton SHT-ST31/S95-1  черный/белый муар</v>
          </cell>
          <cell r="C786">
            <v>2233.33</v>
          </cell>
          <cell r="E786">
            <v>147</v>
          </cell>
          <cell r="F786">
            <v>191</v>
          </cell>
        </row>
        <row r="787">
          <cell r="A787">
            <v>192106</v>
          </cell>
          <cell r="B787" t="str">
            <v>Стул Sheffilton SHT-ST31/S95-1  черный/черный муар/золото</v>
          </cell>
          <cell r="C787">
            <v>2253.33</v>
          </cell>
          <cell r="E787">
            <v>148</v>
          </cell>
          <cell r="F787">
            <v>192</v>
          </cell>
        </row>
        <row r="788">
          <cell r="A788">
            <v>199213</v>
          </cell>
          <cell r="B788" t="str">
            <v>Стул Sheffilton SHT-ST31/S95-1 СТ-425 белый/белый муар</v>
          </cell>
          <cell r="C788">
            <v>2210</v>
          </cell>
          <cell r="E788">
            <v>146</v>
          </cell>
          <cell r="F788">
            <v>190</v>
          </cell>
        </row>
        <row r="789">
          <cell r="A789">
            <v>154478</v>
          </cell>
          <cell r="B789" t="str">
            <v>Стул Sheffilton SHT-ST31-С1/S39 СТ-232 ледяная лаванда/серый</v>
          </cell>
          <cell r="C789">
            <v>3906.67</v>
          </cell>
          <cell r="E789">
            <v>257</v>
          </cell>
          <cell r="F789">
            <v>334</v>
          </cell>
        </row>
        <row r="790">
          <cell r="A790">
            <v>199581</v>
          </cell>
          <cell r="B790" t="str">
            <v>Стул Sheffilton SHT-ST31-С1/S95-1  ледяная лаванда/белый муар</v>
          </cell>
          <cell r="C790">
            <v>3640</v>
          </cell>
          <cell r="E790">
            <v>240</v>
          </cell>
          <cell r="F790">
            <v>312</v>
          </cell>
        </row>
        <row r="791">
          <cell r="A791">
            <v>192112</v>
          </cell>
          <cell r="B791" t="str">
            <v>Стул Sheffilton SHT-ST31-С1/S95-1 СТ-471 ледяная лаванда/черный муар</v>
          </cell>
          <cell r="C791">
            <v>3626.67</v>
          </cell>
          <cell r="E791">
            <v>239</v>
          </cell>
          <cell r="F791">
            <v>311</v>
          </cell>
        </row>
        <row r="792">
          <cell r="A792">
            <v>165641</v>
          </cell>
          <cell r="B792" t="str">
            <v>Стул Sheffilton SHT-ST31-С2/S106  аквамарин/черный муар</v>
          </cell>
          <cell r="C792">
            <v>4260</v>
          </cell>
          <cell r="E792">
            <v>281</v>
          </cell>
          <cell r="F792">
            <v>365</v>
          </cell>
        </row>
        <row r="793">
          <cell r="A793">
            <v>162283</v>
          </cell>
          <cell r="B793" t="str">
            <v>Стул Sheffilton SHT-ST31-С2/S107 СТ-260 кремовый/хром лак</v>
          </cell>
          <cell r="C793">
            <v>3673.33</v>
          </cell>
          <cell r="E793">
            <v>242</v>
          </cell>
          <cell r="F793">
            <v>315</v>
          </cell>
        </row>
        <row r="794">
          <cell r="A794">
            <v>188808</v>
          </cell>
          <cell r="B794" t="str">
            <v>Стул Sheffilton SHT-ST31-С2/S37 СТ-261 аквамарин/золото</v>
          </cell>
          <cell r="C794">
            <v>3486.67</v>
          </cell>
          <cell r="E794">
            <v>230</v>
          </cell>
          <cell r="F794">
            <v>299</v>
          </cell>
        </row>
        <row r="795">
          <cell r="A795">
            <v>168822</v>
          </cell>
          <cell r="B795" t="str">
            <v>Стул Sheffilton SHT-ST31-С2/S37 СТ-261 аквамарин/хром лак</v>
          </cell>
          <cell r="C795">
            <v>3486.67</v>
          </cell>
          <cell r="E795">
            <v>230</v>
          </cell>
          <cell r="F795">
            <v>299</v>
          </cell>
        </row>
        <row r="796">
          <cell r="A796">
            <v>165640</v>
          </cell>
          <cell r="B796" t="str">
            <v>Стул Sheffilton SHT-ST31-С2/S39  аквамарин/брашированный корич.</v>
          </cell>
          <cell r="C796">
            <v>5126.67</v>
          </cell>
          <cell r="E796">
            <v>338</v>
          </cell>
          <cell r="F796">
            <v>439</v>
          </cell>
        </row>
        <row r="797">
          <cell r="A797">
            <v>154397</v>
          </cell>
          <cell r="B797" t="str">
            <v>Стул Sheffilton SHT-ST31-С2/S39 СТ-233 кремовый/темный орех</v>
          </cell>
          <cell r="C797">
            <v>4800</v>
          </cell>
          <cell r="E797">
            <v>316</v>
          </cell>
          <cell r="F797">
            <v>411</v>
          </cell>
        </row>
        <row r="798">
          <cell r="A798">
            <v>154409</v>
          </cell>
          <cell r="B798" t="str">
            <v>Стул Sheffilton SHT-ST31-С2/S39 СТ-233 лунный камень/венге</v>
          </cell>
          <cell r="C798">
            <v>4780</v>
          </cell>
          <cell r="E798">
            <v>315</v>
          </cell>
          <cell r="F798">
            <v>410</v>
          </cell>
        </row>
        <row r="799">
          <cell r="A799">
            <v>199580</v>
          </cell>
          <cell r="B799" t="str">
            <v>Стул Sheffilton SHT-ST31-С2/S95-1  аквамарин/белый муар</v>
          </cell>
          <cell r="C799">
            <v>3693.33</v>
          </cell>
          <cell r="E799">
            <v>243</v>
          </cell>
          <cell r="F799">
            <v>316</v>
          </cell>
        </row>
        <row r="800">
          <cell r="A800">
            <v>192117</v>
          </cell>
          <cell r="B800" t="str">
            <v>Стул Sheffilton SHT-ST31-С2/S95-1  кремовый/черный муар</v>
          </cell>
          <cell r="C800">
            <v>3706.67</v>
          </cell>
          <cell r="E800">
            <v>244</v>
          </cell>
          <cell r="F800">
            <v>317</v>
          </cell>
        </row>
        <row r="801">
          <cell r="A801">
            <v>192118</v>
          </cell>
          <cell r="B801" t="str">
            <v>Стул Sheffilton SHT-ST31-С2/S95-1  лунный камень/черный муар</v>
          </cell>
          <cell r="C801">
            <v>3686.67</v>
          </cell>
          <cell r="E801">
            <v>243</v>
          </cell>
          <cell r="F801">
            <v>316</v>
          </cell>
        </row>
        <row r="802">
          <cell r="A802">
            <v>192115</v>
          </cell>
          <cell r="B802" t="str">
            <v>Стул Sheffilton SHT-ST31-С2/S95-1 СТ-509 аквамарин/черный муар/золото</v>
          </cell>
          <cell r="C802">
            <v>3713.33</v>
          </cell>
          <cell r="E802">
            <v>245</v>
          </cell>
          <cell r="F802">
            <v>319</v>
          </cell>
        </row>
        <row r="803">
          <cell r="A803">
            <v>199579</v>
          </cell>
          <cell r="B803" t="str">
            <v>Стул Sheffilton SHT-ST31-С3/S95-1  лунный камень/белый муар</v>
          </cell>
          <cell r="C803">
            <v>3700</v>
          </cell>
          <cell r="E803">
            <v>244</v>
          </cell>
          <cell r="F803">
            <v>317</v>
          </cell>
        </row>
        <row r="804">
          <cell r="A804">
            <v>206779</v>
          </cell>
          <cell r="B804" t="str">
            <v>Стул Sheffilton SHT-ST33-1/S100  альпийский бирюзовый/черный муар</v>
          </cell>
          <cell r="C804">
            <v>4566.67</v>
          </cell>
          <cell r="E804">
            <v>301</v>
          </cell>
          <cell r="F804">
            <v>391</v>
          </cell>
        </row>
        <row r="805">
          <cell r="A805">
            <v>206777</v>
          </cell>
          <cell r="B805" t="str">
            <v>Стул Sheffilton SHT-ST33-1/S106 СТ-472 альпийский бирюзовый/черный муар</v>
          </cell>
          <cell r="C805">
            <v>5313.33</v>
          </cell>
          <cell r="E805">
            <v>350</v>
          </cell>
          <cell r="F805">
            <v>455</v>
          </cell>
        </row>
        <row r="806">
          <cell r="A806">
            <v>206778</v>
          </cell>
          <cell r="B806" t="str">
            <v>Стул Sheffilton SHT-ST33-1/S112  альпийский бирюзовый/черный муар</v>
          </cell>
          <cell r="C806">
            <v>5646.67</v>
          </cell>
          <cell r="E806">
            <v>372</v>
          </cell>
          <cell r="F806">
            <v>484</v>
          </cell>
        </row>
        <row r="807">
          <cell r="A807">
            <v>206780</v>
          </cell>
          <cell r="B807" t="str">
            <v>Стул Sheffilton SHT-ST33-1/S122  альпийский бирюзовый/темный орех/чер.муа</v>
          </cell>
          <cell r="C807">
            <v>6813.33</v>
          </cell>
          <cell r="E807">
            <v>449</v>
          </cell>
          <cell r="F807">
            <v>584</v>
          </cell>
        </row>
        <row r="808">
          <cell r="A808">
            <v>210790</v>
          </cell>
          <cell r="B808" t="str">
            <v>Стул Sheffilton SHT-ST33-1/S129  альпийский бирюзовый/венге крупный</v>
          </cell>
          <cell r="C808">
            <v>5393.33</v>
          </cell>
          <cell r="E808">
            <v>355</v>
          </cell>
          <cell r="F808">
            <v>462</v>
          </cell>
        </row>
        <row r="809">
          <cell r="A809">
            <v>206572</v>
          </cell>
          <cell r="B809" t="str">
            <v>Стул Sheffilton SHT-ST33-1/S129  альпийский бирюзовый/черный муар</v>
          </cell>
          <cell r="C809">
            <v>4580</v>
          </cell>
          <cell r="E809">
            <v>302</v>
          </cell>
          <cell r="F809">
            <v>393</v>
          </cell>
        </row>
        <row r="810">
          <cell r="A810">
            <v>206768</v>
          </cell>
          <cell r="B810" t="str">
            <v>Стул Sheffilton SHT-ST33-1/S37  альпийский бирюзовый/золото</v>
          </cell>
          <cell r="C810">
            <v>4540</v>
          </cell>
          <cell r="E810">
            <v>299</v>
          </cell>
          <cell r="F810">
            <v>389</v>
          </cell>
        </row>
        <row r="811">
          <cell r="A811">
            <v>206769</v>
          </cell>
          <cell r="B811" t="str">
            <v>Стул Sheffilton SHT-ST33-1/S37  альпийский бирюзовый/медный металлик</v>
          </cell>
          <cell r="C811">
            <v>4446.67</v>
          </cell>
          <cell r="E811">
            <v>293</v>
          </cell>
          <cell r="F811">
            <v>381</v>
          </cell>
        </row>
        <row r="812">
          <cell r="A812">
            <v>206767</v>
          </cell>
          <cell r="B812" t="str">
            <v>Стул Sheffilton SHT-ST33-1/S37  альпийский бирюзовый/черный муар</v>
          </cell>
          <cell r="C812">
            <v>4446.67</v>
          </cell>
          <cell r="E812">
            <v>293</v>
          </cell>
          <cell r="F812">
            <v>381</v>
          </cell>
        </row>
        <row r="813">
          <cell r="A813">
            <v>206770</v>
          </cell>
          <cell r="B813" t="str">
            <v>Стул Sheffilton SHT-ST33-1/S38  альпийский бирюзовый/черный муар</v>
          </cell>
          <cell r="C813">
            <v>4573.33</v>
          </cell>
          <cell r="E813">
            <v>301</v>
          </cell>
          <cell r="F813">
            <v>391</v>
          </cell>
        </row>
        <row r="814">
          <cell r="A814">
            <v>206773</v>
          </cell>
          <cell r="B814" t="str">
            <v>Стул Sheffilton SHT-ST33-1/S39  альпийский бирюзовый/венге</v>
          </cell>
          <cell r="C814">
            <v>5826.67</v>
          </cell>
          <cell r="E814">
            <v>384</v>
          </cell>
          <cell r="F814">
            <v>499</v>
          </cell>
        </row>
        <row r="815">
          <cell r="A815">
            <v>206772</v>
          </cell>
          <cell r="B815" t="str">
            <v>Стул Sheffilton SHT-ST33-1/S39  альпийский бирюзовый/светлый орех</v>
          </cell>
          <cell r="C815">
            <v>5793.33</v>
          </cell>
          <cell r="E815">
            <v>382</v>
          </cell>
          <cell r="F815">
            <v>497</v>
          </cell>
        </row>
        <row r="816">
          <cell r="A816">
            <v>206771</v>
          </cell>
          <cell r="B816" t="str">
            <v>Стул Sheffilton SHT-ST33-1/S39  альпийский бирюзовый/темный орех</v>
          </cell>
          <cell r="C816">
            <v>5826.67</v>
          </cell>
          <cell r="E816">
            <v>384</v>
          </cell>
          <cell r="F816">
            <v>499</v>
          </cell>
        </row>
        <row r="817">
          <cell r="A817">
            <v>148812</v>
          </cell>
          <cell r="B817" t="str">
            <v>Стул Sheffilton SHT-ST33-1/S64  альпийский бирюзовый/черный муар</v>
          </cell>
          <cell r="C817">
            <v>4613.33</v>
          </cell>
          <cell r="E817">
            <v>304</v>
          </cell>
          <cell r="F817">
            <v>395</v>
          </cell>
        </row>
        <row r="818">
          <cell r="A818">
            <v>206774</v>
          </cell>
          <cell r="B818" t="str">
            <v>Стул Sheffilton SHT-ST33-1/S70  альпийский бирюзовый/темный орех/черный</v>
          </cell>
          <cell r="C818">
            <v>5900</v>
          </cell>
          <cell r="E818">
            <v>389</v>
          </cell>
          <cell r="F818">
            <v>506</v>
          </cell>
        </row>
        <row r="819">
          <cell r="A819">
            <v>206776</v>
          </cell>
          <cell r="B819" t="str">
            <v>Стул Sheffilton SHT-ST33-1/S95-1  альпийский бирюзовый/черный муар/золото</v>
          </cell>
          <cell r="C819">
            <v>4766.67</v>
          </cell>
          <cell r="E819">
            <v>314</v>
          </cell>
          <cell r="F819">
            <v>408</v>
          </cell>
        </row>
        <row r="820">
          <cell r="A820">
            <v>206731</v>
          </cell>
          <cell r="B820" t="str">
            <v>Стул Sheffilton SHT-ST33/S100  сиреневая орхидея/черный муар</v>
          </cell>
          <cell r="C820">
            <v>3980</v>
          </cell>
          <cell r="E820">
            <v>262</v>
          </cell>
          <cell r="F820">
            <v>341</v>
          </cell>
        </row>
        <row r="821">
          <cell r="A821">
            <v>206308</v>
          </cell>
          <cell r="B821" t="str">
            <v>Стул Sheffilton SHT-ST33/S106  синий лед/черный муар</v>
          </cell>
          <cell r="C821">
            <v>4800</v>
          </cell>
          <cell r="E821">
            <v>316</v>
          </cell>
          <cell r="F821">
            <v>411</v>
          </cell>
        </row>
        <row r="822">
          <cell r="A822">
            <v>206732</v>
          </cell>
          <cell r="B822" t="str">
            <v>Стул Sheffilton SHT-ST33/S106 СТ-504 сиреневая орхидея/черный муар</v>
          </cell>
          <cell r="C822">
            <v>4726.67</v>
          </cell>
          <cell r="E822">
            <v>311</v>
          </cell>
          <cell r="F822">
            <v>404</v>
          </cell>
        </row>
        <row r="823">
          <cell r="A823">
            <v>206384</v>
          </cell>
          <cell r="B823" t="str">
            <v>Стул Sheffilton SHT-ST33/S107  синий лед/хром лак</v>
          </cell>
          <cell r="C823">
            <v>4186.67</v>
          </cell>
          <cell r="E823">
            <v>276</v>
          </cell>
          <cell r="F823">
            <v>359</v>
          </cell>
        </row>
        <row r="824">
          <cell r="A824">
            <v>206380</v>
          </cell>
          <cell r="B824" t="str">
            <v>Стул Sheffilton SHT-ST33/S112  синий лед/черный муар</v>
          </cell>
          <cell r="C824">
            <v>5133.33</v>
          </cell>
          <cell r="E824">
            <v>338</v>
          </cell>
          <cell r="F824">
            <v>439</v>
          </cell>
        </row>
        <row r="825">
          <cell r="A825">
            <v>206733</v>
          </cell>
          <cell r="B825" t="str">
            <v>Стул Sheffilton SHT-ST33/S112  сиреневая орхидея/черный муар</v>
          </cell>
          <cell r="C825">
            <v>5060</v>
          </cell>
          <cell r="E825">
            <v>333</v>
          </cell>
          <cell r="F825">
            <v>433</v>
          </cell>
        </row>
        <row r="826">
          <cell r="A826">
            <v>206382</v>
          </cell>
          <cell r="B826" t="str">
            <v>Стул Sheffilton SHT-ST33/S122  синий лед/темный орех/черный муар</v>
          </cell>
          <cell r="C826">
            <v>6300</v>
          </cell>
          <cell r="E826">
            <v>415</v>
          </cell>
          <cell r="F826">
            <v>540</v>
          </cell>
        </row>
        <row r="827">
          <cell r="A827">
            <v>206737</v>
          </cell>
          <cell r="B827" t="str">
            <v>Стул Sheffilton SHT-ST33/S122  сиреневая орхидея/темный орех/чер.муар</v>
          </cell>
          <cell r="C827">
            <v>6226.67</v>
          </cell>
          <cell r="E827">
            <v>410</v>
          </cell>
          <cell r="F827">
            <v>533</v>
          </cell>
        </row>
        <row r="828">
          <cell r="A828">
            <v>210791</v>
          </cell>
          <cell r="B828" t="str">
            <v>Стул Sheffilton SHT-ST33/S129  синий лед/венге крупный</v>
          </cell>
          <cell r="C828">
            <v>4880</v>
          </cell>
          <cell r="E828">
            <v>321</v>
          </cell>
          <cell r="F828">
            <v>417</v>
          </cell>
        </row>
        <row r="829">
          <cell r="A829">
            <v>206570</v>
          </cell>
          <cell r="B829" t="str">
            <v>Стул Sheffilton SHT-ST33/S129  синий лед/черный муар</v>
          </cell>
          <cell r="C829">
            <v>4066.67</v>
          </cell>
          <cell r="E829">
            <v>268</v>
          </cell>
          <cell r="F829">
            <v>348</v>
          </cell>
        </row>
        <row r="830">
          <cell r="A830">
            <v>206571</v>
          </cell>
          <cell r="B830" t="str">
            <v>Стул Sheffilton SHT-ST33/S129  сиреневая орхидея/черный муар</v>
          </cell>
          <cell r="C830">
            <v>3993.33</v>
          </cell>
          <cell r="E830">
            <v>263</v>
          </cell>
          <cell r="F830">
            <v>342</v>
          </cell>
        </row>
        <row r="831">
          <cell r="A831">
            <v>210806</v>
          </cell>
          <cell r="B831" t="str">
            <v>Стул Sheffilton SHT-ST33/S129 СТ-508 сиреневая орхидея/белый муар/золото</v>
          </cell>
          <cell r="C831">
            <v>4080</v>
          </cell>
          <cell r="E831">
            <v>269</v>
          </cell>
          <cell r="F831">
            <v>350</v>
          </cell>
        </row>
        <row r="832">
          <cell r="A832">
            <v>206298</v>
          </cell>
          <cell r="B832" t="str">
            <v>Стул Sheffilton SHT-ST33/S37  синий лед/белый</v>
          </cell>
          <cell r="C832">
            <v>3933.33</v>
          </cell>
          <cell r="E832">
            <v>259</v>
          </cell>
          <cell r="F832">
            <v>337</v>
          </cell>
        </row>
        <row r="833">
          <cell r="A833">
            <v>206299</v>
          </cell>
          <cell r="B833" t="str">
            <v>Стул Sheffilton SHT-ST33/S37  синий лед/золото</v>
          </cell>
          <cell r="C833">
            <v>4026.67</v>
          </cell>
          <cell r="E833">
            <v>265</v>
          </cell>
          <cell r="F833">
            <v>345</v>
          </cell>
        </row>
        <row r="834">
          <cell r="A834">
            <v>206726</v>
          </cell>
          <cell r="B834" t="str">
            <v>Стул Sheffilton SHT-ST33/S37  сиреневая орхидея/белый</v>
          </cell>
          <cell r="C834">
            <v>3860</v>
          </cell>
          <cell r="E834">
            <v>254</v>
          </cell>
          <cell r="F834">
            <v>330</v>
          </cell>
        </row>
        <row r="835">
          <cell r="A835">
            <v>206727</v>
          </cell>
          <cell r="B835" t="str">
            <v>Стул Sheffilton SHT-ST33/S37  сиреневая орхидея/хром лак</v>
          </cell>
          <cell r="C835">
            <v>3953.33</v>
          </cell>
          <cell r="E835">
            <v>260</v>
          </cell>
          <cell r="F835">
            <v>338</v>
          </cell>
        </row>
        <row r="836">
          <cell r="A836">
            <v>206297</v>
          </cell>
          <cell r="B836" t="str">
            <v>Стул Sheffilton SHT-ST33/S37 СТ-489 синий лед/черный муар</v>
          </cell>
          <cell r="C836">
            <v>3933.33</v>
          </cell>
          <cell r="E836">
            <v>259</v>
          </cell>
          <cell r="F836">
            <v>337</v>
          </cell>
        </row>
        <row r="837">
          <cell r="A837">
            <v>206300</v>
          </cell>
          <cell r="B837" t="str">
            <v>Стул Sheffilton SHT-ST33/S38  синий лед/хром лак</v>
          </cell>
          <cell r="C837">
            <v>4180</v>
          </cell>
          <cell r="E837">
            <v>275</v>
          </cell>
          <cell r="F837">
            <v>358</v>
          </cell>
        </row>
        <row r="838">
          <cell r="A838">
            <v>206728</v>
          </cell>
          <cell r="B838" t="str">
            <v>Стул Sheffilton SHT-ST33/S38  сиреневая орхидея/черный муар</v>
          </cell>
          <cell r="C838">
            <v>3986.67</v>
          </cell>
          <cell r="E838">
            <v>263</v>
          </cell>
          <cell r="F838">
            <v>342</v>
          </cell>
        </row>
        <row r="839">
          <cell r="A839">
            <v>206735</v>
          </cell>
          <cell r="B839" t="str">
            <v>Стул Sheffilton SHT-ST33/S39  сиреневая орхидея/светлый орех</v>
          </cell>
          <cell r="C839">
            <v>5206.67</v>
          </cell>
          <cell r="E839">
            <v>343</v>
          </cell>
          <cell r="F839">
            <v>446</v>
          </cell>
        </row>
        <row r="840">
          <cell r="A840">
            <v>206734</v>
          </cell>
          <cell r="B840" t="str">
            <v>Стул Sheffilton SHT-ST33/S39  сиреневая орхидея/темный орех</v>
          </cell>
          <cell r="C840">
            <v>5240</v>
          </cell>
          <cell r="E840">
            <v>345</v>
          </cell>
          <cell r="F840">
            <v>449</v>
          </cell>
        </row>
        <row r="841">
          <cell r="A841">
            <v>206302</v>
          </cell>
          <cell r="B841" t="str">
            <v>Стул Sheffilton SHT-ST33/S39 СТ-486 синий лед/прозрачный лак</v>
          </cell>
          <cell r="C841">
            <v>5193.33</v>
          </cell>
          <cell r="E841">
            <v>342</v>
          </cell>
          <cell r="F841">
            <v>445</v>
          </cell>
        </row>
        <row r="842">
          <cell r="A842">
            <v>206301</v>
          </cell>
          <cell r="B842" t="str">
            <v>Стул Sheffilton SHT-ST33/S39 СТ-486 синий лед/темный орех</v>
          </cell>
          <cell r="C842">
            <v>5313.33</v>
          </cell>
          <cell r="E842">
            <v>350</v>
          </cell>
          <cell r="F842">
            <v>455</v>
          </cell>
        </row>
        <row r="843">
          <cell r="A843">
            <v>151017</v>
          </cell>
          <cell r="B843" t="str">
            <v>Стул Sheffilton SHT-ST33/S64  сиреневая орхидея/черный муар</v>
          </cell>
          <cell r="C843">
            <v>4026.67</v>
          </cell>
          <cell r="E843">
            <v>265</v>
          </cell>
          <cell r="F843">
            <v>345</v>
          </cell>
        </row>
        <row r="844">
          <cell r="A844">
            <v>206304</v>
          </cell>
          <cell r="B844" t="str">
            <v>Стул Sheffilton SHT-ST33/S64 СТ-476 синий лед/черный муар</v>
          </cell>
          <cell r="C844">
            <v>4100</v>
          </cell>
          <cell r="E844">
            <v>270</v>
          </cell>
          <cell r="F844">
            <v>351</v>
          </cell>
        </row>
        <row r="845">
          <cell r="A845">
            <v>206359</v>
          </cell>
          <cell r="B845" t="str">
            <v>Стул Sheffilton SHT-ST33/S70  синий лед/прозрачный лак</v>
          </cell>
          <cell r="C845">
            <v>5340</v>
          </cell>
          <cell r="E845">
            <v>352</v>
          </cell>
          <cell r="F845">
            <v>458</v>
          </cell>
        </row>
        <row r="846">
          <cell r="A846">
            <v>206736</v>
          </cell>
          <cell r="B846" t="str">
            <v>Стул Sheffilton SHT-ST33/S70  сиреневая орхидея/темный орех/черный</v>
          </cell>
          <cell r="C846">
            <v>5313.33</v>
          </cell>
          <cell r="E846">
            <v>350</v>
          </cell>
          <cell r="F846">
            <v>455</v>
          </cell>
        </row>
        <row r="847">
          <cell r="A847">
            <v>206360</v>
          </cell>
          <cell r="B847" t="str">
            <v>Стул Sheffilton SHT-ST33/S95-1  синий лед/белый муар</v>
          </cell>
          <cell r="C847">
            <v>4233.33</v>
          </cell>
          <cell r="E847">
            <v>279</v>
          </cell>
          <cell r="F847">
            <v>363</v>
          </cell>
        </row>
        <row r="848">
          <cell r="A848">
            <v>206379</v>
          </cell>
          <cell r="B848" t="str">
            <v>Стул Sheffilton SHT-ST33/S95-1  синий лед/черный муар/золото</v>
          </cell>
          <cell r="C848">
            <v>4253.33</v>
          </cell>
          <cell r="E848">
            <v>280</v>
          </cell>
          <cell r="F848">
            <v>364</v>
          </cell>
        </row>
        <row r="849">
          <cell r="A849">
            <v>206730</v>
          </cell>
          <cell r="B849" t="str">
            <v>Стул Sheffilton SHT-ST33/S95-1  сиреневая орхидея/белый муар</v>
          </cell>
          <cell r="C849">
            <v>4160</v>
          </cell>
          <cell r="E849">
            <v>274</v>
          </cell>
          <cell r="F849">
            <v>356</v>
          </cell>
        </row>
        <row r="850">
          <cell r="A850">
            <v>194078</v>
          </cell>
          <cell r="B850" t="str">
            <v>Стул Sheffilton SHT-ST34-1/S100  голубая пастель/хром лак</v>
          </cell>
          <cell r="C850">
            <v>3746.67</v>
          </cell>
          <cell r="E850">
            <v>247</v>
          </cell>
          <cell r="F850">
            <v>321</v>
          </cell>
        </row>
        <row r="851">
          <cell r="A851">
            <v>191749</v>
          </cell>
          <cell r="B851" t="str">
            <v>Стул Sheffilton SHT-ST34-1/S100  латте/черный муар</v>
          </cell>
          <cell r="C851">
            <v>3620</v>
          </cell>
          <cell r="E851">
            <v>238</v>
          </cell>
          <cell r="F851">
            <v>309</v>
          </cell>
        </row>
        <row r="852">
          <cell r="A852">
            <v>194081</v>
          </cell>
          <cell r="B852" t="str">
            <v>Стул Sheffilton SHT-ST34-1/S106  голубая пастель/черный муар</v>
          </cell>
          <cell r="C852">
            <v>4406.67</v>
          </cell>
          <cell r="E852">
            <v>290</v>
          </cell>
          <cell r="F852">
            <v>377</v>
          </cell>
        </row>
        <row r="853">
          <cell r="A853">
            <v>191750</v>
          </cell>
          <cell r="B853" t="str">
            <v>Стул Sheffilton SHT-ST34-1/S106  латте/черный муар</v>
          </cell>
          <cell r="C853">
            <v>4366.67</v>
          </cell>
          <cell r="E853">
            <v>288</v>
          </cell>
          <cell r="F853">
            <v>374</v>
          </cell>
        </row>
        <row r="854">
          <cell r="A854">
            <v>194083</v>
          </cell>
          <cell r="B854" t="str">
            <v>Стул Sheffilton SHT-ST34-1/S112  голубая пастель/черный муар</v>
          </cell>
          <cell r="C854">
            <v>4740</v>
          </cell>
          <cell r="E854">
            <v>312</v>
          </cell>
          <cell r="F854">
            <v>406</v>
          </cell>
        </row>
        <row r="855">
          <cell r="A855">
            <v>191751</v>
          </cell>
          <cell r="B855" t="str">
            <v>Стул Sheffilton SHT-ST34-1/S112 СТ-462 латте/черный муар</v>
          </cell>
          <cell r="C855">
            <v>4700</v>
          </cell>
          <cell r="E855">
            <v>310</v>
          </cell>
          <cell r="F855">
            <v>403</v>
          </cell>
        </row>
        <row r="856">
          <cell r="A856">
            <v>194082</v>
          </cell>
          <cell r="B856" t="str">
            <v>Стул Sheffilton SHT-ST34-1/S113  голубая пастель/черный муар</v>
          </cell>
          <cell r="C856">
            <v>4293.33</v>
          </cell>
          <cell r="E856">
            <v>283</v>
          </cell>
          <cell r="F856">
            <v>368</v>
          </cell>
        </row>
        <row r="857">
          <cell r="A857">
            <v>191752</v>
          </cell>
          <cell r="B857" t="str">
            <v>Стул Sheffilton SHT-ST34-1/S113  латте/черный муар</v>
          </cell>
          <cell r="C857">
            <v>4253.33</v>
          </cell>
          <cell r="E857">
            <v>280</v>
          </cell>
          <cell r="F857">
            <v>364</v>
          </cell>
        </row>
        <row r="858">
          <cell r="A858">
            <v>191747</v>
          </cell>
          <cell r="B858" t="str">
            <v>Стул Sheffilton SHT-ST34-1/S122  латте/темный орех/черный муар</v>
          </cell>
          <cell r="C858">
            <v>5866.67</v>
          </cell>
          <cell r="E858">
            <v>386</v>
          </cell>
          <cell r="F858">
            <v>502</v>
          </cell>
        </row>
        <row r="859">
          <cell r="A859">
            <v>210785</v>
          </cell>
          <cell r="B859" t="str">
            <v>Стул Sheffilton SHT-ST34-1/S129  латте/венге крупный</v>
          </cell>
          <cell r="C859">
            <v>4446.67</v>
          </cell>
          <cell r="E859">
            <v>293</v>
          </cell>
          <cell r="F859">
            <v>381</v>
          </cell>
        </row>
        <row r="860">
          <cell r="A860">
            <v>192257</v>
          </cell>
          <cell r="B860" t="str">
            <v>Стул Sheffilton SHT-ST34-1/S129  латте/черный муар</v>
          </cell>
          <cell r="C860">
            <v>3633.33</v>
          </cell>
          <cell r="E860">
            <v>239</v>
          </cell>
          <cell r="F860">
            <v>311</v>
          </cell>
        </row>
        <row r="861">
          <cell r="A861">
            <v>191739</v>
          </cell>
          <cell r="B861" t="str">
            <v>Стул Sheffilton SHT-ST34-1/S37  латте/хром лак</v>
          </cell>
          <cell r="C861">
            <v>3593.33</v>
          </cell>
          <cell r="E861">
            <v>237</v>
          </cell>
          <cell r="F861">
            <v>308</v>
          </cell>
        </row>
        <row r="862">
          <cell r="A862">
            <v>194080</v>
          </cell>
          <cell r="B862" t="str">
            <v>Стул Sheffilton SHT-ST34-1/S38  голубая пастель/черный муар</v>
          </cell>
          <cell r="C862">
            <v>3666.67</v>
          </cell>
          <cell r="E862">
            <v>242</v>
          </cell>
          <cell r="F862">
            <v>315</v>
          </cell>
        </row>
        <row r="863">
          <cell r="A863">
            <v>191740</v>
          </cell>
          <cell r="B863" t="str">
            <v>Стул Sheffilton SHT-ST34-1/S38  латте/черный муар</v>
          </cell>
          <cell r="C863">
            <v>3626.67</v>
          </cell>
          <cell r="E863">
            <v>239</v>
          </cell>
          <cell r="F863">
            <v>311</v>
          </cell>
        </row>
        <row r="864">
          <cell r="A864">
            <v>191742</v>
          </cell>
          <cell r="B864" t="str">
            <v>Стул Sheffilton SHT-ST34-1/S39  латте/венге</v>
          </cell>
          <cell r="C864">
            <v>4880</v>
          </cell>
          <cell r="E864">
            <v>321</v>
          </cell>
          <cell r="F864">
            <v>417</v>
          </cell>
        </row>
        <row r="865">
          <cell r="A865">
            <v>191744</v>
          </cell>
          <cell r="B865" t="str">
            <v>Стул Sheffilton SHT-ST34-1/S39  латте/прозрачный лак</v>
          </cell>
          <cell r="C865">
            <v>4760</v>
          </cell>
          <cell r="E865">
            <v>314</v>
          </cell>
          <cell r="F865">
            <v>408</v>
          </cell>
        </row>
        <row r="866">
          <cell r="A866">
            <v>357734</v>
          </cell>
          <cell r="B866" t="str">
            <v>Стул Sheffilton SHT-ST34-1/S64  голубая пастель/хром лак</v>
          </cell>
          <cell r="C866">
            <v>3806.67</v>
          </cell>
          <cell r="E866">
            <v>251</v>
          </cell>
          <cell r="F866">
            <v>326</v>
          </cell>
        </row>
        <row r="867">
          <cell r="A867">
            <v>10780</v>
          </cell>
          <cell r="B867" t="str">
            <v>Стул Sheffilton SHT-ST34-1/S64  латте/черный муар</v>
          </cell>
          <cell r="C867">
            <v>3666.67</v>
          </cell>
          <cell r="E867">
            <v>242</v>
          </cell>
          <cell r="F867">
            <v>315</v>
          </cell>
        </row>
        <row r="868">
          <cell r="A868">
            <v>194090</v>
          </cell>
          <cell r="B868" t="str">
            <v>Стул Sheffilton SHT-ST34-1/S70  голубая пастель/прозрачный лак/черный</v>
          </cell>
          <cell r="C868">
            <v>4946.67</v>
          </cell>
          <cell r="E868">
            <v>326</v>
          </cell>
          <cell r="F868">
            <v>424</v>
          </cell>
        </row>
        <row r="869">
          <cell r="A869">
            <v>191745</v>
          </cell>
          <cell r="B869" t="str">
            <v>Стул Sheffilton SHT-ST34-1/S70  латте/темный орех/черный</v>
          </cell>
          <cell r="C869">
            <v>4953.33</v>
          </cell>
          <cell r="E869">
            <v>326</v>
          </cell>
          <cell r="F869">
            <v>424</v>
          </cell>
        </row>
        <row r="870">
          <cell r="A870">
            <v>194089</v>
          </cell>
          <cell r="B870" t="str">
            <v>Стул Sheffilton SHT-ST34-1/S70 СТ-529 голубая пастель/темный орех\черный</v>
          </cell>
          <cell r="C870">
            <v>4993.33</v>
          </cell>
          <cell r="E870">
            <v>329</v>
          </cell>
          <cell r="F870">
            <v>428</v>
          </cell>
        </row>
        <row r="871">
          <cell r="A871">
            <v>191746</v>
          </cell>
          <cell r="B871" t="str">
            <v>Стул Sheffilton SHT-ST34-1/S71  латте/дуб браш.коричневый</v>
          </cell>
          <cell r="C871">
            <v>5993.33</v>
          </cell>
          <cell r="E871">
            <v>395</v>
          </cell>
          <cell r="F871">
            <v>514</v>
          </cell>
        </row>
        <row r="872">
          <cell r="A872">
            <v>199582</v>
          </cell>
          <cell r="B872" t="str">
            <v>Стул Sheffilton SHT-ST34-1/S95-1  голубая пастель/белый муар</v>
          </cell>
          <cell r="C872">
            <v>3840</v>
          </cell>
          <cell r="E872">
            <v>253</v>
          </cell>
          <cell r="F872">
            <v>329</v>
          </cell>
        </row>
        <row r="873">
          <cell r="A873">
            <v>199583</v>
          </cell>
          <cell r="B873" t="str">
            <v>Стул Sheffilton SHT-ST34-1/S95-1  латте/белый муар</v>
          </cell>
          <cell r="C873">
            <v>3800</v>
          </cell>
          <cell r="E873">
            <v>250</v>
          </cell>
          <cell r="F873">
            <v>325</v>
          </cell>
        </row>
        <row r="874">
          <cell r="A874">
            <v>194079</v>
          </cell>
          <cell r="B874" t="str">
            <v>Стул Sheffilton SHT-ST34-1/S95-1 СТ-383 голубая пастель/чёрный муар/золото</v>
          </cell>
          <cell r="C874">
            <v>3860</v>
          </cell>
          <cell r="E874">
            <v>254</v>
          </cell>
          <cell r="F874">
            <v>330</v>
          </cell>
        </row>
        <row r="875">
          <cell r="A875">
            <v>194133</v>
          </cell>
          <cell r="B875" t="str">
            <v>Стул Sheffilton SHT-ST34/S106  синий мираж/черный муар</v>
          </cell>
          <cell r="C875">
            <v>4486.67</v>
          </cell>
          <cell r="E875">
            <v>296</v>
          </cell>
          <cell r="F875">
            <v>385</v>
          </cell>
        </row>
        <row r="876">
          <cell r="A876">
            <v>194132</v>
          </cell>
          <cell r="B876" t="str">
            <v>Стул Sheffilton SHT-ST34/S107  синий мираж/хром лак</v>
          </cell>
          <cell r="C876">
            <v>3826.67</v>
          </cell>
          <cell r="E876">
            <v>252</v>
          </cell>
          <cell r="F876">
            <v>328</v>
          </cell>
        </row>
        <row r="877">
          <cell r="A877">
            <v>194134</v>
          </cell>
          <cell r="B877" t="str">
            <v>Стул Sheffilton SHT-ST34/S113  синий мираж/черный муар</v>
          </cell>
          <cell r="C877">
            <v>4373.33</v>
          </cell>
          <cell r="E877">
            <v>288</v>
          </cell>
          <cell r="F877">
            <v>374</v>
          </cell>
        </row>
        <row r="878">
          <cell r="A878">
            <v>194138</v>
          </cell>
          <cell r="B878" t="str">
            <v>Стул Sheffilton SHT-ST34/S122  синий мираж/темный орех/черный муар</v>
          </cell>
          <cell r="C878">
            <v>5986.67</v>
          </cell>
          <cell r="E878">
            <v>394</v>
          </cell>
          <cell r="F878">
            <v>512</v>
          </cell>
        </row>
        <row r="879">
          <cell r="A879">
            <v>179115</v>
          </cell>
          <cell r="B879" t="str">
            <v>Стул Sheffilton SHT-ST34/S122 СТ-312 платиново-серый/темный орех/черный муар</v>
          </cell>
          <cell r="C879">
            <v>5606.67</v>
          </cell>
          <cell r="E879">
            <v>369</v>
          </cell>
          <cell r="F879">
            <v>480</v>
          </cell>
        </row>
        <row r="880">
          <cell r="A880">
            <v>210801</v>
          </cell>
          <cell r="B880" t="str">
            <v>Стул Sheffilton SHT-ST34/S129  платиново-серый/белый муар/золото</v>
          </cell>
          <cell r="C880">
            <v>3460</v>
          </cell>
          <cell r="E880">
            <v>228</v>
          </cell>
          <cell r="F880">
            <v>296</v>
          </cell>
        </row>
        <row r="881">
          <cell r="A881">
            <v>210784</v>
          </cell>
          <cell r="B881" t="str">
            <v>Стул Sheffilton SHT-ST34/S129  платиново-серый/венге крупный</v>
          </cell>
          <cell r="C881">
            <v>4186.67</v>
          </cell>
          <cell r="E881">
            <v>276</v>
          </cell>
          <cell r="F881">
            <v>359</v>
          </cell>
        </row>
        <row r="882">
          <cell r="A882">
            <v>192255</v>
          </cell>
          <cell r="B882" t="str">
            <v>Стул Sheffilton SHT-ST34/S129  платиново-серый/черный муар</v>
          </cell>
          <cell r="C882">
            <v>3373.33</v>
          </cell>
          <cell r="E882">
            <v>222</v>
          </cell>
          <cell r="F882">
            <v>289</v>
          </cell>
        </row>
        <row r="883">
          <cell r="A883">
            <v>194129</v>
          </cell>
          <cell r="B883" t="str">
            <v>Стул Sheffilton SHT-ST34/S37  синий мираж/черный муар</v>
          </cell>
          <cell r="C883">
            <v>3620</v>
          </cell>
          <cell r="E883">
            <v>238</v>
          </cell>
          <cell r="F883">
            <v>309</v>
          </cell>
        </row>
        <row r="884">
          <cell r="A884">
            <v>178570</v>
          </cell>
          <cell r="B884" t="str">
            <v>Стул Sheffilton SHT-ST34/S37 СТ-382 платиново-серый/хром лак</v>
          </cell>
          <cell r="C884">
            <v>3333.33</v>
          </cell>
          <cell r="E884">
            <v>220</v>
          </cell>
          <cell r="F884">
            <v>286</v>
          </cell>
        </row>
        <row r="885">
          <cell r="A885">
            <v>202979</v>
          </cell>
          <cell r="B885" t="str">
            <v>Стул Sheffilton SHT-ST34/S37-1 СТ-493 платиново-серый/черный муар</v>
          </cell>
          <cell r="C885">
            <v>3306.67</v>
          </cell>
          <cell r="E885">
            <v>218</v>
          </cell>
          <cell r="F885">
            <v>283</v>
          </cell>
        </row>
        <row r="886">
          <cell r="A886">
            <v>194131</v>
          </cell>
          <cell r="B886" t="str">
            <v>Стул Sheffilton SHT-ST34/S38  синий мираж/хром лак</v>
          </cell>
          <cell r="C886">
            <v>3866.67</v>
          </cell>
          <cell r="E886">
            <v>255</v>
          </cell>
          <cell r="F886">
            <v>332</v>
          </cell>
        </row>
        <row r="887">
          <cell r="A887">
            <v>194137</v>
          </cell>
          <cell r="B887" t="str">
            <v>Стул Sheffilton SHT-ST34/S39  синий мираж/темный орех</v>
          </cell>
          <cell r="C887">
            <v>5000</v>
          </cell>
          <cell r="E887">
            <v>329</v>
          </cell>
          <cell r="F887">
            <v>428</v>
          </cell>
        </row>
        <row r="888">
          <cell r="A888">
            <v>22594</v>
          </cell>
          <cell r="B888" t="str">
            <v>Стул Sheffilton SHT-ST34/S64  платиново-серый/хром лак</v>
          </cell>
          <cell r="C888">
            <v>3506.67</v>
          </cell>
          <cell r="E888">
            <v>231</v>
          </cell>
          <cell r="F888">
            <v>300</v>
          </cell>
        </row>
        <row r="889">
          <cell r="A889">
            <v>195706</v>
          </cell>
          <cell r="B889" t="str">
            <v>Стул Sheffilton SHT-ST34/S64  синий мираж/черный муар</v>
          </cell>
          <cell r="C889">
            <v>3786.67</v>
          </cell>
          <cell r="E889">
            <v>249</v>
          </cell>
          <cell r="F889">
            <v>324</v>
          </cell>
        </row>
        <row r="890">
          <cell r="A890">
            <v>194139</v>
          </cell>
          <cell r="B890" t="str">
            <v>Стул Sheffilton SHT-ST34/S70  синий мираж/темный орех/черный</v>
          </cell>
          <cell r="C890">
            <v>5073.33</v>
          </cell>
          <cell r="E890">
            <v>334</v>
          </cell>
          <cell r="F890">
            <v>434</v>
          </cell>
        </row>
        <row r="891">
          <cell r="A891">
            <v>199584</v>
          </cell>
          <cell r="B891" t="str">
            <v>Стул Sheffilton SHT-ST34/S95-1  платиново-серый/белый муар</v>
          </cell>
          <cell r="C891">
            <v>3540</v>
          </cell>
          <cell r="E891">
            <v>233</v>
          </cell>
          <cell r="F891">
            <v>303</v>
          </cell>
        </row>
        <row r="892">
          <cell r="A892">
            <v>192252</v>
          </cell>
          <cell r="B892" t="str">
            <v>Стул Sheffilton SHT-ST34/S95-1 СТ-432 платиново-серый/черный муар/золото</v>
          </cell>
          <cell r="C892">
            <v>3560</v>
          </cell>
          <cell r="E892">
            <v>235</v>
          </cell>
          <cell r="F892">
            <v>306</v>
          </cell>
        </row>
        <row r="893">
          <cell r="A893">
            <v>194135</v>
          </cell>
          <cell r="B893" t="str">
            <v>Стул Sheffilton SHT-ST34/S95-1 СТ-432 синий мираж/черный муар</v>
          </cell>
          <cell r="C893">
            <v>3906.67</v>
          </cell>
          <cell r="E893">
            <v>257</v>
          </cell>
          <cell r="F893">
            <v>334</v>
          </cell>
        </row>
        <row r="894">
          <cell r="A894">
            <v>189645</v>
          </cell>
          <cell r="B894" t="str">
            <v>Стул Sheffilton SHT-ST35-1/S100  имперский желтый/хром лак</v>
          </cell>
          <cell r="C894">
            <v>3540</v>
          </cell>
          <cell r="E894">
            <v>233</v>
          </cell>
          <cell r="F894">
            <v>303</v>
          </cell>
        </row>
        <row r="895">
          <cell r="A895">
            <v>189646</v>
          </cell>
          <cell r="B895" t="str">
            <v>Стул Sheffilton SHT-ST35-1/S100  имперский желтый/черный муар</v>
          </cell>
          <cell r="C895">
            <v>3453.33</v>
          </cell>
          <cell r="E895">
            <v>228</v>
          </cell>
          <cell r="F895">
            <v>296</v>
          </cell>
        </row>
        <row r="896">
          <cell r="A896">
            <v>209245</v>
          </cell>
          <cell r="B896" t="str">
            <v>Стул Sheffilton SHT-ST35-1/S100  угольно-серый/хром лак</v>
          </cell>
          <cell r="C896">
            <v>3540</v>
          </cell>
          <cell r="E896">
            <v>233</v>
          </cell>
          <cell r="F896">
            <v>303</v>
          </cell>
        </row>
        <row r="897">
          <cell r="A897">
            <v>189675</v>
          </cell>
          <cell r="B897" t="str">
            <v>Стул Sheffilton SHT-ST35-1/S106 СТ-364 имперский жёлтый/чёрный муар</v>
          </cell>
          <cell r="C897">
            <v>4200</v>
          </cell>
          <cell r="E897">
            <v>277</v>
          </cell>
          <cell r="F897">
            <v>360</v>
          </cell>
        </row>
        <row r="898">
          <cell r="A898">
            <v>189677</v>
          </cell>
          <cell r="B898" t="str">
            <v>Стул Sheffilton SHT-ST35-1/S107  имперский желтый/черный муар</v>
          </cell>
          <cell r="C898">
            <v>3520</v>
          </cell>
          <cell r="E898">
            <v>232</v>
          </cell>
          <cell r="F898">
            <v>302</v>
          </cell>
        </row>
        <row r="899">
          <cell r="A899">
            <v>189678</v>
          </cell>
          <cell r="B899" t="str">
            <v>Стул Sheffilton SHT-ST35-1/S112  имперский желтый/черный муар</v>
          </cell>
          <cell r="C899">
            <v>4533.33</v>
          </cell>
          <cell r="E899">
            <v>299</v>
          </cell>
          <cell r="F899">
            <v>389</v>
          </cell>
        </row>
        <row r="900">
          <cell r="A900">
            <v>209246</v>
          </cell>
          <cell r="B900" t="str">
            <v>Стул Sheffilton SHT-ST35-1/S112  угольно-серый/черный муар</v>
          </cell>
          <cell r="C900">
            <v>4533.33</v>
          </cell>
          <cell r="E900">
            <v>299</v>
          </cell>
          <cell r="F900">
            <v>389</v>
          </cell>
        </row>
        <row r="901">
          <cell r="A901">
            <v>189679</v>
          </cell>
          <cell r="B901" t="str">
            <v>Стул Sheffilton SHT-ST35-1/S113  имперский желтый/хром лак</v>
          </cell>
          <cell r="C901">
            <v>4066.67</v>
          </cell>
          <cell r="E901">
            <v>268</v>
          </cell>
          <cell r="F901">
            <v>348</v>
          </cell>
        </row>
        <row r="902">
          <cell r="A902">
            <v>189681</v>
          </cell>
          <cell r="B902" t="str">
            <v>Стул Sheffilton SHT-ST35-1/S122  имперский желтый/темный орех</v>
          </cell>
          <cell r="C902">
            <v>5700</v>
          </cell>
          <cell r="E902">
            <v>376</v>
          </cell>
          <cell r="F902">
            <v>489</v>
          </cell>
        </row>
        <row r="903">
          <cell r="A903">
            <v>209248</v>
          </cell>
          <cell r="B903" t="str">
            <v>Стул Sheffilton SHT-ST35-1/S122  угольно-серый/темный орех/черный муар</v>
          </cell>
          <cell r="C903">
            <v>5700</v>
          </cell>
          <cell r="E903">
            <v>376</v>
          </cell>
          <cell r="F903">
            <v>489</v>
          </cell>
        </row>
        <row r="904">
          <cell r="A904">
            <v>210805</v>
          </cell>
          <cell r="B904" t="str">
            <v>Стул Sheffilton SHT-ST35-1/S129  угольно-серый/белый муар/золото</v>
          </cell>
          <cell r="C904">
            <v>3553.33</v>
          </cell>
          <cell r="E904">
            <v>234</v>
          </cell>
          <cell r="F904">
            <v>304</v>
          </cell>
        </row>
        <row r="905">
          <cell r="A905">
            <v>210788</v>
          </cell>
          <cell r="B905" t="str">
            <v>Стул Sheffilton SHT-ST35-1/S129  угольно-серый/венге крупный</v>
          </cell>
          <cell r="C905">
            <v>4280</v>
          </cell>
          <cell r="E905">
            <v>282</v>
          </cell>
          <cell r="F905">
            <v>367</v>
          </cell>
        </row>
        <row r="906">
          <cell r="A906">
            <v>189600</v>
          </cell>
          <cell r="B906" t="str">
            <v>Стул Sheffilton SHT-ST35-1/S37  имперский желтый/медный металлик</v>
          </cell>
          <cell r="C906">
            <v>3333.33</v>
          </cell>
          <cell r="E906">
            <v>220</v>
          </cell>
          <cell r="F906">
            <v>286</v>
          </cell>
        </row>
        <row r="907">
          <cell r="A907">
            <v>209236</v>
          </cell>
          <cell r="B907" t="str">
            <v>Стул Sheffilton SHT-ST35-1/S37  угольно-серый/золото</v>
          </cell>
          <cell r="C907">
            <v>3426.67</v>
          </cell>
          <cell r="E907">
            <v>226</v>
          </cell>
          <cell r="F907">
            <v>294</v>
          </cell>
        </row>
        <row r="908">
          <cell r="A908">
            <v>209237</v>
          </cell>
          <cell r="B908" t="str">
            <v>Стул Sheffilton SHT-ST35-1/S37  угольно-серый/медный металлик</v>
          </cell>
          <cell r="C908">
            <v>3333.33</v>
          </cell>
          <cell r="E908">
            <v>220</v>
          </cell>
          <cell r="F908">
            <v>286</v>
          </cell>
        </row>
        <row r="909">
          <cell r="A909">
            <v>209235</v>
          </cell>
          <cell r="B909" t="str">
            <v>Стул Sheffilton SHT-ST35-1/S37  угольно-серый/черный муар</v>
          </cell>
          <cell r="C909">
            <v>3333.33</v>
          </cell>
          <cell r="E909">
            <v>220</v>
          </cell>
          <cell r="F909">
            <v>286</v>
          </cell>
        </row>
        <row r="910">
          <cell r="A910">
            <v>189601</v>
          </cell>
          <cell r="B910" t="str">
            <v>Стул Sheffilton SHT-ST35-1/S37 СТ-366 имперский желтый/белый</v>
          </cell>
          <cell r="C910">
            <v>3333.33</v>
          </cell>
          <cell r="E910">
            <v>220</v>
          </cell>
          <cell r="F910">
            <v>286</v>
          </cell>
        </row>
        <row r="911">
          <cell r="A911">
            <v>189602</v>
          </cell>
          <cell r="B911" t="str">
            <v>Стул Sheffilton SHT-ST35-1/S37 СТ-366 имперский жёлтый/чёрный муар</v>
          </cell>
          <cell r="C911">
            <v>3333.33</v>
          </cell>
          <cell r="E911">
            <v>220</v>
          </cell>
          <cell r="F911">
            <v>286</v>
          </cell>
        </row>
        <row r="912">
          <cell r="A912">
            <v>189628</v>
          </cell>
          <cell r="B912" t="str">
            <v>Стул Sheffilton SHT-ST35-1/S38  имперский желтый/хром лак</v>
          </cell>
          <cell r="C912">
            <v>3580</v>
          </cell>
          <cell r="E912">
            <v>236</v>
          </cell>
          <cell r="F912">
            <v>307</v>
          </cell>
        </row>
        <row r="913">
          <cell r="A913">
            <v>209238</v>
          </cell>
          <cell r="B913" t="str">
            <v>Стул Sheffilton SHT-ST35-1/S38  угольно-серый/черный муар</v>
          </cell>
          <cell r="C913">
            <v>3460</v>
          </cell>
          <cell r="E913">
            <v>228</v>
          </cell>
          <cell r="F913">
            <v>296</v>
          </cell>
        </row>
        <row r="914">
          <cell r="A914">
            <v>189603</v>
          </cell>
          <cell r="B914" t="str">
            <v>Стул Sheffilton SHT-ST35-1/S39  имперский желтый/венге</v>
          </cell>
          <cell r="C914">
            <v>4713.33</v>
          </cell>
          <cell r="E914">
            <v>311</v>
          </cell>
          <cell r="F914">
            <v>404</v>
          </cell>
        </row>
        <row r="915">
          <cell r="A915">
            <v>189604</v>
          </cell>
          <cell r="B915" t="str">
            <v>Стул Sheffilton SHT-ST35-1/S39  имперский желтый/прозрачный лак</v>
          </cell>
          <cell r="C915">
            <v>4593.33</v>
          </cell>
          <cell r="E915">
            <v>303</v>
          </cell>
          <cell r="F915">
            <v>394</v>
          </cell>
        </row>
        <row r="916">
          <cell r="A916">
            <v>189606</v>
          </cell>
          <cell r="B916" t="str">
            <v>Стул Sheffilton SHT-ST35-1/S39  имперский желтый/светлый орех</v>
          </cell>
          <cell r="C916">
            <v>4680</v>
          </cell>
          <cell r="E916">
            <v>308</v>
          </cell>
          <cell r="F916">
            <v>400</v>
          </cell>
        </row>
        <row r="917">
          <cell r="A917">
            <v>209241</v>
          </cell>
          <cell r="B917" t="str">
            <v>Стул Sheffilton SHT-ST35-1/S39  угольно-серый/венге</v>
          </cell>
          <cell r="C917">
            <v>4713.33</v>
          </cell>
          <cell r="E917">
            <v>311</v>
          </cell>
          <cell r="F917">
            <v>404</v>
          </cell>
        </row>
        <row r="918">
          <cell r="A918">
            <v>209240</v>
          </cell>
          <cell r="B918" t="str">
            <v>Стул Sheffilton SHT-ST35-1/S39  угольно-серый/прозрачный лак</v>
          </cell>
          <cell r="C918">
            <v>4593.33</v>
          </cell>
          <cell r="E918">
            <v>303</v>
          </cell>
          <cell r="F918">
            <v>394</v>
          </cell>
        </row>
        <row r="919">
          <cell r="A919">
            <v>209239</v>
          </cell>
          <cell r="B919" t="str">
            <v>Стул Sheffilton SHT-ST35-1/S39  угольно-серый/темный орех</v>
          </cell>
          <cell r="C919">
            <v>4713.33</v>
          </cell>
          <cell r="E919">
            <v>311</v>
          </cell>
          <cell r="F919">
            <v>404</v>
          </cell>
        </row>
        <row r="920">
          <cell r="A920">
            <v>189605</v>
          </cell>
          <cell r="B920" t="str">
            <v>Стул Sheffilton SHT-ST35-1/S39 СТ-494 имперский желтый/серый</v>
          </cell>
          <cell r="C920">
            <v>3900</v>
          </cell>
          <cell r="E920">
            <v>257</v>
          </cell>
          <cell r="F920">
            <v>334</v>
          </cell>
        </row>
        <row r="921">
          <cell r="A921">
            <v>208651</v>
          </cell>
          <cell r="B921" t="str">
            <v>Стул Sheffilton SHT-ST35-1/S64  имперский желтый/хром лак</v>
          </cell>
          <cell r="C921">
            <v>3600</v>
          </cell>
          <cell r="E921">
            <v>237</v>
          </cell>
          <cell r="F921">
            <v>308</v>
          </cell>
        </row>
        <row r="922">
          <cell r="A922">
            <v>189630</v>
          </cell>
          <cell r="B922" t="str">
            <v>Стул Sheffilton SHT-ST35-1/S64  имперский желтый/черный муар</v>
          </cell>
          <cell r="C922">
            <v>3500</v>
          </cell>
          <cell r="E922">
            <v>231</v>
          </cell>
          <cell r="F922">
            <v>300</v>
          </cell>
        </row>
        <row r="923">
          <cell r="A923">
            <v>209242</v>
          </cell>
          <cell r="B923" t="str">
            <v>Стул Sheffilton SHT-ST35-1/S64  угольно-серый/черный муар</v>
          </cell>
          <cell r="C923">
            <v>3500</v>
          </cell>
          <cell r="E923">
            <v>231</v>
          </cell>
          <cell r="F923">
            <v>300</v>
          </cell>
        </row>
        <row r="924">
          <cell r="A924">
            <v>189631</v>
          </cell>
          <cell r="B924" t="str">
            <v>Стул Sheffilton SHT-ST35-1/S70  имперский желтый/прозрачный лак</v>
          </cell>
          <cell r="C924">
            <v>4740</v>
          </cell>
          <cell r="E924">
            <v>312</v>
          </cell>
          <cell r="F924">
            <v>406</v>
          </cell>
        </row>
        <row r="925">
          <cell r="A925">
            <v>189632</v>
          </cell>
          <cell r="B925" t="str">
            <v>Стул Sheffilton SHT-ST35-1/S70  имперский желтый/темный орех</v>
          </cell>
          <cell r="C925">
            <v>4786.67</v>
          </cell>
          <cell r="E925">
            <v>315</v>
          </cell>
          <cell r="F925">
            <v>410</v>
          </cell>
        </row>
        <row r="926">
          <cell r="A926">
            <v>209243</v>
          </cell>
          <cell r="B926" t="str">
            <v>Стул Sheffilton SHT-ST35-1/S70  угольно-серый/темный орех/черный</v>
          </cell>
          <cell r="C926">
            <v>4786.67</v>
          </cell>
          <cell r="E926">
            <v>315</v>
          </cell>
          <cell r="F926">
            <v>410</v>
          </cell>
        </row>
        <row r="927">
          <cell r="A927">
            <v>189642</v>
          </cell>
          <cell r="B927" t="str">
            <v>Стул Sheffilton SHT-ST35-1/S71  имперский желтый/дуб браш.коричневый</v>
          </cell>
          <cell r="C927">
            <v>5826.67</v>
          </cell>
          <cell r="E927">
            <v>384</v>
          </cell>
          <cell r="F927">
            <v>499</v>
          </cell>
        </row>
        <row r="928">
          <cell r="A928">
            <v>209247</v>
          </cell>
          <cell r="B928" t="str">
            <v>Стул Sheffilton SHT-ST35-1/S95-1  угольно-серый/черный муар/золото</v>
          </cell>
          <cell r="C928">
            <v>3653.33</v>
          </cell>
          <cell r="E928">
            <v>241</v>
          </cell>
          <cell r="F928">
            <v>313</v>
          </cell>
        </row>
        <row r="929">
          <cell r="A929">
            <v>192265</v>
          </cell>
          <cell r="B929" t="str">
            <v>Стул Sheffilton SHT-ST35-1/S95-1 СТ-417 имперский желтый/черный муар/золото</v>
          </cell>
          <cell r="C929">
            <v>3653.33</v>
          </cell>
          <cell r="E929">
            <v>241</v>
          </cell>
          <cell r="F929">
            <v>313</v>
          </cell>
        </row>
        <row r="930">
          <cell r="A930">
            <v>181041</v>
          </cell>
          <cell r="B930" t="str">
            <v>Стул Sheffilton SHT-ST35-2/S112 СТ-387 лиственно-зеленый/черный муар</v>
          </cell>
          <cell r="C930">
            <v>4613.33</v>
          </cell>
          <cell r="E930">
            <v>304</v>
          </cell>
          <cell r="F930">
            <v>395</v>
          </cell>
        </row>
        <row r="931">
          <cell r="A931">
            <v>185844</v>
          </cell>
          <cell r="B931" t="str">
            <v>Стул Sheffilton SHT-ST35-2/S113 СТ-481 лиственно-зеленый/черный муар</v>
          </cell>
          <cell r="C931">
            <v>4166.67</v>
          </cell>
          <cell r="E931">
            <v>274</v>
          </cell>
          <cell r="F931">
            <v>356</v>
          </cell>
        </row>
        <row r="932">
          <cell r="A932">
            <v>181042</v>
          </cell>
          <cell r="B932" t="str">
            <v>Стул Sheffilton SHT-ST35-2/S122 СТ-404 лиственно-зеленый/темный орех/черный муа</v>
          </cell>
          <cell r="C932">
            <v>5780</v>
          </cell>
          <cell r="E932">
            <v>381</v>
          </cell>
          <cell r="F932">
            <v>495</v>
          </cell>
        </row>
        <row r="933">
          <cell r="A933">
            <v>210789</v>
          </cell>
          <cell r="B933" t="str">
            <v>Стул Sheffilton SHT-ST35-2/S129  лиственно-зеленый/венге крупный</v>
          </cell>
          <cell r="C933">
            <v>4360</v>
          </cell>
          <cell r="E933">
            <v>287</v>
          </cell>
          <cell r="F933">
            <v>373</v>
          </cell>
        </row>
        <row r="934">
          <cell r="A934">
            <v>188804</v>
          </cell>
          <cell r="B934" t="str">
            <v>Стул Sheffilton SHT-ST35-2/S37 СТ-329 лиственно-зеленый/золото</v>
          </cell>
          <cell r="C934">
            <v>3506.67</v>
          </cell>
          <cell r="E934">
            <v>231</v>
          </cell>
          <cell r="F934">
            <v>300</v>
          </cell>
        </row>
        <row r="935">
          <cell r="A935">
            <v>181040</v>
          </cell>
          <cell r="B935" t="str">
            <v>Стул Sheffilton SHT-ST35-2/S37 СТ-329 лиственно-зеленый/медный металлик</v>
          </cell>
          <cell r="C935">
            <v>3413.33</v>
          </cell>
          <cell r="E935">
            <v>225</v>
          </cell>
          <cell r="F935">
            <v>293</v>
          </cell>
        </row>
        <row r="936">
          <cell r="A936">
            <v>202978</v>
          </cell>
          <cell r="B936" t="str">
            <v>Стул Sheffilton SHT-ST35-2/S37-1  лиственно-зеленый/черный муар</v>
          </cell>
          <cell r="C936">
            <v>3480</v>
          </cell>
          <cell r="E936">
            <v>229</v>
          </cell>
          <cell r="F936">
            <v>298</v>
          </cell>
        </row>
        <row r="937">
          <cell r="A937">
            <v>208652</v>
          </cell>
          <cell r="B937" t="str">
            <v>Стул Sheffilton SHT-ST35-2/S64  лиственно-зеленый/хром лак</v>
          </cell>
          <cell r="C937">
            <v>3680</v>
          </cell>
          <cell r="E937">
            <v>242</v>
          </cell>
          <cell r="F937">
            <v>315</v>
          </cell>
        </row>
        <row r="938">
          <cell r="A938">
            <v>192266</v>
          </cell>
          <cell r="B938" t="str">
            <v>Стул Sheffilton SHT-ST35-2/S95-1 СТ-375 лиственно-зеленый/черный муар/золото</v>
          </cell>
          <cell r="C938">
            <v>3733.33</v>
          </cell>
          <cell r="E938">
            <v>246</v>
          </cell>
          <cell r="F938">
            <v>320</v>
          </cell>
        </row>
        <row r="939">
          <cell r="A939">
            <v>209704</v>
          </cell>
          <cell r="B939" t="str">
            <v>Стул Sheffilton SHT-ST35/S106  горчичный/черный муар</v>
          </cell>
          <cell r="C939">
            <v>3986.67</v>
          </cell>
          <cell r="E939">
            <v>263</v>
          </cell>
          <cell r="F939">
            <v>342</v>
          </cell>
        </row>
        <row r="940">
          <cell r="A940">
            <v>179971</v>
          </cell>
          <cell r="B940" t="str">
            <v>Стул Sheffilton SHT-ST35/S106  розовый десерт/черный муар</v>
          </cell>
          <cell r="C940">
            <v>3973.33</v>
          </cell>
          <cell r="E940">
            <v>262</v>
          </cell>
          <cell r="F940">
            <v>341</v>
          </cell>
        </row>
        <row r="941">
          <cell r="A941">
            <v>209032</v>
          </cell>
          <cell r="B941" t="str">
            <v>Стул Sheffilton SHT-ST35/S106  тихий океан/черный муар</v>
          </cell>
          <cell r="C941">
            <v>3946.67</v>
          </cell>
          <cell r="E941">
            <v>260</v>
          </cell>
          <cell r="F941">
            <v>338</v>
          </cell>
        </row>
        <row r="942">
          <cell r="A942">
            <v>209031</v>
          </cell>
          <cell r="B942" t="str">
            <v>Стул Sheffilton SHT-ST35/S107  тихий океан/черный муар</v>
          </cell>
          <cell r="C942">
            <v>3266.67</v>
          </cell>
          <cell r="E942">
            <v>215</v>
          </cell>
          <cell r="F942">
            <v>280</v>
          </cell>
        </row>
        <row r="943">
          <cell r="A943">
            <v>209033</v>
          </cell>
          <cell r="B943" t="str">
            <v>Стул Sheffilton SHT-ST35/S112  тихий океан/черный муар</v>
          </cell>
          <cell r="C943">
            <v>4280</v>
          </cell>
          <cell r="E943">
            <v>282</v>
          </cell>
          <cell r="F943">
            <v>367</v>
          </cell>
        </row>
        <row r="944">
          <cell r="A944">
            <v>178913</v>
          </cell>
          <cell r="B944" t="str">
            <v>Стул Sheffilton SHT-ST35/S112 СТ-300 розовый десерт/хром лак</v>
          </cell>
          <cell r="C944">
            <v>4393.33</v>
          </cell>
          <cell r="E944">
            <v>289</v>
          </cell>
          <cell r="F944">
            <v>376</v>
          </cell>
        </row>
        <row r="945">
          <cell r="A945">
            <v>209706</v>
          </cell>
          <cell r="B945" t="str">
            <v>Стул Sheffilton SHT-ST35/S113  горчичный/черный муар</v>
          </cell>
          <cell r="C945">
            <v>3873.33</v>
          </cell>
          <cell r="E945">
            <v>255</v>
          </cell>
          <cell r="F945">
            <v>332</v>
          </cell>
        </row>
        <row r="946">
          <cell r="A946">
            <v>209034</v>
          </cell>
          <cell r="B946" t="str">
            <v>Стул Sheffilton SHT-ST35/S113  тихий океан/черный муар</v>
          </cell>
          <cell r="C946">
            <v>3833.33</v>
          </cell>
          <cell r="E946">
            <v>253</v>
          </cell>
          <cell r="F946">
            <v>329</v>
          </cell>
        </row>
        <row r="947">
          <cell r="A947">
            <v>209708</v>
          </cell>
          <cell r="B947" t="str">
            <v>Стул Sheffilton SHT-ST35/S122  горчичный/темный орех/черный муар</v>
          </cell>
          <cell r="C947">
            <v>5486.67</v>
          </cell>
          <cell r="E947">
            <v>361</v>
          </cell>
          <cell r="F947">
            <v>469</v>
          </cell>
        </row>
        <row r="948">
          <cell r="A948">
            <v>179119</v>
          </cell>
          <cell r="B948" t="str">
            <v>Стул Sheffilton SHT-ST35/S122  розовый десерт/темный орех/черный муар</v>
          </cell>
          <cell r="C948">
            <v>5473.33</v>
          </cell>
          <cell r="E948">
            <v>361</v>
          </cell>
          <cell r="F948">
            <v>469</v>
          </cell>
        </row>
        <row r="949">
          <cell r="A949">
            <v>209035</v>
          </cell>
          <cell r="B949" t="str">
            <v>Стул Sheffilton SHT-ST35/S122  тихий океан/темный орех/черный муар</v>
          </cell>
          <cell r="C949">
            <v>5446.67</v>
          </cell>
          <cell r="E949">
            <v>359</v>
          </cell>
          <cell r="F949">
            <v>467</v>
          </cell>
        </row>
        <row r="950">
          <cell r="A950">
            <v>210803</v>
          </cell>
          <cell r="B950" t="str">
            <v>Стул Sheffilton SHT-ST35/S129  горчичный/белый муар/золото</v>
          </cell>
          <cell r="C950">
            <v>3340</v>
          </cell>
          <cell r="E950">
            <v>220</v>
          </cell>
          <cell r="F950">
            <v>286</v>
          </cell>
        </row>
        <row r="951">
          <cell r="A951">
            <v>210787</v>
          </cell>
          <cell r="B951" t="str">
            <v>Стул Sheffilton SHT-ST35/S129  горчичный/венге крупный</v>
          </cell>
          <cell r="C951">
            <v>4066.67</v>
          </cell>
          <cell r="E951">
            <v>268</v>
          </cell>
          <cell r="F951">
            <v>348</v>
          </cell>
        </row>
        <row r="952">
          <cell r="A952">
            <v>210802</v>
          </cell>
          <cell r="B952" t="str">
            <v>Стул Sheffilton SHT-ST35/S129  кофейный ликер/белый муар/золото</v>
          </cell>
          <cell r="C952">
            <v>3300</v>
          </cell>
          <cell r="E952">
            <v>217</v>
          </cell>
          <cell r="F952">
            <v>282</v>
          </cell>
        </row>
        <row r="953">
          <cell r="A953">
            <v>210786</v>
          </cell>
          <cell r="B953" t="str">
            <v>Стул Sheffilton SHT-ST35/S129  кофейный ликер/венге крупный</v>
          </cell>
          <cell r="C953">
            <v>4026.67</v>
          </cell>
          <cell r="E953">
            <v>265</v>
          </cell>
          <cell r="F953">
            <v>345</v>
          </cell>
        </row>
        <row r="954">
          <cell r="A954">
            <v>210804</v>
          </cell>
          <cell r="B954" t="str">
            <v>Стул Sheffilton SHT-ST35/S129  розовый десерт/белый муар/золото</v>
          </cell>
          <cell r="C954">
            <v>3326.67</v>
          </cell>
          <cell r="E954">
            <v>219</v>
          </cell>
          <cell r="F954">
            <v>285</v>
          </cell>
        </row>
        <row r="955">
          <cell r="A955">
            <v>192262</v>
          </cell>
          <cell r="B955" t="str">
            <v>Стул Sheffilton SHT-ST35/S129  розовый десерт/черный муар</v>
          </cell>
          <cell r="C955">
            <v>3240</v>
          </cell>
          <cell r="E955">
            <v>213</v>
          </cell>
          <cell r="F955">
            <v>277</v>
          </cell>
        </row>
        <row r="956">
          <cell r="A956">
            <v>192263</v>
          </cell>
          <cell r="B956" t="str">
            <v>Стул Sheffilton SHT-ST35/S129  ягодное варенье /черный муар</v>
          </cell>
          <cell r="C956">
            <v>3206.67</v>
          </cell>
          <cell r="E956">
            <v>211</v>
          </cell>
          <cell r="F956">
            <v>274</v>
          </cell>
        </row>
        <row r="957">
          <cell r="A957">
            <v>192261</v>
          </cell>
          <cell r="B957" t="str">
            <v>Стул Sheffilton SHT-ST35/S129 СТ-525 кофейный ликер /черный муар</v>
          </cell>
          <cell r="C957">
            <v>3213.33</v>
          </cell>
          <cell r="E957">
            <v>212</v>
          </cell>
          <cell r="F957">
            <v>276</v>
          </cell>
        </row>
        <row r="958">
          <cell r="A958">
            <v>209695</v>
          </cell>
          <cell r="B958" t="str">
            <v>Стул Sheffilton SHT-ST35/S37  горчичный/медный металлик</v>
          </cell>
          <cell r="C958">
            <v>3120</v>
          </cell>
          <cell r="E958">
            <v>206</v>
          </cell>
          <cell r="F958">
            <v>268</v>
          </cell>
        </row>
        <row r="959">
          <cell r="A959">
            <v>188807</v>
          </cell>
          <cell r="B959" t="str">
            <v>Стул Sheffilton SHT-ST35/S37  кофейный ликер/золото</v>
          </cell>
          <cell r="C959">
            <v>3173.33</v>
          </cell>
          <cell r="E959">
            <v>209</v>
          </cell>
          <cell r="F959">
            <v>272</v>
          </cell>
        </row>
        <row r="960">
          <cell r="A960">
            <v>208922</v>
          </cell>
          <cell r="B960" t="str">
            <v>Стул Sheffilton SHT-ST35/S37  тихий океан/золото</v>
          </cell>
          <cell r="C960">
            <v>3173.33</v>
          </cell>
          <cell r="E960">
            <v>209</v>
          </cell>
          <cell r="F960">
            <v>272</v>
          </cell>
        </row>
        <row r="961">
          <cell r="A961">
            <v>208923</v>
          </cell>
          <cell r="B961" t="str">
            <v>Стул Sheffilton SHT-ST35/S37  тихий океан/медный металлик</v>
          </cell>
          <cell r="C961">
            <v>3080</v>
          </cell>
          <cell r="E961">
            <v>203</v>
          </cell>
          <cell r="F961">
            <v>264</v>
          </cell>
        </row>
        <row r="962">
          <cell r="A962">
            <v>208918</v>
          </cell>
          <cell r="B962" t="str">
            <v>Стул Sheffilton SHT-ST35/S37  тихий океан/черный муар</v>
          </cell>
          <cell r="C962">
            <v>3080</v>
          </cell>
          <cell r="E962">
            <v>203</v>
          </cell>
          <cell r="F962">
            <v>264</v>
          </cell>
        </row>
        <row r="963">
          <cell r="A963">
            <v>179985</v>
          </cell>
          <cell r="B963" t="str">
            <v>Стул Sheffilton SHT-ST35/S37 СТ-282 кофейный ликер/медный металлик</v>
          </cell>
          <cell r="C963">
            <v>3080</v>
          </cell>
          <cell r="E963">
            <v>203</v>
          </cell>
          <cell r="F963">
            <v>264</v>
          </cell>
        </row>
        <row r="964">
          <cell r="A964">
            <v>173288</v>
          </cell>
          <cell r="B964" t="str">
            <v>Стул Sheffilton SHT-ST35/S37 СТ-282 розовый десерт/хром лак</v>
          </cell>
          <cell r="C964">
            <v>3200</v>
          </cell>
          <cell r="E964">
            <v>211</v>
          </cell>
          <cell r="F964">
            <v>274</v>
          </cell>
        </row>
        <row r="965">
          <cell r="A965">
            <v>202977</v>
          </cell>
          <cell r="B965" t="str">
            <v>Стул Sheffilton SHT-ST35/S37-1 СТ-480 кофейный ликер/черный муар</v>
          </cell>
          <cell r="C965">
            <v>3146.67</v>
          </cell>
          <cell r="E965">
            <v>207</v>
          </cell>
          <cell r="F965">
            <v>269</v>
          </cell>
        </row>
        <row r="966">
          <cell r="A966">
            <v>209696</v>
          </cell>
          <cell r="B966" t="str">
            <v>Стул Sheffilton SHT-ST35/S38  горчичный/черный муар</v>
          </cell>
          <cell r="C966">
            <v>3246.67</v>
          </cell>
          <cell r="E966">
            <v>214</v>
          </cell>
          <cell r="F966">
            <v>278</v>
          </cell>
        </row>
        <row r="967">
          <cell r="A967">
            <v>179986</v>
          </cell>
          <cell r="B967" t="str">
            <v>Стул Sheffilton SHT-ST35/S38  кофейный ликер/черный муар</v>
          </cell>
          <cell r="C967">
            <v>3206.67</v>
          </cell>
          <cell r="E967">
            <v>211</v>
          </cell>
          <cell r="F967">
            <v>274</v>
          </cell>
        </row>
        <row r="968">
          <cell r="A968">
            <v>179970</v>
          </cell>
          <cell r="B968" t="str">
            <v>Стул Sheffilton SHT-ST35/S38  розовый десерт/хром лак</v>
          </cell>
          <cell r="C968">
            <v>3353.33</v>
          </cell>
          <cell r="E968">
            <v>221</v>
          </cell>
          <cell r="F968">
            <v>287</v>
          </cell>
        </row>
        <row r="969">
          <cell r="A969">
            <v>209025</v>
          </cell>
          <cell r="B969" t="str">
            <v>Стул Sheffilton SHT-ST35/S38  тихий океан/черный муар</v>
          </cell>
          <cell r="C969">
            <v>3206.67</v>
          </cell>
          <cell r="E969">
            <v>211</v>
          </cell>
          <cell r="F969">
            <v>274</v>
          </cell>
        </row>
        <row r="970">
          <cell r="A970">
            <v>209698</v>
          </cell>
          <cell r="B970" t="str">
            <v>Стул Sheffilton SHT-ST35/S39  горчичный/светлый орех</v>
          </cell>
          <cell r="C970">
            <v>4466.67</v>
          </cell>
          <cell r="E970">
            <v>294</v>
          </cell>
          <cell r="F970">
            <v>382</v>
          </cell>
        </row>
        <row r="971">
          <cell r="A971">
            <v>209697</v>
          </cell>
          <cell r="B971" t="str">
            <v>Стул Sheffilton SHT-ST35/S39  горчичный/темный орех</v>
          </cell>
          <cell r="C971">
            <v>4500</v>
          </cell>
          <cell r="E971">
            <v>296</v>
          </cell>
          <cell r="F971">
            <v>385</v>
          </cell>
        </row>
        <row r="972">
          <cell r="A972">
            <v>149734</v>
          </cell>
          <cell r="B972" t="str">
            <v>Стул Sheffilton SHT-ST35/S39  кофейный ликер/дуб атланта браш.</v>
          </cell>
          <cell r="C972">
            <v>4773.33</v>
          </cell>
          <cell r="E972">
            <v>314</v>
          </cell>
          <cell r="F972">
            <v>408</v>
          </cell>
        </row>
        <row r="973">
          <cell r="A973">
            <v>209026</v>
          </cell>
          <cell r="B973" t="str">
            <v>Стул Sheffilton SHT-ST35/S39  тихий океан/темный орех</v>
          </cell>
          <cell r="C973">
            <v>4460</v>
          </cell>
          <cell r="E973">
            <v>294</v>
          </cell>
          <cell r="F973">
            <v>382</v>
          </cell>
        </row>
        <row r="974">
          <cell r="A974">
            <v>167724</v>
          </cell>
          <cell r="B974" t="str">
            <v>Стул Sheffilton SHT-ST35/S39 СТ-286 кофейный ликер/прозрачный лак</v>
          </cell>
          <cell r="C974">
            <v>4340</v>
          </cell>
          <cell r="E974">
            <v>286</v>
          </cell>
          <cell r="F974">
            <v>372</v>
          </cell>
        </row>
        <row r="975">
          <cell r="A975">
            <v>179987</v>
          </cell>
          <cell r="B975" t="str">
            <v>Стул Sheffilton SHT-ST35/S39 СТ-286 кофейный ликер/темный орех</v>
          </cell>
          <cell r="C975">
            <v>4460</v>
          </cell>
          <cell r="E975">
            <v>294</v>
          </cell>
          <cell r="F975">
            <v>382</v>
          </cell>
        </row>
        <row r="976">
          <cell r="A976">
            <v>179969</v>
          </cell>
          <cell r="B976" t="str">
            <v>Стул Sheffilton SHT-ST35/S39 СТ-286 розовый десерт/темный орех</v>
          </cell>
          <cell r="C976">
            <v>4486.67</v>
          </cell>
          <cell r="E976">
            <v>296</v>
          </cell>
          <cell r="F976">
            <v>385</v>
          </cell>
        </row>
        <row r="977">
          <cell r="A977">
            <v>209027</v>
          </cell>
          <cell r="B977" t="str">
            <v>Стул Sheffilton SHT-ST35/S39 СТ-286 тихий океан/прозрачный лак</v>
          </cell>
          <cell r="C977">
            <v>4340</v>
          </cell>
          <cell r="E977">
            <v>286</v>
          </cell>
          <cell r="F977">
            <v>372</v>
          </cell>
        </row>
        <row r="978">
          <cell r="A978">
            <v>173241</v>
          </cell>
          <cell r="B978" t="str">
            <v>Стул Sheffilton SHT-ST35/S39 СТ-286 ягодное варенье/прозрачный лак</v>
          </cell>
          <cell r="C978">
            <v>4333.33</v>
          </cell>
          <cell r="E978">
            <v>285</v>
          </cell>
          <cell r="F978">
            <v>371</v>
          </cell>
        </row>
        <row r="979">
          <cell r="A979">
            <v>180402</v>
          </cell>
          <cell r="B979" t="str">
            <v>Стул Sheffilton SHT-ST35/S39 СТ-286 ягодное варенье/светлый орех</v>
          </cell>
          <cell r="C979">
            <v>4420</v>
          </cell>
          <cell r="E979">
            <v>291</v>
          </cell>
          <cell r="F979">
            <v>378</v>
          </cell>
        </row>
        <row r="980">
          <cell r="A980">
            <v>209699</v>
          </cell>
          <cell r="B980" t="str">
            <v>Стул Sheffilton SHT-ST35/S64  горчичный/черный муар</v>
          </cell>
          <cell r="C980">
            <v>3286.67</v>
          </cell>
          <cell r="E980">
            <v>217</v>
          </cell>
          <cell r="F980">
            <v>282</v>
          </cell>
        </row>
        <row r="981">
          <cell r="A981">
            <v>208653</v>
          </cell>
          <cell r="B981" t="str">
            <v>Стул Sheffilton SHT-ST35/S64  розовый десерт/хром лак</v>
          </cell>
          <cell r="C981">
            <v>3373.33</v>
          </cell>
          <cell r="E981">
            <v>222</v>
          </cell>
          <cell r="F981">
            <v>289</v>
          </cell>
        </row>
        <row r="982">
          <cell r="A982">
            <v>208920</v>
          </cell>
          <cell r="B982" t="str">
            <v>Стул Sheffilton SHT-ST35/S64  тихий океан/черный муар</v>
          </cell>
          <cell r="C982">
            <v>3246.67</v>
          </cell>
          <cell r="E982">
            <v>214</v>
          </cell>
          <cell r="F982">
            <v>278</v>
          </cell>
        </row>
        <row r="983">
          <cell r="A983">
            <v>208654</v>
          </cell>
          <cell r="B983" t="str">
            <v>Стул Sheffilton SHT-ST35/S64  ягодное варенье/хром лак</v>
          </cell>
          <cell r="C983">
            <v>3340</v>
          </cell>
          <cell r="E983">
            <v>220</v>
          </cell>
          <cell r="F983">
            <v>286</v>
          </cell>
        </row>
        <row r="984">
          <cell r="A984">
            <v>149730</v>
          </cell>
          <cell r="B984" t="str">
            <v>Стул Sheffilton SHT-ST35/S64 СТ-304 кофейный ликер/черный муар</v>
          </cell>
          <cell r="C984">
            <v>3246.67</v>
          </cell>
          <cell r="E984">
            <v>214</v>
          </cell>
          <cell r="F984">
            <v>278</v>
          </cell>
        </row>
        <row r="985">
          <cell r="A985">
            <v>209700</v>
          </cell>
          <cell r="B985" t="str">
            <v>Стул Sheffilton SHT-ST35/S70  горчичный/темный орех/черный</v>
          </cell>
          <cell r="C985">
            <v>4573.33</v>
          </cell>
          <cell r="E985">
            <v>301</v>
          </cell>
          <cell r="F985">
            <v>391</v>
          </cell>
        </row>
        <row r="986">
          <cell r="A986">
            <v>209028</v>
          </cell>
          <cell r="B986" t="str">
            <v>Стул Sheffilton SHT-ST35/S70  тихий океан/темный орех/черный</v>
          </cell>
          <cell r="C986">
            <v>4533.33</v>
          </cell>
          <cell r="E986">
            <v>299</v>
          </cell>
          <cell r="F986">
            <v>389</v>
          </cell>
        </row>
        <row r="987">
          <cell r="A987">
            <v>149735</v>
          </cell>
          <cell r="B987" t="str">
            <v>Стул Sheffilton SHT-ST35/S70 СТ-365 кофейный ликер/темный орех/черный</v>
          </cell>
          <cell r="C987">
            <v>4533.33</v>
          </cell>
          <cell r="E987">
            <v>299</v>
          </cell>
          <cell r="F987">
            <v>389</v>
          </cell>
        </row>
        <row r="988">
          <cell r="A988">
            <v>149736</v>
          </cell>
          <cell r="B988" t="str">
            <v>Стул Sheffilton SHT-ST35/S71  кофейный ликер/дуб браш. коричневый</v>
          </cell>
          <cell r="C988">
            <v>5573.33</v>
          </cell>
          <cell r="E988">
            <v>367</v>
          </cell>
          <cell r="F988">
            <v>477</v>
          </cell>
        </row>
        <row r="989">
          <cell r="A989">
            <v>179993</v>
          </cell>
          <cell r="B989" t="str">
            <v>Стул Sheffilton SHT-ST35/S95 СТ-379 кофейный ликер/черный муар</v>
          </cell>
          <cell r="C989">
            <v>3366.67</v>
          </cell>
          <cell r="E989">
            <v>222</v>
          </cell>
          <cell r="F989">
            <v>289</v>
          </cell>
        </row>
        <row r="990">
          <cell r="A990">
            <v>180450</v>
          </cell>
          <cell r="B990" t="str">
            <v>Стул Sheffilton SHT-ST35/S95 СТ-379 ягодное варенье/черный муар</v>
          </cell>
          <cell r="C990">
            <v>3360</v>
          </cell>
          <cell r="E990">
            <v>221</v>
          </cell>
          <cell r="F990">
            <v>287</v>
          </cell>
        </row>
        <row r="991">
          <cell r="A991">
            <v>209703</v>
          </cell>
          <cell r="B991" t="str">
            <v>Стул Sheffilton SHT-ST35/S95-1  горчичный/белый муар</v>
          </cell>
          <cell r="C991">
            <v>3420</v>
          </cell>
          <cell r="E991">
            <v>225</v>
          </cell>
          <cell r="F991">
            <v>293</v>
          </cell>
        </row>
        <row r="992">
          <cell r="A992">
            <v>209702</v>
          </cell>
          <cell r="B992" t="str">
            <v>Стул Sheffilton SHT-ST35/S95-1  горчичный/черный муар/золото</v>
          </cell>
          <cell r="C992">
            <v>3440</v>
          </cell>
          <cell r="E992">
            <v>227</v>
          </cell>
          <cell r="F992">
            <v>295</v>
          </cell>
        </row>
        <row r="993">
          <cell r="A993">
            <v>199585</v>
          </cell>
          <cell r="B993" t="str">
            <v>Стул Sheffilton SHT-ST35/S95-1  розовый десерт/белый муар</v>
          </cell>
          <cell r="C993">
            <v>3406.67</v>
          </cell>
          <cell r="E993">
            <v>224</v>
          </cell>
          <cell r="F993">
            <v>291</v>
          </cell>
        </row>
        <row r="994">
          <cell r="A994">
            <v>209030</v>
          </cell>
          <cell r="B994" t="str">
            <v>Стул Sheffilton SHT-ST35/S95-1 СТ-352 тихий океан/черный муар/золото</v>
          </cell>
          <cell r="C994">
            <v>3400</v>
          </cell>
          <cell r="E994">
            <v>224</v>
          </cell>
          <cell r="F994">
            <v>291</v>
          </cell>
        </row>
        <row r="995">
          <cell r="A995">
            <v>196664</v>
          </cell>
          <cell r="B995" t="str">
            <v>Стул Sheffilton SHT-ST36-1/S100  песчаная буря/хром лак</v>
          </cell>
          <cell r="C995">
            <v>4020</v>
          </cell>
          <cell r="E995">
            <v>265</v>
          </cell>
          <cell r="F995">
            <v>345</v>
          </cell>
        </row>
        <row r="996">
          <cell r="A996">
            <v>196665</v>
          </cell>
          <cell r="B996" t="str">
            <v>Стул Sheffilton SHT-ST36-1/S100 СТ-390 песчаная буря/черный муар</v>
          </cell>
          <cell r="C996">
            <v>3933.33</v>
          </cell>
          <cell r="E996">
            <v>259</v>
          </cell>
          <cell r="F996">
            <v>337</v>
          </cell>
        </row>
        <row r="997">
          <cell r="A997">
            <v>188419</v>
          </cell>
          <cell r="B997" t="str">
            <v>Стул Sheffilton SHT-ST36-1/S100 СТ-390 тихий океан/чёрный муар</v>
          </cell>
          <cell r="C997">
            <v>3900</v>
          </cell>
          <cell r="E997">
            <v>257</v>
          </cell>
          <cell r="F997">
            <v>334</v>
          </cell>
        </row>
        <row r="998">
          <cell r="A998">
            <v>188420</v>
          </cell>
          <cell r="B998" t="str">
            <v>Стул Sheffilton SHT-ST36-1/S106  тихий океан/хром лак</v>
          </cell>
          <cell r="C998">
            <v>4713.33</v>
          </cell>
          <cell r="E998">
            <v>311</v>
          </cell>
          <cell r="F998">
            <v>404</v>
          </cell>
        </row>
        <row r="999">
          <cell r="A999">
            <v>196660</v>
          </cell>
          <cell r="B999" t="str">
            <v>Стул Sheffilton SHT-ST36-1/S107  песчаная буря/хром лак</v>
          </cell>
          <cell r="C999">
            <v>4066.67</v>
          </cell>
          <cell r="E999">
            <v>268</v>
          </cell>
          <cell r="F999">
            <v>348</v>
          </cell>
        </row>
        <row r="1000">
          <cell r="A1000">
            <v>196661</v>
          </cell>
          <cell r="B1000" t="str">
            <v>Стул Sheffilton SHT-ST36-1/S107  песчаная буря/черный муар</v>
          </cell>
          <cell r="C1000">
            <v>4000</v>
          </cell>
          <cell r="E1000">
            <v>264</v>
          </cell>
          <cell r="F1000">
            <v>343</v>
          </cell>
        </row>
        <row r="1001">
          <cell r="A1001">
            <v>188421</v>
          </cell>
          <cell r="B1001" t="str">
            <v>Стул Sheffilton SHT-ST36-1/S112  тихий океан/черный муар</v>
          </cell>
          <cell r="C1001">
            <v>4980</v>
          </cell>
          <cell r="E1001">
            <v>328</v>
          </cell>
          <cell r="F1001">
            <v>426</v>
          </cell>
        </row>
        <row r="1002">
          <cell r="A1002">
            <v>196666</v>
          </cell>
          <cell r="B1002" t="str">
            <v>Стул Sheffilton SHT-ST36-1/S113  песчаная буря/черный муар</v>
          </cell>
          <cell r="C1002">
            <v>4566.67</v>
          </cell>
          <cell r="E1002">
            <v>301</v>
          </cell>
          <cell r="F1002">
            <v>391</v>
          </cell>
        </row>
        <row r="1003">
          <cell r="A1003">
            <v>187900</v>
          </cell>
          <cell r="B1003" t="str">
            <v>Стул Sheffilton SHT-ST36-1/S122  тихий океан/темный орех/черный муар</v>
          </cell>
          <cell r="C1003">
            <v>6146.67</v>
          </cell>
          <cell r="E1003">
            <v>405</v>
          </cell>
          <cell r="F1003">
            <v>527</v>
          </cell>
        </row>
        <row r="1004">
          <cell r="A1004">
            <v>210794</v>
          </cell>
          <cell r="B1004" t="str">
            <v>Стул Sheffilton SHT-ST36-1/S129  песчаная буря/венге крупный</v>
          </cell>
          <cell r="C1004">
            <v>4760</v>
          </cell>
          <cell r="E1004">
            <v>314</v>
          </cell>
          <cell r="F1004">
            <v>408</v>
          </cell>
        </row>
        <row r="1005">
          <cell r="A1005">
            <v>210795</v>
          </cell>
          <cell r="B1005" t="str">
            <v>Стул Sheffilton SHT-ST36-1/S129  тихий океан/венге крупный</v>
          </cell>
          <cell r="C1005">
            <v>4726.67</v>
          </cell>
          <cell r="E1005">
            <v>311</v>
          </cell>
          <cell r="F1005">
            <v>404</v>
          </cell>
        </row>
        <row r="1006">
          <cell r="A1006">
            <v>210808</v>
          </cell>
          <cell r="B1006" t="str">
            <v>Стул Sheffilton SHT-ST36-1/S129 СТ-506 тихий океан/белый муар/золото</v>
          </cell>
          <cell r="C1006">
            <v>4000</v>
          </cell>
          <cell r="E1006">
            <v>264</v>
          </cell>
          <cell r="F1006">
            <v>343</v>
          </cell>
        </row>
        <row r="1007">
          <cell r="A1007">
            <v>196654</v>
          </cell>
          <cell r="B1007" t="str">
            <v>Стул Sheffilton SHT-ST36-1/S37  песчаная буря/белый</v>
          </cell>
          <cell r="C1007">
            <v>3813.33</v>
          </cell>
          <cell r="E1007">
            <v>251</v>
          </cell>
          <cell r="F1007">
            <v>326</v>
          </cell>
        </row>
        <row r="1008">
          <cell r="A1008">
            <v>196656</v>
          </cell>
          <cell r="B1008" t="str">
            <v>Стул Sheffilton SHT-ST36-1/S37  песчаная буря/хром лак</v>
          </cell>
          <cell r="C1008">
            <v>3906.67</v>
          </cell>
          <cell r="E1008">
            <v>257</v>
          </cell>
          <cell r="F1008">
            <v>334</v>
          </cell>
        </row>
        <row r="1009">
          <cell r="A1009">
            <v>196655</v>
          </cell>
          <cell r="B1009" t="str">
            <v>Стул Sheffilton SHT-ST36-1/S37  песчаная буря/черный муар/зол.платина</v>
          </cell>
          <cell r="C1009">
            <v>3846.67</v>
          </cell>
          <cell r="E1009">
            <v>253</v>
          </cell>
          <cell r="F1009">
            <v>329</v>
          </cell>
        </row>
        <row r="1010">
          <cell r="A1010">
            <v>188414</v>
          </cell>
          <cell r="B1010" t="str">
            <v>Стул Sheffilton SHT-ST36-1/S37  тихий океан/черный муар</v>
          </cell>
          <cell r="C1010">
            <v>3780</v>
          </cell>
          <cell r="E1010">
            <v>249</v>
          </cell>
          <cell r="F1010">
            <v>324</v>
          </cell>
        </row>
        <row r="1011">
          <cell r="A1011">
            <v>188413</v>
          </cell>
          <cell r="B1011" t="str">
            <v>Стул Sheffilton SHT-ST36-1/S37 СТ-466 тихий океан/золото</v>
          </cell>
          <cell r="C1011">
            <v>3873.33</v>
          </cell>
          <cell r="E1011">
            <v>255</v>
          </cell>
          <cell r="F1011">
            <v>332</v>
          </cell>
        </row>
        <row r="1012">
          <cell r="A1012">
            <v>188665</v>
          </cell>
          <cell r="B1012" t="str">
            <v>Стул Sheffilton SHT-ST36-1/S38  тихий океан/медный металлик</v>
          </cell>
          <cell r="C1012">
            <v>3713.33</v>
          </cell>
          <cell r="E1012">
            <v>245</v>
          </cell>
          <cell r="F1012">
            <v>319</v>
          </cell>
        </row>
        <row r="1013">
          <cell r="A1013">
            <v>196658</v>
          </cell>
          <cell r="B1013" t="str">
            <v>Стул Sheffilton SHT-ST36-1/S39  песчаная буря/белый/платина/серебро</v>
          </cell>
          <cell r="C1013">
            <v>4980</v>
          </cell>
          <cell r="E1013">
            <v>328</v>
          </cell>
          <cell r="F1013">
            <v>426</v>
          </cell>
        </row>
        <row r="1014">
          <cell r="A1014">
            <v>196659</v>
          </cell>
          <cell r="B1014" t="str">
            <v>Стул Sheffilton SHT-ST36-1/S39  песчаная буря/дуб выбеленный</v>
          </cell>
          <cell r="C1014">
            <v>5220</v>
          </cell>
          <cell r="E1014">
            <v>344</v>
          </cell>
          <cell r="F1014">
            <v>447</v>
          </cell>
        </row>
        <row r="1015">
          <cell r="A1015">
            <v>196657</v>
          </cell>
          <cell r="B1015" t="str">
            <v>Стул Sheffilton SHT-ST36-1/S39  песчаная буря/прозрачный лак</v>
          </cell>
          <cell r="C1015">
            <v>5073.33</v>
          </cell>
          <cell r="E1015">
            <v>334</v>
          </cell>
          <cell r="F1015">
            <v>434</v>
          </cell>
        </row>
        <row r="1016">
          <cell r="A1016">
            <v>185176</v>
          </cell>
          <cell r="B1016" t="str">
            <v>Стул Sheffilton SHT-ST36-1/S39  тихий океан/венге</v>
          </cell>
          <cell r="C1016">
            <v>5160</v>
          </cell>
          <cell r="E1016">
            <v>340</v>
          </cell>
          <cell r="F1016">
            <v>442</v>
          </cell>
        </row>
        <row r="1017">
          <cell r="A1017">
            <v>188415</v>
          </cell>
          <cell r="B1017" t="str">
            <v>Стул Sheffilton SHT-ST36-1/S39 СТ-362 тихий океан/дуб атланта брашированный</v>
          </cell>
          <cell r="C1017">
            <v>5473.33</v>
          </cell>
          <cell r="E1017">
            <v>361</v>
          </cell>
          <cell r="F1017">
            <v>469</v>
          </cell>
        </row>
        <row r="1018">
          <cell r="A1018">
            <v>188416</v>
          </cell>
          <cell r="B1018" t="str">
            <v>Стул Sheffilton SHT-ST36-1/S39 СТ-362 тихий океан/светлый орех</v>
          </cell>
          <cell r="C1018">
            <v>5126.67</v>
          </cell>
          <cell r="E1018">
            <v>338</v>
          </cell>
          <cell r="F1018">
            <v>439</v>
          </cell>
        </row>
        <row r="1019">
          <cell r="A1019">
            <v>196667</v>
          </cell>
          <cell r="B1019" t="str">
            <v>Стул Sheffilton SHT-ST36-1/S64  песчаная буря/хром лак</v>
          </cell>
          <cell r="C1019">
            <v>4080</v>
          </cell>
          <cell r="E1019">
            <v>269</v>
          </cell>
          <cell r="F1019">
            <v>350</v>
          </cell>
        </row>
        <row r="1020">
          <cell r="A1020">
            <v>196668</v>
          </cell>
          <cell r="B1020" t="str">
            <v>Стул Sheffilton SHT-ST36-1/S64  песчаная буря/черный муар</v>
          </cell>
          <cell r="C1020">
            <v>3980</v>
          </cell>
          <cell r="E1020">
            <v>262</v>
          </cell>
          <cell r="F1020">
            <v>341</v>
          </cell>
        </row>
        <row r="1021">
          <cell r="A1021">
            <v>208647</v>
          </cell>
          <cell r="B1021" t="str">
            <v>Стул Sheffilton SHT-ST36-1/S64  тихий океан/хром лак</v>
          </cell>
          <cell r="C1021">
            <v>4046.67</v>
          </cell>
          <cell r="E1021">
            <v>267</v>
          </cell>
          <cell r="F1021">
            <v>347</v>
          </cell>
        </row>
        <row r="1022">
          <cell r="A1022">
            <v>196669</v>
          </cell>
          <cell r="B1022" t="str">
            <v>Стул Sheffilton SHT-ST36-1/S70  песчаная буря/прозрачный лак/черный муар</v>
          </cell>
          <cell r="C1022">
            <v>5220</v>
          </cell>
          <cell r="E1022">
            <v>344</v>
          </cell>
          <cell r="F1022">
            <v>447</v>
          </cell>
        </row>
        <row r="1023">
          <cell r="A1023">
            <v>196670</v>
          </cell>
          <cell r="B1023" t="str">
            <v>Стул Sheffilton SHT-ST36-1/S70  песчаная буря/темный орех/черный муар</v>
          </cell>
          <cell r="C1023">
            <v>5266.67</v>
          </cell>
          <cell r="E1023">
            <v>347</v>
          </cell>
          <cell r="F1023">
            <v>451</v>
          </cell>
        </row>
        <row r="1024">
          <cell r="A1024">
            <v>188417</v>
          </cell>
          <cell r="B1024" t="str">
            <v>Стул Sheffilton SHT-ST36-1/S70  тихий океан/темный орех/черный муар</v>
          </cell>
          <cell r="C1024">
            <v>5233.33</v>
          </cell>
          <cell r="E1024">
            <v>345</v>
          </cell>
          <cell r="F1024">
            <v>449</v>
          </cell>
        </row>
        <row r="1025">
          <cell r="A1025">
            <v>192462</v>
          </cell>
          <cell r="B1025" t="str">
            <v>Стул Sheffilton SHT-ST36-1/S95-1 CT-374 тихий океан/черный муар/золото</v>
          </cell>
          <cell r="C1025">
            <v>4100</v>
          </cell>
          <cell r="E1025">
            <v>270</v>
          </cell>
          <cell r="F1025">
            <v>351</v>
          </cell>
        </row>
        <row r="1026">
          <cell r="A1026">
            <v>196662</v>
          </cell>
          <cell r="B1026" t="str">
            <v>Стул Sheffilton SHT-ST36-1/S95-1 СТ-374 песчаная буря/черный муар/золото</v>
          </cell>
          <cell r="C1026">
            <v>4133.33</v>
          </cell>
          <cell r="E1026">
            <v>272</v>
          </cell>
          <cell r="F1026">
            <v>354</v>
          </cell>
        </row>
        <row r="1027">
          <cell r="A1027">
            <v>199586</v>
          </cell>
          <cell r="B1027" t="str">
            <v>Стул Sheffilton SHT-ST36-1/S95-1 СТ-374 тихий океан/белый муар</v>
          </cell>
          <cell r="C1027">
            <v>4080</v>
          </cell>
          <cell r="E1027">
            <v>269</v>
          </cell>
          <cell r="F1027">
            <v>350</v>
          </cell>
        </row>
        <row r="1028">
          <cell r="A1028">
            <v>204664</v>
          </cell>
          <cell r="B1028" t="str">
            <v>Стул Sheffilton SHT-ST36-3/S100 СТ-516 нежная мята/черный муар</v>
          </cell>
          <cell r="C1028">
            <v>3900</v>
          </cell>
          <cell r="E1028">
            <v>257</v>
          </cell>
          <cell r="F1028">
            <v>334</v>
          </cell>
        </row>
        <row r="1029">
          <cell r="A1029">
            <v>204665</v>
          </cell>
          <cell r="B1029" t="str">
            <v>Стул Sheffilton SHT-ST36-3/S106  нежная мята/черный муар</v>
          </cell>
          <cell r="C1029">
            <v>4646.67</v>
          </cell>
          <cell r="E1029">
            <v>306</v>
          </cell>
          <cell r="F1029">
            <v>398</v>
          </cell>
        </row>
        <row r="1030">
          <cell r="A1030">
            <v>188645</v>
          </cell>
          <cell r="B1030" t="str">
            <v>Стул Sheffilton SHT-ST36-3/S106  нейтральный серый/черный муар</v>
          </cell>
          <cell r="C1030">
            <v>4546.67</v>
          </cell>
          <cell r="E1030">
            <v>300</v>
          </cell>
          <cell r="F1030">
            <v>390</v>
          </cell>
        </row>
        <row r="1031">
          <cell r="A1031">
            <v>188646</v>
          </cell>
          <cell r="B1031" t="str">
            <v>Стул Sheffilton SHT-ST36-3/S107 СТ-347 нейтральный серый/чёрный муар</v>
          </cell>
          <cell r="C1031">
            <v>3866.67</v>
          </cell>
          <cell r="E1031">
            <v>255</v>
          </cell>
          <cell r="F1031">
            <v>332</v>
          </cell>
        </row>
        <row r="1032">
          <cell r="A1032">
            <v>204666</v>
          </cell>
          <cell r="B1032" t="str">
            <v>Стул Sheffilton SHT-ST36-3/S112  нежная мята/черный муар</v>
          </cell>
          <cell r="C1032">
            <v>4980</v>
          </cell>
          <cell r="E1032">
            <v>328</v>
          </cell>
          <cell r="F1032">
            <v>426</v>
          </cell>
        </row>
        <row r="1033">
          <cell r="A1033">
            <v>188666</v>
          </cell>
          <cell r="B1033" t="str">
            <v>Стул Sheffilton SHT-ST36-3/S113  нейтральный серый/хром лак</v>
          </cell>
          <cell r="C1033">
            <v>4433.33</v>
          </cell>
          <cell r="E1033">
            <v>292</v>
          </cell>
          <cell r="F1033">
            <v>380</v>
          </cell>
        </row>
        <row r="1034">
          <cell r="A1034">
            <v>185163</v>
          </cell>
          <cell r="B1034" t="str">
            <v>Стул Sheffilton SHT-ST36-3/S113  нейтральный серый/черный муар</v>
          </cell>
          <cell r="C1034">
            <v>4433.33</v>
          </cell>
          <cell r="E1034">
            <v>292</v>
          </cell>
          <cell r="F1034">
            <v>380</v>
          </cell>
        </row>
        <row r="1035">
          <cell r="A1035">
            <v>204667</v>
          </cell>
          <cell r="B1035" t="str">
            <v>Стул Sheffilton SHT-ST36-3/S113 СТ-446 нежная мята/черный муар</v>
          </cell>
          <cell r="C1035">
            <v>4533.33</v>
          </cell>
          <cell r="E1035">
            <v>299</v>
          </cell>
          <cell r="F1035">
            <v>389</v>
          </cell>
        </row>
        <row r="1036">
          <cell r="A1036">
            <v>204671</v>
          </cell>
          <cell r="B1036" t="str">
            <v>Стул Sheffilton SHT-ST36-3/S122 СТ-403 нежная мята/темный орех/черный муар</v>
          </cell>
          <cell r="C1036">
            <v>6146.67</v>
          </cell>
          <cell r="E1036">
            <v>405</v>
          </cell>
          <cell r="F1036">
            <v>527</v>
          </cell>
        </row>
        <row r="1037">
          <cell r="A1037">
            <v>188553</v>
          </cell>
          <cell r="B1037" t="str">
            <v>Стул Sheffilton SHT-ST36-3/S122 СТ-403 нейтральный серый/темный орех</v>
          </cell>
          <cell r="C1037">
            <v>6046.67</v>
          </cell>
          <cell r="E1037">
            <v>398</v>
          </cell>
          <cell r="F1037">
            <v>517</v>
          </cell>
        </row>
        <row r="1038">
          <cell r="A1038">
            <v>210796</v>
          </cell>
          <cell r="B1038" t="str">
            <v>Стул Sheffilton SHT-ST36-3/S129  нежная мята/венге крупный</v>
          </cell>
          <cell r="C1038">
            <v>4726.67</v>
          </cell>
          <cell r="E1038">
            <v>311</v>
          </cell>
          <cell r="F1038">
            <v>404</v>
          </cell>
        </row>
        <row r="1039">
          <cell r="A1039">
            <v>210809</v>
          </cell>
          <cell r="B1039" t="str">
            <v>Стул Sheffilton SHT-ST36-3/S129  нейтральный серый/белый муар/золото</v>
          </cell>
          <cell r="C1039">
            <v>3900</v>
          </cell>
          <cell r="E1039">
            <v>257</v>
          </cell>
          <cell r="F1039">
            <v>334</v>
          </cell>
        </row>
        <row r="1040">
          <cell r="A1040">
            <v>204658</v>
          </cell>
          <cell r="B1040" t="str">
            <v>Стул Sheffilton SHT-ST36-3/S37  нежная мята/белый</v>
          </cell>
          <cell r="C1040">
            <v>3780</v>
          </cell>
          <cell r="E1040">
            <v>249</v>
          </cell>
          <cell r="F1040">
            <v>324</v>
          </cell>
        </row>
        <row r="1041">
          <cell r="A1041">
            <v>204659</v>
          </cell>
          <cell r="B1041" t="str">
            <v>Стул Sheffilton SHT-ST36-3/S37  нежная мята/медный металлик</v>
          </cell>
          <cell r="C1041">
            <v>3780</v>
          </cell>
          <cell r="E1041">
            <v>249</v>
          </cell>
          <cell r="F1041">
            <v>324</v>
          </cell>
        </row>
        <row r="1042">
          <cell r="A1042">
            <v>204657</v>
          </cell>
          <cell r="B1042" t="str">
            <v>Стул Sheffilton SHT-ST36-3/S37  нежная мята/черный муар</v>
          </cell>
          <cell r="C1042">
            <v>3780</v>
          </cell>
          <cell r="E1042">
            <v>249</v>
          </cell>
          <cell r="F1042">
            <v>324</v>
          </cell>
        </row>
        <row r="1043">
          <cell r="A1043">
            <v>188555</v>
          </cell>
          <cell r="B1043" t="str">
            <v>Стул Sheffilton SHT-ST36-3/S37  нейтральный серый/черный муар</v>
          </cell>
          <cell r="C1043">
            <v>3680</v>
          </cell>
          <cell r="E1043">
            <v>242</v>
          </cell>
          <cell r="F1043">
            <v>315</v>
          </cell>
        </row>
        <row r="1044">
          <cell r="A1044">
            <v>185161</v>
          </cell>
          <cell r="B1044" t="str">
            <v>Стул Sheffilton SHT-ST36-3/S37 СТ-400 нейтральный серый/хром лак</v>
          </cell>
          <cell r="C1044">
            <v>3773.33</v>
          </cell>
          <cell r="E1044">
            <v>249</v>
          </cell>
          <cell r="F1044">
            <v>324</v>
          </cell>
        </row>
        <row r="1045">
          <cell r="A1045">
            <v>204660</v>
          </cell>
          <cell r="B1045" t="str">
            <v>Стул Sheffilton SHT-ST36-3/S38  нежная мята/хром лак</v>
          </cell>
          <cell r="C1045">
            <v>4026.67</v>
          </cell>
          <cell r="E1045">
            <v>265</v>
          </cell>
          <cell r="F1045">
            <v>345</v>
          </cell>
        </row>
        <row r="1046">
          <cell r="A1046">
            <v>188647</v>
          </cell>
          <cell r="B1046" t="str">
            <v>Стул Sheffilton SHT-ST36-3/S38  нейтральный серый/черный муар</v>
          </cell>
          <cell r="C1046">
            <v>3806.67</v>
          </cell>
          <cell r="E1046">
            <v>251</v>
          </cell>
          <cell r="F1046">
            <v>326</v>
          </cell>
        </row>
        <row r="1047">
          <cell r="A1047">
            <v>204669</v>
          </cell>
          <cell r="B1047" t="str">
            <v>Стул Sheffilton SHT-ST36-3/S39  нежная мята/прозрачный лак</v>
          </cell>
          <cell r="C1047">
            <v>5040</v>
          </cell>
          <cell r="E1047">
            <v>332</v>
          </cell>
          <cell r="F1047">
            <v>432</v>
          </cell>
        </row>
        <row r="1048">
          <cell r="A1048">
            <v>204668</v>
          </cell>
          <cell r="B1048" t="str">
            <v>Стул Sheffilton SHT-ST36-3/S39  нежная мята/темный орех</v>
          </cell>
          <cell r="C1048">
            <v>5160</v>
          </cell>
          <cell r="E1048">
            <v>340</v>
          </cell>
          <cell r="F1048">
            <v>442</v>
          </cell>
        </row>
        <row r="1049">
          <cell r="A1049">
            <v>188508</v>
          </cell>
          <cell r="B1049" t="str">
            <v>Стул Sheffilton SHT-ST36-3/S39  нейтральный серый/венге</v>
          </cell>
          <cell r="C1049">
            <v>5060</v>
          </cell>
          <cell r="E1049">
            <v>333</v>
          </cell>
          <cell r="F1049">
            <v>433</v>
          </cell>
        </row>
        <row r="1050">
          <cell r="A1050">
            <v>188548</v>
          </cell>
          <cell r="B1050" t="str">
            <v>Стул Sheffilton SHT-ST36-3/S39  нейтральный серый/дуб атлант браш.</v>
          </cell>
          <cell r="C1050">
            <v>5373.33</v>
          </cell>
          <cell r="E1050">
            <v>354</v>
          </cell>
          <cell r="F1050">
            <v>460</v>
          </cell>
        </row>
        <row r="1051">
          <cell r="A1051">
            <v>208649</v>
          </cell>
          <cell r="B1051" t="str">
            <v>Стул Sheffilton SHT-ST36-3/S64  нежная мята/хром лак</v>
          </cell>
          <cell r="C1051">
            <v>4046.67</v>
          </cell>
          <cell r="E1051">
            <v>267</v>
          </cell>
          <cell r="F1051">
            <v>347</v>
          </cell>
        </row>
        <row r="1052">
          <cell r="A1052">
            <v>208648</v>
          </cell>
          <cell r="B1052" t="str">
            <v>Стул Sheffilton SHT-ST36-3/S64  нейтральный серый/хром лак</v>
          </cell>
          <cell r="C1052">
            <v>3946.67</v>
          </cell>
          <cell r="E1052">
            <v>260</v>
          </cell>
          <cell r="F1052">
            <v>338</v>
          </cell>
        </row>
        <row r="1053">
          <cell r="A1053">
            <v>204670</v>
          </cell>
          <cell r="B1053" t="str">
            <v>Стул Sheffilton SHT-ST36-3/S70  нежная мята/темный орех/черный</v>
          </cell>
          <cell r="C1053">
            <v>5233.33</v>
          </cell>
          <cell r="E1053">
            <v>345</v>
          </cell>
          <cell r="F1053">
            <v>449</v>
          </cell>
        </row>
        <row r="1054">
          <cell r="A1054">
            <v>188552</v>
          </cell>
          <cell r="B1054" t="str">
            <v>Стул Sheffilton SHT-ST36-3/S70  нейтральный серый/темный орех/черный му</v>
          </cell>
          <cell r="C1054">
            <v>5133.33</v>
          </cell>
          <cell r="E1054">
            <v>338</v>
          </cell>
          <cell r="F1054">
            <v>439</v>
          </cell>
        </row>
        <row r="1055">
          <cell r="A1055">
            <v>188307</v>
          </cell>
          <cell r="B1055" t="str">
            <v>Стул Sheffilton SHT-ST36-3/S87  нейтральный серый/черный муар</v>
          </cell>
          <cell r="C1055">
            <v>5340</v>
          </cell>
          <cell r="E1055">
            <v>352</v>
          </cell>
          <cell r="F1055">
            <v>458</v>
          </cell>
        </row>
        <row r="1056">
          <cell r="A1056">
            <v>204662</v>
          </cell>
          <cell r="B1056" t="str">
            <v>Стул Sheffilton SHT-ST36-3/S95-1  нежная мята/белый муар</v>
          </cell>
          <cell r="C1056">
            <v>4080</v>
          </cell>
          <cell r="E1056">
            <v>269</v>
          </cell>
          <cell r="F1056">
            <v>350</v>
          </cell>
        </row>
        <row r="1057">
          <cell r="A1057">
            <v>204663</v>
          </cell>
          <cell r="B1057" t="str">
            <v>Стул Sheffilton SHT-ST36-3/S95-1  нежная мята/черный муар/золото</v>
          </cell>
          <cell r="C1057">
            <v>4100</v>
          </cell>
          <cell r="E1057">
            <v>270</v>
          </cell>
          <cell r="F1057">
            <v>351</v>
          </cell>
        </row>
        <row r="1058">
          <cell r="A1058">
            <v>199587</v>
          </cell>
          <cell r="B1058" t="str">
            <v>Стул Sheffilton SHT-ST36-3/S95-1  нейтральный серый/белый муар</v>
          </cell>
          <cell r="C1058">
            <v>3980</v>
          </cell>
          <cell r="E1058">
            <v>262</v>
          </cell>
          <cell r="F1058">
            <v>341</v>
          </cell>
        </row>
        <row r="1059">
          <cell r="A1059">
            <v>192463</v>
          </cell>
          <cell r="B1059" t="str">
            <v>Стул Sheffilton SHT-ST36-3/S95-1  нейтральный серый/черный муар/золото</v>
          </cell>
          <cell r="C1059">
            <v>4000</v>
          </cell>
          <cell r="E1059">
            <v>264</v>
          </cell>
          <cell r="F1059">
            <v>343</v>
          </cell>
        </row>
        <row r="1060">
          <cell r="A1060">
            <v>192464</v>
          </cell>
          <cell r="B1060" t="str">
            <v>Стул Sheffilton SHT-ST36-3/S95-1 СТ-448 нейтральный серый/черный муар</v>
          </cell>
          <cell r="C1060">
            <v>3966.67</v>
          </cell>
          <cell r="E1060">
            <v>261</v>
          </cell>
          <cell r="F1060">
            <v>339</v>
          </cell>
        </row>
        <row r="1061">
          <cell r="A1061">
            <v>205216</v>
          </cell>
          <cell r="B1061" t="str">
            <v>Стул Sheffilton SHT-ST36-4/S106  сумеречная орхидея/черный муар</v>
          </cell>
          <cell r="C1061">
            <v>4673.33</v>
          </cell>
          <cell r="E1061">
            <v>308</v>
          </cell>
          <cell r="F1061">
            <v>400</v>
          </cell>
        </row>
        <row r="1062">
          <cell r="A1062">
            <v>205215</v>
          </cell>
          <cell r="B1062" t="str">
            <v>Стул Sheffilton SHT-ST36-4/S107  сумеречная орхидея/хром лак</v>
          </cell>
          <cell r="C1062">
            <v>4060</v>
          </cell>
          <cell r="E1062">
            <v>267</v>
          </cell>
          <cell r="F1062">
            <v>347</v>
          </cell>
        </row>
        <row r="1063">
          <cell r="A1063">
            <v>205218</v>
          </cell>
          <cell r="B1063" t="str">
            <v>Стул Sheffilton SHT-ST36-4/S112  сумеречная орхидея/черный муар</v>
          </cell>
          <cell r="C1063">
            <v>5006.67</v>
          </cell>
          <cell r="E1063">
            <v>330</v>
          </cell>
          <cell r="F1063">
            <v>429</v>
          </cell>
        </row>
        <row r="1064">
          <cell r="A1064">
            <v>205217</v>
          </cell>
          <cell r="B1064" t="str">
            <v>Стул Sheffilton SHT-ST36-4/S113  сумеречная орхидея/черный муар</v>
          </cell>
          <cell r="C1064">
            <v>4560</v>
          </cell>
          <cell r="E1064">
            <v>300</v>
          </cell>
          <cell r="F1064">
            <v>390</v>
          </cell>
        </row>
        <row r="1065">
          <cell r="A1065">
            <v>205219</v>
          </cell>
          <cell r="B1065" t="str">
            <v>Стул Sheffilton SHT-ST36-4/S122  сумеречная орхидея/темный орех/черн.муар</v>
          </cell>
          <cell r="C1065">
            <v>6173.33</v>
          </cell>
          <cell r="E1065">
            <v>407</v>
          </cell>
          <cell r="F1065">
            <v>529</v>
          </cell>
        </row>
        <row r="1066">
          <cell r="A1066">
            <v>205205</v>
          </cell>
          <cell r="B1066" t="str">
            <v>Стул Sheffilton SHT-ST36-4/S37  сумеречная орхидея/золото</v>
          </cell>
          <cell r="C1066">
            <v>3900</v>
          </cell>
          <cell r="E1066">
            <v>257</v>
          </cell>
          <cell r="F1066">
            <v>334</v>
          </cell>
        </row>
        <row r="1067">
          <cell r="A1067">
            <v>205204</v>
          </cell>
          <cell r="B1067" t="str">
            <v>Стул Sheffilton SHT-ST36-4/S37 СТ-454 сумеречная орхидея/черный муар</v>
          </cell>
          <cell r="C1067">
            <v>3806.67</v>
          </cell>
          <cell r="E1067">
            <v>251</v>
          </cell>
          <cell r="F1067">
            <v>326</v>
          </cell>
        </row>
        <row r="1068">
          <cell r="A1068">
            <v>205206</v>
          </cell>
          <cell r="B1068" t="str">
            <v>Стул Sheffilton SHT-ST36-4/S38  сумеречная орхидея/черный муар</v>
          </cell>
          <cell r="C1068">
            <v>3933.33</v>
          </cell>
          <cell r="E1068">
            <v>259</v>
          </cell>
          <cell r="F1068">
            <v>337</v>
          </cell>
        </row>
        <row r="1069">
          <cell r="A1069">
            <v>205209</v>
          </cell>
          <cell r="B1069" t="str">
            <v>Стул Sheffilton SHT-ST36-4/S39  сумеречная орхидея/венге</v>
          </cell>
          <cell r="C1069">
            <v>5186.67</v>
          </cell>
          <cell r="E1069">
            <v>342</v>
          </cell>
          <cell r="F1069">
            <v>445</v>
          </cell>
        </row>
        <row r="1070">
          <cell r="A1070">
            <v>205208</v>
          </cell>
          <cell r="B1070" t="str">
            <v>Стул Sheffilton SHT-ST36-4/S39  сумеречная орхидея/прозрачный лак</v>
          </cell>
          <cell r="C1070">
            <v>5066.67</v>
          </cell>
          <cell r="E1070">
            <v>334</v>
          </cell>
          <cell r="F1070">
            <v>434</v>
          </cell>
        </row>
        <row r="1071">
          <cell r="A1071">
            <v>205207</v>
          </cell>
          <cell r="B1071" t="str">
            <v>Стул Sheffilton SHT-ST36-4/S39  сумеречная орхидея/темный орех</v>
          </cell>
          <cell r="C1071">
            <v>5186.67</v>
          </cell>
          <cell r="E1071">
            <v>342</v>
          </cell>
          <cell r="F1071">
            <v>445</v>
          </cell>
        </row>
        <row r="1072">
          <cell r="A1072">
            <v>208650</v>
          </cell>
          <cell r="B1072" t="str">
            <v>Стул Sheffilton SHT-ST36-4/S64  сумеречная орхидея/хром лак</v>
          </cell>
          <cell r="C1072">
            <v>4073.33</v>
          </cell>
          <cell r="E1072">
            <v>268</v>
          </cell>
          <cell r="F1072">
            <v>348</v>
          </cell>
        </row>
        <row r="1073">
          <cell r="A1073">
            <v>205210</v>
          </cell>
          <cell r="B1073" t="str">
            <v>Стул Sheffilton SHT-ST36-4/S64  сумеречная орхидея/черный муар</v>
          </cell>
          <cell r="C1073">
            <v>3973.33</v>
          </cell>
          <cell r="E1073">
            <v>262</v>
          </cell>
          <cell r="F1073">
            <v>341</v>
          </cell>
        </row>
        <row r="1074">
          <cell r="A1074">
            <v>205211</v>
          </cell>
          <cell r="B1074" t="str">
            <v>Стул Sheffilton SHT-ST36-4/S70  сумеречная орхидея/прозрачный лак/черный</v>
          </cell>
          <cell r="C1074">
            <v>5213.33</v>
          </cell>
          <cell r="E1074">
            <v>343</v>
          </cell>
          <cell r="F1074">
            <v>446</v>
          </cell>
        </row>
        <row r="1075">
          <cell r="A1075">
            <v>205214</v>
          </cell>
          <cell r="B1075" t="str">
            <v>Стул Sheffilton SHT-ST36-4/S95-1  сумеречная орхидея/черный муар/золото</v>
          </cell>
          <cell r="C1075">
            <v>4126.67</v>
          </cell>
          <cell r="E1075">
            <v>272</v>
          </cell>
          <cell r="F1075">
            <v>354</v>
          </cell>
        </row>
        <row r="1076">
          <cell r="A1076">
            <v>209465</v>
          </cell>
          <cell r="B1076" t="str">
            <v>Стул Sheffilton SHT-ST36/S100  ванильный крем/черный муар</v>
          </cell>
          <cell r="C1076">
            <v>3833.33</v>
          </cell>
          <cell r="E1076">
            <v>253</v>
          </cell>
          <cell r="F1076">
            <v>329</v>
          </cell>
        </row>
        <row r="1077">
          <cell r="A1077">
            <v>209634</v>
          </cell>
          <cell r="B1077" t="str">
            <v>Стул Sheffilton SHT-ST36/S106  ночное затмение/черный муар</v>
          </cell>
          <cell r="C1077">
            <v>4580</v>
          </cell>
          <cell r="E1077">
            <v>302</v>
          </cell>
          <cell r="F1077">
            <v>393</v>
          </cell>
        </row>
        <row r="1078">
          <cell r="A1078">
            <v>209633</v>
          </cell>
          <cell r="B1078" t="str">
            <v>Стул Sheffilton SHT-ST36/S107 СТ-531 ночное затмение/черный муар</v>
          </cell>
          <cell r="C1078">
            <v>3900</v>
          </cell>
          <cell r="E1078">
            <v>257</v>
          </cell>
          <cell r="F1078">
            <v>334</v>
          </cell>
        </row>
        <row r="1079">
          <cell r="A1079">
            <v>209466</v>
          </cell>
          <cell r="B1079" t="str">
            <v>Стул Sheffilton SHT-ST36/S113  ванильный крем/черный муар</v>
          </cell>
          <cell r="C1079">
            <v>4466.67</v>
          </cell>
          <cell r="E1079">
            <v>294</v>
          </cell>
          <cell r="F1079">
            <v>382</v>
          </cell>
        </row>
        <row r="1080">
          <cell r="A1080">
            <v>209632</v>
          </cell>
          <cell r="B1080" t="str">
            <v>Стул Sheffilton SHT-ST36/S113  ночное затмение/черный муар</v>
          </cell>
          <cell r="C1080">
            <v>4466.67</v>
          </cell>
          <cell r="E1080">
            <v>294</v>
          </cell>
          <cell r="F1080">
            <v>382</v>
          </cell>
        </row>
        <row r="1081">
          <cell r="A1081">
            <v>209467</v>
          </cell>
          <cell r="B1081" t="str">
            <v>Стул Sheffilton SHT-ST36/S122  ванильный крем/темный орех/черный муар</v>
          </cell>
          <cell r="C1081">
            <v>6080</v>
          </cell>
          <cell r="E1081">
            <v>401</v>
          </cell>
          <cell r="F1081">
            <v>521</v>
          </cell>
        </row>
        <row r="1082">
          <cell r="A1082">
            <v>209631</v>
          </cell>
          <cell r="B1082" t="str">
            <v>Стул Sheffilton SHT-ST36/S122  ночное затмение/темный орех/черный муар</v>
          </cell>
          <cell r="C1082">
            <v>6080</v>
          </cell>
          <cell r="E1082">
            <v>401</v>
          </cell>
          <cell r="F1082">
            <v>521</v>
          </cell>
        </row>
        <row r="1083">
          <cell r="A1083">
            <v>210811</v>
          </cell>
          <cell r="B1083" t="str">
            <v>Стул Sheffilton SHT-ST36/S129  ванильный крем/белый муар/золото</v>
          </cell>
          <cell r="C1083">
            <v>3933.33</v>
          </cell>
          <cell r="E1083">
            <v>259</v>
          </cell>
          <cell r="F1083">
            <v>337</v>
          </cell>
        </row>
        <row r="1084">
          <cell r="A1084">
            <v>210810</v>
          </cell>
          <cell r="B1084" t="str">
            <v>Стул Sheffilton SHT-ST36/S129  ночное затмение/белый муар/золото</v>
          </cell>
          <cell r="C1084">
            <v>3933.33</v>
          </cell>
          <cell r="E1084">
            <v>259</v>
          </cell>
          <cell r="F1084">
            <v>337</v>
          </cell>
        </row>
        <row r="1085">
          <cell r="A1085">
            <v>210797</v>
          </cell>
          <cell r="B1085" t="str">
            <v>Стул Sheffilton SHT-ST36/S129  ночное затмение/венге крупный</v>
          </cell>
          <cell r="C1085">
            <v>4660</v>
          </cell>
          <cell r="E1085">
            <v>307</v>
          </cell>
          <cell r="F1085">
            <v>399</v>
          </cell>
        </row>
        <row r="1086">
          <cell r="A1086">
            <v>209455</v>
          </cell>
          <cell r="B1086" t="str">
            <v>Стул Sheffilton SHT-ST36/S37  ванильный крем/белый</v>
          </cell>
          <cell r="C1086">
            <v>3713.33</v>
          </cell>
          <cell r="E1086">
            <v>245</v>
          </cell>
          <cell r="F1086">
            <v>319</v>
          </cell>
        </row>
        <row r="1087">
          <cell r="A1087">
            <v>209457</v>
          </cell>
          <cell r="B1087" t="str">
            <v>Стул Sheffilton SHT-ST36/S37  ванильный крем/медный металлик</v>
          </cell>
          <cell r="C1087">
            <v>3713.33</v>
          </cell>
          <cell r="E1087">
            <v>245</v>
          </cell>
          <cell r="F1087">
            <v>319</v>
          </cell>
        </row>
        <row r="1088">
          <cell r="A1088">
            <v>209456</v>
          </cell>
          <cell r="B1088" t="str">
            <v>Стул Sheffilton SHT-ST36/S37  ванильный крем/хром лак</v>
          </cell>
          <cell r="C1088">
            <v>3806.67</v>
          </cell>
          <cell r="E1088">
            <v>251</v>
          </cell>
          <cell r="F1088">
            <v>326</v>
          </cell>
        </row>
        <row r="1089">
          <cell r="A1089">
            <v>209623</v>
          </cell>
          <cell r="B1089" t="str">
            <v>Стул Sheffilton SHT-ST36/S37  ночное затмение/золото</v>
          </cell>
          <cell r="C1089">
            <v>3806.67</v>
          </cell>
          <cell r="E1089">
            <v>251</v>
          </cell>
          <cell r="F1089">
            <v>326</v>
          </cell>
        </row>
        <row r="1090">
          <cell r="A1090">
            <v>209622</v>
          </cell>
          <cell r="B1090" t="str">
            <v>Стул Sheffilton SHT-ST36/S37  ночное затмение/медный металлик</v>
          </cell>
          <cell r="C1090">
            <v>3713.33</v>
          </cell>
          <cell r="E1090">
            <v>245</v>
          </cell>
          <cell r="F1090">
            <v>319</v>
          </cell>
        </row>
        <row r="1091">
          <cell r="A1091">
            <v>209624</v>
          </cell>
          <cell r="B1091" t="str">
            <v>Стул Sheffilton SHT-ST36/S37  ночное затмение/черный муар</v>
          </cell>
          <cell r="C1091">
            <v>3713.33</v>
          </cell>
          <cell r="E1091">
            <v>245</v>
          </cell>
          <cell r="F1091">
            <v>319</v>
          </cell>
        </row>
        <row r="1092">
          <cell r="A1092">
            <v>209458</v>
          </cell>
          <cell r="B1092" t="str">
            <v>Стул Sheffilton SHT-ST36/S38  ванильный крем/черный муар</v>
          </cell>
          <cell r="C1092">
            <v>3840</v>
          </cell>
          <cell r="E1092">
            <v>253</v>
          </cell>
          <cell r="F1092">
            <v>329</v>
          </cell>
        </row>
        <row r="1093">
          <cell r="A1093">
            <v>209625</v>
          </cell>
          <cell r="B1093" t="str">
            <v>Стул Sheffilton SHT-ST36/S38  ночное затмение/черный муар</v>
          </cell>
          <cell r="C1093">
            <v>3840</v>
          </cell>
          <cell r="E1093">
            <v>253</v>
          </cell>
          <cell r="F1093">
            <v>329</v>
          </cell>
        </row>
        <row r="1094">
          <cell r="A1094">
            <v>209459</v>
          </cell>
          <cell r="B1094" t="str">
            <v>Стул Sheffilton SHT-ST36/S39  ванильный крем/прозрачный лак</v>
          </cell>
          <cell r="C1094">
            <v>4973.33</v>
          </cell>
          <cell r="E1094">
            <v>328</v>
          </cell>
          <cell r="F1094">
            <v>426</v>
          </cell>
        </row>
        <row r="1095">
          <cell r="A1095">
            <v>209460</v>
          </cell>
          <cell r="B1095" t="str">
            <v>Стул Sheffilton SHT-ST36/S39  ванильный крем/светлый орех</v>
          </cell>
          <cell r="C1095">
            <v>5060</v>
          </cell>
          <cell r="E1095">
            <v>333</v>
          </cell>
          <cell r="F1095">
            <v>433</v>
          </cell>
        </row>
        <row r="1096">
          <cell r="A1096">
            <v>209626</v>
          </cell>
          <cell r="B1096" t="str">
            <v>Стул Sheffilton SHT-ST36/S39  ночное затмение/светлый орех</v>
          </cell>
          <cell r="C1096">
            <v>5060</v>
          </cell>
          <cell r="E1096">
            <v>333</v>
          </cell>
          <cell r="F1096">
            <v>433</v>
          </cell>
        </row>
        <row r="1097">
          <cell r="A1097">
            <v>209627</v>
          </cell>
          <cell r="B1097" t="str">
            <v>Стул Sheffilton SHT-ST36/S39  ночное затмение/темный орех</v>
          </cell>
          <cell r="C1097">
            <v>5093.33</v>
          </cell>
          <cell r="E1097">
            <v>336</v>
          </cell>
          <cell r="F1097">
            <v>437</v>
          </cell>
        </row>
        <row r="1098">
          <cell r="A1098">
            <v>209461</v>
          </cell>
          <cell r="B1098" t="str">
            <v>Стул Sheffilton SHT-ST36/S64  ванильный крем/хром лак</v>
          </cell>
          <cell r="C1098">
            <v>3980</v>
          </cell>
          <cell r="E1098">
            <v>262</v>
          </cell>
          <cell r="F1098">
            <v>341</v>
          </cell>
        </row>
        <row r="1099">
          <cell r="A1099">
            <v>209462</v>
          </cell>
          <cell r="B1099" t="str">
            <v>Стул Sheffilton SHT-ST36/S70  ванильный крем/прозрачный лак/черный</v>
          </cell>
          <cell r="C1099">
            <v>5120</v>
          </cell>
          <cell r="E1099">
            <v>337</v>
          </cell>
          <cell r="F1099">
            <v>438</v>
          </cell>
        </row>
        <row r="1100">
          <cell r="A1100">
            <v>209628</v>
          </cell>
          <cell r="B1100" t="str">
            <v>Стул Sheffilton SHT-ST36/S70  ночное затмение/темный орех/черный</v>
          </cell>
          <cell r="C1100">
            <v>5166.67</v>
          </cell>
          <cell r="E1100">
            <v>340</v>
          </cell>
          <cell r="F1100">
            <v>442</v>
          </cell>
        </row>
        <row r="1101">
          <cell r="A1101">
            <v>209464</v>
          </cell>
          <cell r="B1101" t="str">
            <v>Стул Sheffilton SHT-ST36/S95-1  ванильный крем/белый муар</v>
          </cell>
          <cell r="C1101">
            <v>4013.33</v>
          </cell>
          <cell r="E1101">
            <v>264</v>
          </cell>
          <cell r="F1101">
            <v>343</v>
          </cell>
        </row>
        <row r="1102">
          <cell r="A1102">
            <v>209635</v>
          </cell>
          <cell r="B1102" t="str">
            <v>Стул Sheffilton SHT-ST36/S95-1 СТ-484 ночное затмение/черный муар/золото</v>
          </cell>
          <cell r="C1102">
            <v>4033.33</v>
          </cell>
          <cell r="E1102">
            <v>266</v>
          </cell>
          <cell r="F1102">
            <v>346</v>
          </cell>
        </row>
        <row r="1103">
          <cell r="A1103">
            <v>212260</v>
          </cell>
          <cell r="B1103" t="str">
            <v>Стул Sheffilton SHT-ST37/S100  горчичный/черный муар</v>
          </cell>
          <cell r="C1103">
            <v>3926.67</v>
          </cell>
          <cell r="E1103">
            <v>259</v>
          </cell>
          <cell r="F1103">
            <v>337</v>
          </cell>
        </row>
        <row r="1104">
          <cell r="A1104">
            <v>211899</v>
          </cell>
          <cell r="B1104" t="str">
            <v>Стул Sheffilton SHT-ST37/S106  горчичный/черный муар</v>
          </cell>
          <cell r="C1104">
            <v>4673.33</v>
          </cell>
          <cell r="E1104">
            <v>308</v>
          </cell>
          <cell r="F1104">
            <v>400</v>
          </cell>
        </row>
        <row r="1105">
          <cell r="A1105">
            <v>180795</v>
          </cell>
          <cell r="B1105" t="str">
            <v>Стул Sheffilton SHT-ST37/S106  серое облако/хром лак</v>
          </cell>
          <cell r="C1105">
            <v>4653.33</v>
          </cell>
          <cell r="E1105">
            <v>307</v>
          </cell>
          <cell r="F1105">
            <v>399</v>
          </cell>
        </row>
        <row r="1106">
          <cell r="A1106">
            <v>180799</v>
          </cell>
          <cell r="B1106" t="str">
            <v>Стул Sheffilton SHT-ST37/S112 СТ-348 серое облако/хром лак</v>
          </cell>
          <cell r="C1106">
            <v>5006.67</v>
          </cell>
          <cell r="E1106">
            <v>330</v>
          </cell>
          <cell r="F1106">
            <v>429</v>
          </cell>
        </row>
        <row r="1107">
          <cell r="A1107">
            <v>211900</v>
          </cell>
          <cell r="B1107" t="str">
            <v>Стул Sheffilton SHT-ST37/S113  горчичный/черный муар</v>
          </cell>
          <cell r="C1107">
            <v>4560</v>
          </cell>
          <cell r="E1107">
            <v>300</v>
          </cell>
          <cell r="F1107">
            <v>390</v>
          </cell>
        </row>
        <row r="1108">
          <cell r="A1108">
            <v>212259</v>
          </cell>
          <cell r="B1108" t="str">
            <v>Стул Sheffilton SHT-ST37/S122  горчичный/темный орех/черный муар</v>
          </cell>
          <cell r="C1108">
            <v>6173.33</v>
          </cell>
          <cell r="E1108">
            <v>407</v>
          </cell>
          <cell r="F1108">
            <v>529</v>
          </cell>
        </row>
        <row r="1109">
          <cell r="A1109">
            <v>211894</v>
          </cell>
          <cell r="B1109" t="str">
            <v>Стул Sheffilton SHT-ST37/S129  горчичный/венге крупный</v>
          </cell>
          <cell r="C1109">
            <v>4753.33</v>
          </cell>
          <cell r="E1109">
            <v>313</v>
          </cell>
          <cell r="F1109">
            <v>407</v>
          </cell>
        </row>
        <row r="1110">
          <cell r="A1110">
            <v>210798</v>
          </cell>
          <cell r="B1110" t="str">
            <v>Стул Sheffilton SHT-ST37/S129  рубиновое вино/венге крупный</v>
          </cell>
          <cell r="C1110">
            <v>4666.67</v>
          </cell>
          <cell r="E1110">
            <v>307</v>
          </cell>
          <cell r="F1110">
            <v>399</v>
          </cell>
        </row>
        <row r="1111">
          <cell r="A1111">
            <v>210812</v>
          </cell>
          <cell r="B1111" t="str">
            <v>Стул Sheffilton SHT-ST37/S129  серое облако/венге крупный</v>
          </cell>
          <cell r="C1111">
            <v>3940</v>
          </cell>
          <cell r="E1111">
            <v>260</v>
          </cell>
          <cell r="F1111">
            <v>338</v>
          </cell>
        </row>
        <row r="1112">
          <cell r="A1112">
            <v>211891</v>
          </cell>
          <cell r="B1112" t="str">
            <v>Стул Sheffilton SHT-ST37/S37  горчичный/медный металлик</v>
          </cell>
          <cell r="C1112">
            <v>3806.67</v>
          </cell>
          <cell r="E1112">
            <v>251</v>
          </cell>
          <cell r="F1112">
            <v>326</v>
          </cell>
        </row>
        <row r="1113">
          <cell r="A1113">
            <v>188815</v>
          </cell>
          <cell r="B1113" t="str">
            <v>Стул Sheffilton SHT-ST37/S37 СТ-292 рубиновое вино/золото</v>
          </cell>
          <cell r="C1113">
            <v>3813.33</v>
          </cell>
          <cell r="E1113">
            <v>251</v>
          </cell>
          <cell r="F1113">
            <v>326</v>
          </cell>
        </row>
        <row r="1114">
          <cell r="A1114">
            <v>180759</v>
          </cell>
          <cell r="B1114" t="str">
            <v>Стул Sheffilton SHT-ST37/S37 СТ-292 рубиновое вино/медный металлик</v>
          </cell>
          <cell r="C1114">
            <v>3720</v>
          </cell>
          <cell r="E1114">
            <v>245</v>
          </cell>
          <cell r="F1114">
            <v>319</v>
          </cell>
        </row>
        <row r="1115">
          <cell r="A1115">
            <v>180792</v>
          </cell>
          <cell r="B1115" t="str">
            <v>Стул Sheffilton SHT-ST37/S37 СТ-292 серое облако/черный муар</v>
          </cell>
          <cell r="C1115">
            <v>3720</v>
          </cell>
          <cell r="E1115">
            <v>245</v>
          </cell>
          <cell r="F1115">
            <v>319</v>
          </cell>
        </row>
        <row r="1116">
          <cell r="A1116">
            <v>211897</v>
          </cell>
          <cell r="B1116" t="str">
            <v>Стул Sheffilton SHT-ST37/S38  горчичный/черный муар</v>
          </cell>
          <cell r="C1116">
            <v>3933.33</v>
          </cell>
          <cell r="E1116">
            <v>259</v>
          </cell>
          <cell r="F1116">
            <v>337</v>
          </cell>
        </row>
        <row r="1117">
          <cell r="A1117">
            <v>180768</v>
          </cell>
          <cell r="B1117" t="str">
            <v>Стул Sheffilton SHT-ST37/S38  рубиновое вино/черный муар</v>
          </cell>
          <cell r="C1117">
            <v>3846.67</v>
          </cell>
          <cell r="E1117">
            <v>253</v>
          </cell>
          <cell r="F1117">
            <v>329</v>
          </cell>
        </row>
        <row r="1118">
          <cell r="A1118">
            <v>211892</v>
          </cell>
          <cell r="B1118" t="str">
            <v>Стул Sheffilton SHT-ST37/S39  горчичный/венге</v>
          </cell>
          <cell r="C1118">
            <v>5186.67</v>
          </cell>
          <cell r="E1118">
            <v>342</v>
          </cell>
          <cell r="F1118">
            <v>445</v>
          </cell>
        </row>
        <row r="1119">
          <cell r="A1119">
            <v>211893</v>
          </cell>
          <cell r="B1119" t="str">
            <v>Стул Sheffilton SHT-ST37/S39  горчичный/прозрачный лак</v>
          </cell>
          <cell r="C1119">
            <v>5066.67</v>
          </cell>
          <cell r="E1119">
            <v>334</v>
          </cell>
          <cell r="F1119">
            <v>434</v>
          </cell>
        </row>
        <row r="1120">
          <cell r="A1120">
            <v>180769</v>
          </cell>
          <cell r="B1120" t="str">
            <v>Стул Sheffilton SHT-ST37/S39 СТ-305 рубиновое вино/темный орех</v>
          </cell>
          <cell r="C1120">
            <v>5100</v>
          </cell>
          <cell r="E1120">
            <v>336</v>
          </cell>
          <cell r="F1120">
            <v>437</v>
          </cell>
        </row>
        <row r="1121">
          <cell r="A1121">
            <v>180801</v>
          </cell>
          <cell r="B1121" t="str">
            <v>Стул Sheffilton SHT-ST37/S39 СТ-305 серое облако/прозрачный лак</v>
          </cell>
          <cell r="C1121">
            <v>4980</v>
          </cell>
          <cell r="E1121">
            <v>328</v>
          </cell>
          <cell r="F1121">
            <v>426</v>
          </cell>
        </row>
        <row r="1122">
          <cell r="A1122">
            <v>211898</v>
          </cell>
          <cell r="B1122" t="str">
            <v>Стул Sheffilton SHT-ST37/S64  горчичный/черный муар</v>
          </cell>
          <cell r="C1122">
            <v>3973.33</v>
          </cell>
          <cell r="E1122">
            <v>262</v>
          </cell>
          <cell r="F1122">
            <v>341</v>
          </cell>
        </row>
        <row r="1123">
          <cell r="A1123">
            <v>451449</v>
          </cell>
          <cell r="B1123" t="str">
            <v>Стул Sheffilton SHT-ST37/S64  рубиновое вино/черный муар</v>
          </cell>
          <cell r="C1123">
            <v>3886.67</v>
          </cell>
          <cell r="E1123">
            <v>256</v>
          </cell>
          <cell r="F1123">
            <v>333</v>
          </cell>
        </row>
        <row r="1124">
          <cell r="A1124">
            <v>208645</v>
          </cell>
          <cell r="B1124" t="str">
            <v>Стул Sheffilton SHT-ST37/S64 СТ-498 серое облако/хром лак</v>
          </cell>
          <cell r="C1124">
            <v>3986.67</v>
          </cell>
          <cell r="E1124">
            <v>263</v>
          </cell>
          <cell r="F1124">
            <v>342</v>
          </cell>
        </row>
        <row r="1125">
          <cell r="A1125">
            <v>211896</v>
          </cell>
          <cell r="B1125" t="str">
            <v>Стул Sheffilton SHT-ST37/S70  горчичный/темный орех</v>
          </cell>
          <cell r="C1125">
            <v>5260</v>
          </cell>
          <cell r="E1125">
            <v>347</v>
          </cell>
          <cell r="F1125">
            <v>451</v>
          </cell>
        </row>
        <row r="1126">
          <cell r="A1126">
            <v>185537</v>
          </cell>
          <cell r="B1126" t="str">
            <v>Стул Sheffilton SHT-ST37/S70  рубиновое вино/темный орех</v>
          </cell>
          <cell r="C1126">
            <v>5173.33</v>
          </cell>
          <cell r="E1126">
            <v>341</v>
          </cell>
          <cell r="F1126">
            <v>443</v>
          </cell>
        </row>
        <row r="1127">
          <cell r="A1127">
            <v>185556</v>
          </cell>
          <cell r="B1127" t="str">
            <v>Стул Sheffilton SHT-ST37/S70  серое облако/прозрачный лак</v>
          </cell>
          <cell r="C1127">
            <v>5126.67</v>
          </cell>
          <cell r="E1127">
            <v>338</v>
          </cell>
          <cell r="F1127">
            <v>439</v>
          </cell>
        </row>
        <row r="1128">
          <cell r="A1128">
            <v>211895</v>
          </cell>
          <cell r="B1128" t="str">
            <v>Стул Sheffilton SHT-ST37/S95-1  горчичный/черный муар/золото</v>
          </cell>
          <cell r="C1128">
            <v>4126.67</v>
          </cell>
          <cell r="E1128">
            <v>272</v>
          </cell>
          <cell r="F1128">
            <v>354</v>
          </cell>
        </row>
        <row r="1129">
          <cell r="A1129">
            <v>192465</v>
          </cell>
          <cell r="B1129" t="str">
            <v>Стул Sheffilton SHT-ST37/S95-1  рубиновое вино/черный муар/золото</v>
          </cell>
          <cell r="C1129">
            <v>4040</v>
          </cell>
          <cell r="E1129">
            <v>266</v>
          </cell>
          <cell r="F1129">
            <v>346</v>
          </cell>
        </row>
        <row r="1130">
          <cell r="A1130">
            <v>199588</v>
          </cell>
          <cell r="B1130" t="str">
            <v>Стул Sheffilton SHT-ST37/S95-1  серое облако/белый муар</v>
          </cell>
          <cell r="C1130">
            <v>4020</v>
          </cell>
          <cell r="E1130">
            <v>265</v>
          </cell>
          <cell r="F1130">
            <v>345</v>
          </cell>
        </row>
        <row r="1131">
          <cell r="A1131">
            <v>192466</v>
          </cell>
          <cell r="B1131" t="str">
            <v>Стул Sheffilton SHT-ST37/S95-1 СТ-380 серое облако/черный муар</v>
          </cell>
          <cell r="C1131">
            <v>4006.67</v>
          </cell>
          <cell r="E1131">
            <v>264</v>
          </cell>
          <cell r="F1131">
            <v>343</v>
          </cell>
        </row>
        <row r="1132">
          <cell r="A1132">
            <v>191799</v>
          </cell>
          <cell r="B1132" t="str">
            <v>Стул Sheffilton SHT-ST38-1/S100  лунный мрамор/черный муар</v>
          </cell>
          <cell r="C1132">
            <v>4240</v>
          </cell>
          <cell r="E1132">
            <v>279</v>
          </cell>
          <cell r="F1132">
            <v>363</v>
          </cell>
        </row>
        <row r="1133">
          <cell r="A1133">
            <v>191800</v>
          </cell>
          <cell r="B1133" t="str">
            <v>Стул Sheffilton SHT-ST38-1/S106  лунный мрамор/хром лак</v>
          </cell>
          <cell r="C1133">
            <v>5053.33</v>
          </cell>
          <cell r="E1133">
            <v>333</v>
          </cell>
          <cell r="F1133">
            <v>433</v>
          </cell>
        </row>
        <row r="1134">
          <cell r="A1134">
            <v>191829</v>
          </cell>
          <cell r="B1134" t="str">
            <v>Стул Sheffilton SHT-ST38-1/S112  лунный мрамор/черный муар</v>
          </cell>
          <cell r="C1134">
            <v>5320</v>
          </cell>
          <cell r="E1134">
            <v>350</v>
          </cell>
          <cell r="F1134">
            <v>455</v>
          </cell>
        </row>
        <row r="1135">
          <cell r="A1135">
            <v>191826</v>
          </cell>
          <cell r="B1135" t="str">
            <v>Стул Sheffilton SHT-ST38-1/S113  лунный мрамор/черный муар</v>
          </cell>
          <cell r="C1135">
            <v>4873.33</v>
          </cell>
          <cell r="E1135">
            <v>321</v>
          </cell>
          <cell r="F1135">
            <v>417</v>
          </cell>
        </row>
        <row r="1136">
          <cell r="A1136">
            <v>191823</v>
          </cell>
          <cell r="B1136" t="str">
            <v>Стул Sheffilton SHT-ST38-1/S122 СТ-477 лунный мрамор/темный орех/черный муар</v>
          </cell>
          <cell r="C1136">
            <v>6486.67</v>
          </cell>
          <cell r="E1136">
            <v>427</v>
          </cell>
          <cell r="F1136">
            <v>555</v>
          </cell>
        </row>
        <row r="1137">
          <cell r="A1137">
            <v>210792</v>
          </cell>
          <cell r="B1137" t="str">
            <v>Стул Sheffilton SHT-ST38-1/S129  лунный мрамор/венге крупный</v>
          </cell>
          <cell r="C1137">
            <v>5066.67</v>
          </cell>
          <cell r="E1137">
            <v>334</v>
          </cell>
          <cell r="F1137">
            <v>434</v>
          </cell>
        </row>
        <row r="1138">
          <cell r="A1138">
            <v>192469</v>
          </cell>
          <cell r="B1138" t="str">
            <v>Стул Sheffilton SHT-ST38-1/S129 СТ-483 лунный мрамор/черный муар</v>
          </cell>
          <cell r="C1138">
            <v>4253.33</v>
          </cell>
          <cell r="E1138">
            <v>280</v>
          </cell>
          <cell r="F1138">
            <v>364</v>
          </cell>
        </row>
        <row r="1139">
          <cell r="A1139">
            <v>191782</v>
          </cell>
          <cell r="B1139" t="str">
            <v>Стул Sheffilton SHT-ST38-1/S37  лунный мрамор/хром лак</v>
          </cell>
          <cell r="C1139">
            <v>4213.33</v>
          </cell>
          <cell r="E1139">
            <v>278</v>
          </cell>
          <cell r="F1139">
            <v>361</v>
          </cell>
        </row>
        <row r="1140">
          <cell r="A1140">
            <v>191785</v>
          </cell>
          <cell r="B1140" t="str">
            <v>Стул Sheffilton SHT-ST38-1/S38  лунный мрамор/хром лак</v>
          </cell>
          <cell r="C1140">
            <v>4366.67</v>
          </cell>
          <cell r="E1140">
            <v>288</v>
          </cell>
          <cell r="F1140">
            <v>374</v>
          </cell>
        </row>
        <row r="1141">
          <cell r="A1141">
            <v>191792</v>
          </cell>
          <cell r="B1141" t="str">
            <v>Стул Sheffilton SHT-ST38-1/S39  лунный мрамор/венге</v>
          </cell>
          <cell r="C1141">
            <v>5500</v>
          </cell>
          <cell r="E1141">
            <v>362</v>
          </cell>
          <cell r="F1141">
            <v>471</v>
          </cell>
        </row>
        <row r="1142">
          <cell r="A1142">
            <v>191794</v>
          </cell>
          <cell r="B1142" t="str">
            <v>Стул Sheffilton SHT-ST38-1/S39  лунный мрамор/дуб выбеленный</v>
          </cell>
          <cell r="C1142">
            <v>5526.67</v>
          </cell>
          <cell r="E1142">
            <v>364</v>
          </cell>
          <cell r="F1142">
            <v>473</v>
          </cell>
        </row>
        <row r="1143">
          <cell r="A1143">
            <v>208646</v>
          </cell>
          <cell r="B1143" t="str">
            <v>Стул Sheffilton SHT-ST38-1/S64  лунный мрамор/черный муар</v>
          </cell>
          <cell r="C1143">
            <v>4286.67</v>
          </cell>
          <cell r="E1143">
            <v>282</v>
          </cell>
          <cell r="F1143">
            <v>367</v>
          </cell>
        </row>
        <row r="1144">
          <cell r="A1144">
            <v>191795</v>
          </cell>
          <cell r="B1144" t="str">
            <v>Стул Sheffilton SHT-ST38-1/S64 СТ-468 лунный мрамор/хром лак</v>
          </cell>
          <cell r="C1144">
            <v>4386.67</v>
          </cell>
          <cell r="E1144">
            <v>289</v>
          </cell>
          <cell r="F1144">
            <v>376</v>
          </cell>
        </row>
        <row r="1145">
          <cell r="A1145">
            <v>191796</v>
          </cell>
          <cell r="B1145" t="str">
            <v>Стул Sheffilton SHT-ST38-1/S70  лунный мрамор/темный орех/черный</v>
          </cell>
          <cell r="C1145">
            <v>5573.33</v>
          </cell>
          <cell r="E1145">
            <v>367</v>
          </cell>
          <cell r="F1145">
            <v>477</v>
          </cell>
        </row>
        <row r="1146">
          <cell r="A1146">
            <v>191797</v>
          </cell>
          <cell r="B1146" t="str">
            <v>Стул Sheffilton SHT-ST38-1/S71  лунный мрамор/дуб браш. коричневый</v>
          </cell>
          <cell r="C1146">
            <v>6613.33</v>
          </cell>
          <cell r="E1146">
            <v>436</v>
          </cell>
          <cell r="F1146">
            <v>567</v>
          </cell>
        </row>
        <row r="1147">
          <cell r="A1147">
            <v>198116</v>
          </cell>
          <cell r="B1147" t="str">
            <v>Стул Sheffilton SHT-ST38/S100  зефирный/черный муар</v>
          </cell>
          <cell r="C1147">
            <v>4453.33</v>
          </cell>
          <cell r="E1147">
            <v>293</v>
          </cell>
          <cell r="F1147">
            <v>381</v>
          </cell>
        </row>
        <row r="1148">
          <cell r="A1148">
            <v>206847</v>
          </cell>
          <cell r="B1148" t="str">
            <v>Стул Sheffilton SHT-ST38/S100  синий пепел/черный муар</v>
          </cell>
          <cell r="C1148">
            <v>4213.33</v>
          </cell>
          <cell r="E1148">
            <v>278</v>
          </cell>
          <cell r="F1148">
            <v>361</v>
          </cell>
        </row>
        <row r="1149">
          <cell r="A1149">
            <v>189765</v>
          </cell>
          <cell r="B1149" t="str">
            <v>Стул Sheffilton SHT-ST38/S100 СТ-479 угольно-серый/черный муар</v>
          </cell>
          <cell r="C1149">
            <v>4213.33</v>
          </cell>
          <cell r="E1149">
            <v>278</v>
          </cell>
          <cell r="F1149">
            <v>361</v>
          </cell>
        </row>
        <row r="1150">
          <cell r="A1150">
            <v>211495</v>
          </cell>
          <cell r="B1150" t="str">
            <v>Стул Sheffilton SHT-ST38/S106  альпийский бирюзовый/черный муар</v>
          </cell>
          <cell r="C1150">
            <v>4960</v>
          </cell>
          <cell r="E1150">
            <v>327</v>
          </cell>
          <cell r="F1150">
            <v>425</v>
          </cell>
        </row>
        <row r="1151">
          <cell r="A1151">
            <v>198117</v>
          </cell>
          <cell r="B1151" t="str">
            <v>Стул Sheffilton SHT-ST38/S106  зефирный/хром лак</v>
          </cell>
          <cell r="C1151">
            <v>5266.67</v>
          </cell>
          <cell r="E1151">
            <v>347</v>
          </cell>
          <cell r="F1151">
            <v>451</v>
          </cell>
        </row>
        <row r="1152">
          <cell r="A1152">
            <v>206848</v>
          </cell>
          <cell r="B1152" t="str">
            <v>Стул Sheffilton SHT-ST38/S106  синий пепел/черный муар</v>
          </cell>
          <cell r="C1152">
            <v>4960</v>
          </cell>
          <cell r="E1152">
            <v>327</v>
          </cell>
          <cell r="F1152">
            <v>425</v>
          </cell>
        </row>
        <row r="1153">
          <cell r="A1153">
            <v>189904</v>
          </cell>
          <cell r="B1153" t="str">
            <v>Стул Sheffilton SHT-ST38/S106  угольно-серый/черный муар</v>
          </cell>
          <cell r="C1153">
            <v>4960</v>
          </cell>
          <cell r="E1153">
            <v>327</v>
          </cell>
          <cell r="F1153">
            <v>425</v>
          </cell>
        </row>
        <row r="1154">
          <cell r="A1154">
            <v>206849</v>
          </cell>
          <cell r="B1154" t="str">
            <v>Стул Sheffilton SHT-ST38/S112  синий пепел/черный муар</v>
          </cell>
          <cell r="C1154">
            <v>5293.33</v>
          </cell>
          <cell r="E1154">
            <v>349</v>
          </cell>
          <cell r="F1154">
            <v>454</v>
          </cell>
        </row>
        <row r="1155">
          <cell r="A1155">
            <v>198115</v>
          </cell>
          <cell r="B1155" t="str">
            <v>Стул Sheffilton SHT-ST38/S112 СТ-422 зефирный/черный муар</v>
          </cell>
          <cell r="C1155">
            <v>5533.33</v>
          </cell>
          <cell r="E1155">
            <v>365</v>
          </cell>
          <cell r="F1155">
            <v>475</v>
          </cell>
        </row>
        <row r="1156">
          <cell r="A1156">
            <v>211497</v>
          </cell>
          <cell r="B1156" t="str">
            <v>Стул Sheffilton SHT-ST38/S113  альпийский бирюзовый/черный муар</v>
          </cell>
          <cell r="C1156">
            <v>4846.67</v>
          </cell>
          <cell r="E1156">
            <v>319</v>
          </cell>
          <cell r="F1156">
            <v>415</v>
          </cell>
        </row>
        <row r="1157">
          <cell r="A1157">
            <v>198114</v>
          </cell>
          <cell r="B1157" t="str">
            <v>Стул Sheffilton SHT-ST38/S113  зефирный/черный муар</v>
          </cell>
          <cell r="C1157">
            <v>5086.67</v>
          </cell>
          <cell r="E1157">
            <v>335</v>
          </cell>
          <cell r="F1157">
            <v>436</v>
          </cell>
        </row>
        <row r="1158">
          <cell r="A1158">
            <v>189905</v>
          </cell>
          <cell r="B1158" t="str">
            <v>Стул Sheffilton SHT-ST38/S113  угольно-серый/чёрный муар</v>
          </cell>
          <cell r="C1158">
            <v>4846.67</v>
          </cell>
          <cell r="E1158">
            <v>319</v>
          </cell>
          <cell r="F1158">
            <v>415</v>
          </cell>
        </row>
        <row r="1159">
          <cell r="A1159">
            <v>211496</v>
          </cell>
          <cell r="B1159" t="str">
            <v>Стул Sheffilton SHT-ST38/S122  альпийский бирюзовый/темный орех/черный</v>
          </cell>
          <cell r="C1159">
            <v>6460</v>
          </cell>
          <cell r="E1159">
            <v>426</v>
          </cell>
          <cell r="F1159">
            <v>554</v>
          </cell>
        </row>
        <row r="1160">
          <cell r="A1160">
            <v>198121</v>
          </cell>
          <cell r="B1160" t="str">
            <v>Стул Sheffilton SHT-ST38/S122  зефирный/темный орех/черный муар</v>
          </cell>
          <cell r="C1160">
            <v>6700</v>
          </cell>
          <cell r="E1160">
            <v>441</v>
          </cell>
          <cell r="F1160">
            <v>573</v>
          </cell>
        </row>
        <row r="1161">
          <cell r="A1161">
            <v>206850</v>
          </cell>
          <cell r="B1161" t="str">
            <v>Стул Sheffilton SHT-ST38/S122  синий пепел/темный орех/черный</v>
          </cell>
          <cell r="C1161">
            <v>6460</v>
          </cell>
          <cell r="E1161">
            <v>426</v>
          </cell>
          <cell r="F1161">
            <v>554</v>
          </cell>
        </row>
        <row r="1162">
          <cell r="A1162">
            <v>189902</v>
          </cell>
          <cell r="B1162" t="str">
            <v>Стул Sheffilton SHT-ST38/S122  угольно-серый/темный орех/черный муар</v>
          </cell>
          <cell r="C1162">
            <v>6460</v>
          </cell>
          <cell r="E1162">
            <v>426</v>
          </cell>
          <cell r="F1162">
            <v>554</v>
          </cell>
        </row>
        <row r="1163">
          <cell r="A1163">
            <v>211493</v>
          </cell>
          <cell r="B1163" t="str">
            <v>Стул Sheffilton SHT-ST38/S129  альпийский бирюзовый/венге крупный</v>
          </cell>
          <cell r="C1163">
            <v>5040</v>
          </cell>
          <cell r="E1163">
            <v>332</v>
          </cell>
          <cell r="F1163">
            <v>432</v>
          </cell>
        </row>
        <row r="1164">
          <cell r="A1164">
            <v>210807</v>
          </cell>
          <cell r="B1164" t="str">
            <v>Стул Sheffilton SHT-ST38/S129  зефирный/белый муар/золото</v>
          </cell>
          <cell r="C1164">
            <v>4553.33</v>
          </cell>
          <cell r="E1164">
            <v>300</v>
          </cell>
          <cell r="F1164">
            <v>390</v>
          </cell>
        </row>
        <row r="1165">
          <cell r="A1165">
            <v>210793</v>
          </cell>
          <cell r="B1165" t="str">
            <v>Стул Sheffilton SHT-ST38/S129  синий пепел/венге крупный</v>
          </cell>
          <cell r="C1165">
            <v>5040</v>
          </cell>
          <cell r="E1165">
            <v>332</v>
          </cell>
          <cell r="F1165">
            <v>432</v>
          </cell>
        </row>
        <row r="1166">
          <cell r="A1166">
            <v>192468</v>
          </cell>
          <cell r="B1166" t="str">
            <v>Стул Sheffilton SHT-ST38/S129  угольно-серый/черный муар</v>
          </cell>
          <cell r="C1166">
            <v>4380</v>
          </cell>
          <cell r="E1166">
            <v>289</v>
          </cell>
          <cell r="F1166">
            <v>376</v>
          </cell>
        </row>
        <row r="1167">
          <cell r="A1167">
            <v>211485</v>
          </cell>
          <cell r="B1167" t="str">
            <v>Стул Sheffilton SHT-ST38/S37  альпийский бирюзовый/золото</v>
          </cell>
          <cell r="C1167">
            <v>4186.67</v>
          </cell>
          <cell r="E1167">
            <v>276</v>
          </cell>
          <cell r="F1167">
            <v>359</v>
          </cell>
        </row>
        <row r="1168">
          <cell r="A1168">
            <v>211486</v>
          </cell>
          <cell r="B1168" t="str">
            <v>Стул Sheffilton SHT-ST38/S37  альпийский бирюзовый/медный металлик</v>
          </cell>
          <cell r="C1168">
            <v>4093.33</v>
          </cell>
          <cell r="E1168">
            <v>270</v>
          </cell>
          <cell r="F1168">
            <v>351</v>
          </cell>
        </row>
        <row r="1169">
          <cell r="A1169">
            <v>211484</v>
          </cell>
          <cell r="B1169" t="str">
            <v>Стул Sheffilton SHT-ST38/S37  альпийский бирюзовый/черный муар</v>
          </cell>
          <cell r="C1169">
            <v>4093.33</v>
          </cell>
          <cell r="E1169">
            <v>270</v>
          </cell>
          <cell r="F1169">
            <v>351</v>
          </cell>
        </row>
        <row r="1170">
          <cell r="A1170">
            <v>206838</v>
          </cell>
          <cell r="B1170" t="str">
            <v>Стул Sheffilton SHT-ST38/S37  синий пепел/медный металлик</v>
          </cell>
          <cell r="C1170">
            <v>4093.33</v>
          </cell>
          <cell r="E1170">
            <v>270</v>
          </cell>
          <cell r="F1170">
            <v>351</v>
          </cell>
        </row>
        <row r="1171">
          <cell r="A1171">
            <v>206837</v>
          </cell>
          <cell r="B1171" t="str">
            <v>Стул Sheffilton SHT-ST38/S37  синий пепел/черный муар</v>
          </cell>
          <cell r="C1171">
            <v>4093.33</v>
          </cell>
          <cell r="E1171">
            <v>270</v>
          </cell>
          <cell r="F1171">
            <v>351</v>
          </cell>
        </row>
        <row r="1172">
          <cell r="A1172">
            <v>189758</v>
          </cell>
          <cell r="B1172" t="str">
            <v>Стул Sheffilton SHT-ST38/S37  угольно-серый/хром лак</v>
          </cell>
          <cell r="C1172">
            <v>4186.67</v>
          </cell>
          <cell r="E1172">
            <v>276</v>
          </cell>
          <cell r="F1172">
            <v>359</v>
          </cell>
        </row>
        <row r="1173">
          <cell r="A1173">
            <v>197966</v>
          </cell>
          <cell r="B1173" t="str">
            <v>Стул Sheffilton SHT-ST38/S37 СТ-429 зефирный/белый</v>
          </cell>
          <cell r="C1173">
            <v>4333.33</v>
          </cell>
          <cell r="E1173">
            <v>285</v>
          </cell>
          <cell r="F1173">
            <v>371</v>
          </cell>
        </row>
        <row r="1174">
          <cell r="A1174">
            <v>211487</v>
          </cell>
          <cell r="B1174" t="str">
            <v>Стул Sheffilton SHT-ST38/S38  альпийский бирюзовый/черный муар</v>
          </cell>
          <cell r="C1174">
            <v>4220</v>
          </cell>
          <cell r="E1174">
            <v>278</v>
          </cell>
          <cell r="F1174">
            <v>361</v>
          </cell>
        </row>
        <row r="1175">
          <cell r="A1175">
            <v>198119</v>
          </cell>
          <cell r="B1175" t="str">
            <v>Стул Sheffilton SHT-ST38/S38  зефирный/черный муар</v>
          </cell>
          <cell r="C1175">
            <v>4460</v>
          </cell>
          <cell r="E1175">
            <v>294</v>
          </cell>
          <cell r="F1175">
            <v>382</v>
          </cell>
        </row>
        <row r="1176">
          <cell r="A1176">
            <v>206839</v>
          </cell>
          <cell r="B1176" t="str">
            <v>Стул Sheffilton SHT-ST38/S38  синий пепел/черный муар</v>
          </cell>
          <cell r="C1176">
            <v>4220</v>
          </cell>
          <cell r="E1176">
            <v>278</v>
          </cell>
          <cell r="F1176">
            <v>361</v>
          </cell>
        </row>
        <row r="1177">
          <cell r="A1177">
            <v>189759</v>
          </cell>
          <cell r="B1177" t="str">
            <v>Стул Sheffilton SHT-ST38/S38  угольно-серый/черный муар</v>
          </cell>
          <cell r="C1177">
            <v>4220</v>
          </cell>
          <cell r="E1177">
            <v>278</v>
          </cell>
          <cell r="F1177">
            <v>361</v>
          </cell>
        </row>
        <row r="1178">
          <cell r="A1178">
            <v>211488</v>
          </cell>
          <cell r="B1178" t="str">
            <v>Стул Sheffilton SHT-ST38/S39  альпийский бирюзовый/светлый орех</v>
          </cell>
          <cell r="C1178">
            <v>5440</v>
          </cell>
          <cell r="E1178">
            <v>358</v>
          </cell>
          <cell r="F1178">
            <v>465</v>
          </cell>
        </row>
        <row r="1179">
          <cell r="A1179">
            <v>211489</v>
          </cell>
          <cell r="B1179" t="str">
            <v>Стул Sheffilton SHT-ST38/S39  альпийский бирюзовый/темный орех</v>
          </cell>
          <cell r="C1179">
            <v>5473.33</v>
          </cell>
          <cell r="E1179">
            <v>361</v>
          </cell>
          <cell r="F1179">
            <v>469</v>
          </cell>
        </row>
        <row r="1180">
          <cell r="A1180">
            <v>197969</v>
          </cell>
          <cell r="B1180" t="str">
            <v>Стул Sheffilton SHT-ST38/S39  зефирный/венге</v>
          </cell>
          <cell r="C1180">
            <v>5713.33</v>
          </cell>
          <cell r="E1180">
            <v>376</v>
          </cell>
          <cell r="F1180">
            <v>489</v>
          </cell>
        </row>
        <row r="1181">
          <cell r="A1181">
            <v>197970</v>
          </cell>
          <cell r="B1181" t="str">
            <v>Стул Sheffilton SHT-ST38/S39  зефирный/прозрачный лак</v>
          </cell>
          <cell r="C1181">
            <v>5593.33</v>
          </cell>
          <cell r="E1181">
            <v>368</v>
          </cell>
          <cell r="F1181">
            <v>478</v>
          </cell>
        </row>
        <row r="1182">
          <cell r="A1182">
            <v>206843</v>
          </cell>
          <cell r="B1182" t="str">
            <v>Стул Sheffilton SHT-ST38/S39  синий пепел/венге</v>
          </cell>
          <cell r="C1182">
            <v>5473.33</v>
          </cell>
          <cell r="E1182">
            <v>361</v>
          </cell>
          <cell r="F1182">
            <v>469</v>
          </cell>
        </row>
        <row r="1183">
          <cell r="A1183">
            <v>206841</v>
          </cell>
          <cell r="B1183" t="str">
            <v>Стул Sheffilton SHT-ST38/S39  синий пепел/светлый орех</v>
          </cell>
          <cell r="C1183">
            <v>5440</v>
          </cell>
          <cell r="E1183">
            <v>358</v>
          </cell>
          <cell r="F1183">
            <v>465</v>
          </cell>
        </row>
        <row r="1184">
          <cell r="A1184">
            <v>189761</v>
          </cell>
          <cell r="B1184" t="str">
            <v>Стул Sheffilton SHT-ST38/S39  угольно-серый/венге</v>
          </cell>
          <cell r="C1184">
            <v>5473.33</v>
          </cell>
          <cell r="E1184">
            <v>361</v>
          </cell>
          <cell r="F1184">
            <v>469</v>
          </cell>
        </row>
        <row r="1185">
          <cell r="A1185">
            <v>189762</v>
          </cell>
          <cell r="B1185" t="str">
            <v>Стул Sheffilton SHT-ST38/S39 СТ-501 угольно-серый/светлый орех</v>
          </cell>
          <cell r="C1185">
            <v>5440</v>
          </cell>
          <cell r="E1185">
            <v>358</v>
          </cell>
          <cell r="F1185">
            <v>465</v>
          </cell>
        </row>
        <row r="1186">
          <cell r="A1186">
            <v>189763</v>
          </cell>
          <cell r="B1186" t="str">
            <v>Стул Sheffilton SHT-ST38/S39 СТ-501 угольно-серый/серый</v>
          </cell>
          <cell r="C1186">
            <v>4660</v>
          </cell>
          <cell r="E1186">
            <v>307</v>
          </cell>
          <cell r="F1186">
            <v>399</v>
          </cell>
        </row>
        <row r="1187">
          <cell r="A1187">
            <v>211490</v>
          </cell>
          <cell r="B1187" t="str">
            <v>Стул Sheffilton SHT-ST38/S64  альпийский бирюзовый/черный муар</v>
          </cell>
          <cell r="C1187">
            <v>4260</v>
          </cell>
          <cell r="E1187">
            <v>281</v>
          </cell>
          <cell r="F1187">
            <v>365</v>
          </cell>
        </row>
        <row r="1188">
          <cell r="A1188">
            <v>206844</v>
          </cell>
          <cell r="B1188" t="str">
            <v>Стул Sheffilton SHT-ST38/S64  синий пепел/черный муар</v>
          </cell>
          <cell r="C1188">
            <v>4260</v>
          </cell>
          <cell r="E1188">
            <v>281</v>
          </cell>
          <cell r="F1188">
            <v>365</v>
          </cell>
        </row>
        <row r="1189">
          <cell r="A1189">
            <v>189764</v>
          </cell>
          <cell r="B1189" t="str">
            <v>Стул Sheffilton SHT-ST38/S64 СТ-342 угольно-серый/чёрный муар</v>
          </cell>
          <cell r="C1189">
            <v>4260</v>
          </cell>
          <cell r="E1189">
            <v>281</v>
          </cell>
          <cell r="F1189">
            <v>365</v>
          </cell>
        </row>
        <row r="1190">
          <cell r="A1190">
            <v>211491</v>
          </cell>
          <cell r="B1190" t="str">
            <v>Стул Sheffilton SHT-ST38/S70  альпийский бирюзовый/темный орех/черный</v>
          </cell>
          <cell r="C1190">
            <v>5546.67</v>
          </cell>
          <cell r="E1190">
            <v>365</v>
          </cell>
          <cell r="F1190">
            <v>475</v>
          </cell>
        </row>
        <row r="1191">
          <cell r="A1191">
            <v>197967</v>
          </cell>
          <cell r="B1191" t="str">
            <v>Стул Sheffilton SHT-ST38/S70  зефирный/прозрачный лак/черный муар</v>
          </cell>
          <cell r="C1191">
            <v>5740</v>
          </cell>
          <cell r="E1191">
            <v>378</v>
          </cell>
          <cell r="F1191">
            <v>491</v>
          </cell>
        </row>
        <row r="1192">
          <cell r="A1192">
            <v>197968</v>
          </cell>
          <cell r="B1192" t="str">
            <v>Стул Sheffilton SHT-ST38/S70  зефирный/темный орех/черный муар</v>
          </cell>
          <cell r="C1192">
            <v>5786.67</v>
          </cell>
          <cell r="E1192">
            <v>381</v>
          </cell>
          <cell r="F1192">
            <v>495</v>
          </cell>
        </row>
        <row r="1193">
          <cell r="A1193">
            <v>206845</v>
          </cell>
          <cell r="B1193" t="str">
            <v>Стул Sheffilton SHT-ST38/S70  синий пепел/темный орех/черный</v>
          </cell>
          <cell r="C1193">
            <v>5546.67</v>
          </cell>
          <cell r="E1193">
            <v>365</v>
          </cell>
          <cell r="F1193">
            <v>475</v>
          </cell>
        </row>
        <row r="1194">
          <cell r="A1194">
            <v>189900</v>
          </cell>
          <cell r="B1194" t="str">
            <v>Стул Sheffilton SHT-ST38/S70 СТ-458 угольно-серый/темный орех/черный</v>
          </cell>
          <cell r="C1194">
            <v>5546.67</v>
          </cell>
          <cell r="E1194">
            <v>365</v>
          </cell>
          <cell r="F1194">
            <v>475</v>
          </cell>
        </row>
        <row r="1195">
          <cell r="A1195">
            <v>189901</v>
          </cell>
          <cell r="B1195" t="str">
            <v>Стул Sheffilton SHT-ST38/S71 СТ-453 угольно-серый/дуб браш. коричневый</v>
          </cell>
          <cell r="C1195">
            <v>6586.67</v>
          </cell>
          <cell r="E1195">
            <v>434</v>
          </cell>
          <cell r="F1195">
            <v>564</v>
          </cell>
        </row>
        <row r="1196">
          <cell r="A1196">
            <v>211494</v>
          </cell>
          <cell r="B1196" t="str">
            <v>Стул Sheffilton SHT-ST38/S95-1  альпийский бирюзовый/черный муар/золото</v>
          </cell>
          <cell r="C1196">
            <v>4413.33</v>
          </cell>
          <cell r="E1196">
            <v>291</v>
          </cell>
          <cell r="F1196">
            <v>378</v>
          </cell>
        </row>
        <row r="1197">
          <cell r="A1197">
            <v>199577</v>
          </cell>
          <cell r="B1197" t="str">
            <v>Стул Sheffilton SHT-ST38/S95-1  зефирный/белый муар</v>
          </cell>
          <cell r="C1197">
            <v>4633.33</v>
          </cell>
          <cell r="E1197">
            <v>305</v>
          </cell>
          <cell r="F1197">
            <v>397</v>
          </cell>
        </row>
        <row r="1198">
          <cell r="A1198">
            <v>199578</v>
          </cell>
          <cell r="B1198" t="str">
            <v>Стул Sheffilton SHT-ST38/S95-1  угольно-серый/белый муар</v>
          </cell>
          <cell r="C1198">
            <v>4393.33</v>
          </cell>
          <cell r="E1198">
            <v>289</v>
          </cell>
          <cell r="F1198">
            <v>376</v>
          </cell>
        </row>
        <row r="1199">
          <cell r="A1199">
            <v>197971</v>
          </cell>
          <cell r="B1199" t="str">
            <v>Стул Sheffilton SHT-ST38/S95-1 СТ-388 зефирный/черный муар/золото</v>
          </cell>
          <cell r="C1199">
            <v>4653.33</v>
          </cell>
          <cell r="E1199">
            <v>307</v>
          </cell>
          <cell r="F1199">
            <v>399</v>
          </cell>
        </row>
        <row r="1200">
          <cell r="A1200">
            <v>192467</v>
          </cell>
          <cell r="B1200" t="str">
            <v>Стул Sheffilton SHT-ST38/S95-1 СТ-388 угольно-серый/черный муар/золото</v>
          </cell>
          <cell r="C1200">
            <v>4413.33</v>
          </cell>
          <cell r="E1200">
            <v>291</v>
          </cell>
          <cell r="F1200">
            <v>378</v>
          </cell>
        </row>
        <row r="1201">
          <cell r="A1201">
            <v>187576</v>
          </cell>
          <cell r="B1201" t="str">
            <v>Стул Sheffilton SHT-ST3-C12/S37 PC СТ-359 коричневый сахар/черный муар</v>
          </cell>
          <cell r="C1201">
            <v>1583.33</v>
          </cell>
          <cell r="E1201">
            <v>104</v>
          </cell>
          <cell r="F1201">
            <v>135</v>
          </cell>
        </row>
        <row r="1202">
          <cell r="A1202">
            <v>155654</v>
          </cell>
          <cell r="B1202" t="str">
            <v>Стул Sheffilton SHT-ST9/S100  дуб брашированный/черный муар</v>
          </cell>
          <cell r="C1202">
            <v>2320</v>
          </cell>
          <cell r="E1202">
            <v>153</v>
          </cell>
          <cell r="F1202">
            <v>199</v>
          </cell>
        </row>
        <row r="1203">
          <cell r="A1203">
            <v>962033</v>
          </cell>
          <cell r="B1203" t="str">
            <v>Стул Sheffilton SHT-ST9/S37 СТ-93 дуб брашированный/черный муар</v>
          </cell>
          <cell r="C1203">
            <v>2200</v>
          </cell>
          <cell r="E1203">
            <v>145</v>
          </cell>
          <cell r="F1203">
            <v>189</v>
          </cell>
        </row>
        <row r="1204">
          <cell r="A1204">
            <v>962034</v>
          </cell>
          <cell r="B1204" t="str">
            <v>Стул Sheffilton SHT-ST9/S70 СТ-92 дуб брашированный/темный орех</v>
          </cell>
          <cell r="C1204">
            <v>3653.33</v>
          </cell>
          <cell r="E1204">
            <v>241</v>
          </cell>
          <cell r="F1204">
            <v>313</v>
          </cell>
        </row>
        <row r="1205">
          <cell r="A1205">
            <v>388151</v>
          </cell>
          <cell r="B1205" t="str">
            <v>Стул Sheffilton SHT-ST9/S70 СТ-92 прозрачный лак/черный муар</v>
          </cell>
          <cell r="C1205">
            <v>3240</v>
          </cell>
          <cell r="E1205">
            <v>213</v>
          </cell>
          <cell r="F1205">
            <v>277</v>
          </cell>
        </row>
        <row r="1206">
          <cell r="A1206">
            <v>947848</v>
          </cell>
          <cell r="B1206" t="str">
            <v>Стул Sheffilton SHT-ST9/S71  дуб брашированный коричневый</v>
          </cell>
          <cell r="C1206">
            <v>4693.33</v>
          </cell>
          <cell r="E1206">
            <v>309</v>
          </cell>
          <cell r="F1206">
            <v>402</v>
          </cell>
        </row>
        <row r="1207">
          <cell r="A1207">
            <v>962036</v>
          </cell>
          <cell r="B1207" t="str">
            <v>Стул Sheffilton SHT-ST9/S74  дуб браш./черный зол.патина</v>
          </cell>
          <cell r="C1207">
            <v>5803.33</v>
          </cell>
          <cell r="E1207">
            <v>382</v>
          </cell>
          <cell r="F1207">
            <v>497</v>
          </cell>
        </row>
        <row r="1208">
          <cell r="A1208">
            <v>173113</v>
          </cell>
          <cell r="B1208" t="str">
            <v>Стул Sheffilton подъемно-поворотный SHT-ST29/S120 СТ-279 белый/черный муар</v>
          </cell>
          <cell r="C1208">
            <v>2973.33</v>
          </cell>
          <cell r="E1208">
            <v>196</v>
          </cell>
          <cell r="F1208">
            <v>255</v>
          </cell>
        </row>
        <row r="1209">
          <cell r="A1209">
            <v>198120</v>
          </cell>
          <cell r="B1209" t="str">
            <v>Стул Sheffilton подъемно-поворотный  SHT-ST38/S120  зефирный/черный</v>
          </cell>
          <cell r="C1209">
            <v>5720</v>
          </cell>
          <cell r="E1209">
            <v>377</v>
          </cell>
          <cell r="F1209">
            <v>490</v>
          </cell>
        </row>
        <row r="1210">
          <cell r="A1210">
            <v>987345</v>
          </cell>
          <cell r="B1210" t="str">
            <v>Стул барный Sheffilton SHT-S102 СТ-102 сереб./espresso/белая шагрень гл.</v>
          </cell>
          <cell r="C1210">
            <v>6133.33</v>
          </cell>
          <cell r="E1210">
            <v>404</v>
          </cell>
          <cell r="F1210">
            <v>525</v>
          </cell>
        </row>
        <row r="1211">
          <cell r="A1211">
            <v>936234</v>
          </cell>
          <cell r="B1211" t="str">
            <v>Стул барный Sheffilton SHT-S48 CT-48 желтый/хром лак</v>
          </cell>
          <cell r="C1211">
            <v>1043.33</v>
          </cell>
          <cell r="E1211">
            <v>69</v>
          </cell>
          <cell r="F1211">
            <v>90</v>
          </cell>
        </row>
        <row r="1212">
          <cell r="A1212">
            <v>865336</v>
          </cell>
          <cell r="B1212" t="str">
            <v>Стул барный Sheffilton SHT-S48 CT-48 желтый/черный муар</v>
          </cell>
          <cell r="C1212">
            <v>1023.33</v>
          </cell>
          <cell r="E1212">
            <v>67</v>
          </cell>
          <cell r="F1212">
            <v>87</v>
          </cell>
        </row>
        <row r="1213">
          <cell r="A1213">
            <v>936235</v>
          </cell>
          <cell r="B1213" t="str">
            <v>Стул барный Sheffilton SHT-S48 CT-48 синий/хром лак</v>
          </cell>
          <cell r="C1213">
            <v>1043.33</v>
          </cell>
          <cell r="E1213">
            <v>69</v>
          </cell>
          <cell r="F1213">
            <v>90</v>
          </cell>
        </row>
        <row r="1214">
          <cell r="A1214">
            <v>936236</v>
          </cell>
          <cell r="B1214" t="str">
            <v>Стул барный Sheffilton SHT-S48 CT-48 черный/светлый орех</v>
          </cell>
          <cell r="C1214">
            <v>1136.67</v>
          </cell>
          <cell r="E1214">
            <v>75</v>
          </cell>
          <cell r="F1214">
            <v>98</v>
          </cell>
        </row>
        <row r="1215">
          <cell r="A1215">
            <v>865332</v>
          </cell>
          <cell r="B1215" t="str">
            <v>Стул барный Sheffilton SHT-S48 CT-48 черный/черный муар</v>
          </cell>
          <cell r="C1215">
            <v>1023.33</v>
          </cell>
          <cell r="E1215">
            <v>67</v>
          </cell>
          <cell r="F1215">
            <v>87</v>
          </cell>
        </row>
        <row r="1216">
          <cell r="A1216">
            <v>924718</v>
          </cell>
          <cell r="B1216" t="str">
            <v>Стул барный Sheffilton SHT-S48 CT-48 шоколадный/хром лак</v>
          </cell>
          <cell r="C1216">
            <v>1043.33</v>
          </cell>
          <cell r="E1216">
            <v>69</v>
          </cell>
          <cell r="F1216">
            <v>90</v>
          </cell>
        </row>
        <row r="1217">
          <cell r="A1217">
            <v>154072</v>
          </cell>
          <cell r="B1217" t="str">
            <v>Стул барный Sheffilton SHT-ST10-1/S80 СТ-225 дуб выбеленный/прозрачный лак</v>
          </cell>
          <cell r="C1217">
            <v>7460</v>
          </cell>
          <cell r="E1217">
            <v>491</v>
          </cell>
          <cell r="F1217">
            <v>638</v>
          </cell>
        </row>
        <row r="1218">
          <cell r="A1218">
            <v>153992</v>
          </cell>
          <cell r="B1218" t="str">
            <v>Стул барный Sheffilton SHT-ST10-1/S80 СТ-225 ноче рубино/темный орех/черный муар</v>
          </cell>
          <cell r="C1218">
            <v>6293.33</v>
          </cell>
          <cell r="E1218">
            <v>415</v>
          </cell>
          <cell r="F1218">
            <v>540</v>
          </cell>
        </row>
        <row r="1219">
          <cell r="A1219">
            <v>154077</v>
          </cell>
          <cell r="B1219" t="str">
            <v>Стул барный Sheffilton SHT-ST15-1/S65  дуб выбеленный/дуб брашир. коричневый</v>
          </cell>
          <cell r="C1219">
            <v>7806.67</v>
          </cell>
          <cell r="E1219">
            <v>514</v>
          </cell>
          <cell r="F1219">
            <v>668</v>
          </cell>
        </row>
        <row r="1220">
          <cell r="A1220">
            <v>962065</v>
          </cell>
          <cell r="B1220" t="str">
            <v>Стул барный Sheffilton SHT-ST16/S66  дуб брашированный/черный зол.патина</v>
          </cell>
          <cell r="C1220">
            <v>3906.67</v>
          </cell>
          <cell r="E1220">
            <v>257</v>
          </cell>
          <cell r="F1220">
            <v>334</v>
          </cell>
        </row>
        <row r="1221">
          <cell r="A1221">
            <v>409755</v>
          </cell>
          <cell r="B1221" t="str">
            <v>Стул барный Sheffilton SHT-ST16/S66  прозрачный лак/черный</v>
          </cell>
          <cell r="C1221">
            <v>3186.67</v>
          </cell>
          <cell r="E1221">
            <v>210</v>
          </cell>
          <cell r="F1221">
            <v>273</v>
          </cell>
        </row>
        <row r="1222">
          <cell r="A1222">
            <v>408487</v>
          </cell>
          <cell r="B1222" t="str">
            <v>Стул барный Sheffilton SHT-ST16/S66 СТ-283 прозрачный лак/хром лак</v>
          </cell>
          <cell r="C1222">
            <v>3300</v>
          </cell>
          <cell r="E1222">
            <v>217</v>
          </cell>
          <cell r="F1222">
            <v>282</v>
          </cell>
        </row>
        <row r="1223">
          <cell r="A1223">
            <v>408969</v>
          </cell>
          <cell r="B1223" t="str">
            <v>Стул барный Sheffilton SHT-ST16/S80  прозрачный лак/темный орех/черный</v>
          </cell>
          <cell r="C1223">
            <v>4813.33</v>
          </cell>
          <cell r="E1223">
            <v>317</v>
          </cell>
          <cell r="F1223">
            <v>412</v>
          </cell>
        </row>
        <row r="1224">
          <cell r="A1224">
            <v>962066</v>
          </cell>
          <cell r="B1224" t="str">
            <v>Стул барный Sheffilton SHT-ST16/S80 СТ-91 дуб брашированный/темный орех</v>
          </cell>
          <cell r="C1224">
            <v>5666.67</v>
          </cell>
          <cell r="E1224">
            <v>373</v>
          </cell>
          <cell r="F1224">
            <v>485</v>
          </cell>
        </row>
        <row r="1225">
          <cell r="A1225">
            <v>144583</v>
          </cell>
          <cell r="B1225" t="str">
            <v>Стул барный Sheffilton SHT-ST16/S81  дуб брашированный коричневый</v>
          </cell>
          <cell r="C1225">
            <v>5780</v>
          </cell>
          <cell r="E1225">
            <v>381</v>
          </cell>
          <cell r="F1225">
            <v>495</v>
          </cell>
        </row>
        <row r="1226">
          <cell r="A1226">
            <v>145074</v>
          </cell>
          <cell r="B1226" t="str">
            <v>Стул барный Sheffilton SHT-ST18-1/S80  темный янтарь/темный орех/черный</v>
          </cell>
          <cell r="C1226">
            <v>7966.67</v>
          </cell>
          <cell r="E1226">
            <v>525</v>
          </cell>
          <cell r="F1226">
            <v>683</v>
          </cell>
        </row>
        <row r="1227">
          <cell r="A1227">
            <v>145075</v>
          </cell>
          <cell r="B1227" t="str">
            <v>Стул барный Sheffilton SHT-ST18-1/S81  темный янтарь/брашированный коричневый</v>
          </cell>
          <cell r="C1227">
            <v>8080</v>
          </cell>
          <cell r="E1227">
            <v>532</v>
          </cell>
          <cell r="F1227">
            <v>692</v>
          </cell>
        </row>
        <row r="1228">
          <cell r="A1228">
            <v>312250</v>
          </cell>
          <cell r="B1228" t="str">
            <v>Стул барный Sheffilton SHT-ST19/S29 СТ-127 белый/хром лак</v>
          </cell>
          <cell r="C1228">
            <v>1840</v>
          </cell>
          <cell r="E1228">
            <v>121</v>
          </cell>
          <cell r="F1228">
            <v>157</v>
          </cell>
        </row>
        <row r="1229">
          <cell r="A1229">
            <v>990990</v>
          </cell>
          <cell r="B1229" t="str">
            <v>Стул барный Sheffilton SHT-ST19/S29 СТ-127 желтый / черный муар</v>
          </cell>
          <cell r="C1229">
            <v>1723.33</v>
          </cell>
          <cell r="E1229">
            <v>114</v>
          </cell>
          <cell r="F1229">
            <v>148</v>
          </cell>
        </row>
        <row r="1230">
          <cell r="A1230">
            <v>991235</v>
          </cell>
          <cell r="B1230" t="str">
            <v>Стул барный Sheffilton SHT-ST19/S29 СТ-127 черный / медный металлик</v>
          </cell>
          <cell r="C1230">
            <v>1723.33</v>
          </cell>
          <cell r="E1230">
            <v>114</v>
          </cell>
          <cell r="F1230">
            <v>148</v>
          </cell>
        </row>
        <row r="1231">
          <cell r="A1231">
            <v>991243</v>
          </cell>
          <cell r="B1231" t="str">
            <v>Стул барный Sheffilton SHT-ST19/S29 СТ-127 черный / черный муар</v>
          </cell>
          <cell r="C1231">
            <v>1723.33</v>
          </cell>
          <cell r="E1231">
            <v>114</v>
          </cell>
          <cell r="F1231">
            <v>148</v>
          </cell>
        </row>
        <row r="1232">
          <cell r="A1232">
            <v>991244</v>
          </cell>
          <cell r="B1232" t="str">
            <v>Стул барный Sheffilton SHT-ST19/S29 СТ-127 черный / черный муар зол. патина</v>
          </cell>
          <cell r="C1232">
            <v>1733.33</v>
          </cell>
          <cell r="E1232">
            <v>114</v>
          </cell>
          <cell r="F1232">
            <v>148</v>
          </cell>
        </row>
        <row r="1233">
          <cell r="A1233">
            <v>990983</v>
          </cell>
          <cell r="B1233" t="str">
            <v>Стул барный Sheffilton SHT-ST19/S65  желтый / венге</v>
          </cell>
          <cell r="C1233">
            <v>4413.33</v>
          </cell>
          <cell r="E1233">
            <v>291</v>
          </cell>
          <cell r="F1233">
            <v>378</v>
          </cell>
        </row>
        <row r="1234">
          <cell r="A1234">
            <v>990975</v>
          </cell>
          <cell r="B1234" t="str">
            <v>Стул барный Sheffilton SHT-ST19/S65  черный / дуб брашированный коричневый</v>
          </cell>
          <cell r="C1234">
            <v>5780</v>
          </cell>
          <cell r="E1234">
            <v>381</v>
          </cell>
          <cell r="F1234">
            <v>495</v>
          </cell>
        </row>
        <row r="1235">
          <cell r="A1235">
            <v>983003</v>
          </cell>
          <cell r="B1235" t="str">
            <v>Стул барный Sheffilton SHT-ST19/S65 СТ-81 белый/прозрачный лак</v>
          </cell>
          <cell r="C1235">
            <v>3960</v>
          </cell>
          <cell r="E1235">
            <v>261</v>
          </cell>
          <cell r="F1235">
            <v>339</v>
          </cell>
        </row>
        <row r="1236">
          <cell r="A1236">
            <v>983001</v>
          </cell>
          <cell r="B1236" t="str">
            <v>Стул барный Sheffilton SHT-ST19/S65 СТ-81 белый/светлый орех</v>
          </cell>
          <cell r="C1236">
            <v>4046.67</v>
          </cell>
          <cell r="E1236">
            <v>267</v>
          </cell>
          <cell r="F1236">
            <v>347</v>
          </cell>
        </row>
        <row r="1237">
          <cell r="A1237">
            <v>152227</v>
          </cell>
          <cell r="B1237" t="str">
            <v>Стул барный Sheffilton SHT-ST19/S65 СТ-81 черный/светлый орех</v>
          </cell>
          <cell r="C1237">
            <v>4046.67</v>
          </cell>
          <cell r="E1237">
            <v>267</v>
          </cell>
          <cell r="F1237">
            <v>347</v>
          </cell>
        </row>
        <row r="1238">
          <cell r="A1238">
            <v>991094</v>
          </cell>
          <cell r="B1238" t="str">
            <v>Стул барный Sheffilton SHT-ST19/S66  желтый / хром лак</v>
          </cell>
          <cell r="C1238">
            <v>2640</v>
          </cell>
          <cell r="E1238">
            <v>174</v>
          </cell>
          <cell r="F1238">
            <v>226</v>
          </cell>
        </row>
        <row r="1239">
          <cell r="A1239">
            <v>983000</v>
          </cell>
          <cell r="B1239" t="str">
            <v>Стул барный Sheffilton SHT-ST19/S66 СТ-82 белый/черный муар</v>
          </cell>
          <cell r="C1239">
            <v>2640</v>
          </cell>
          <cell r="E1239">
            <v>174</v>
          </cell>
          <cell r="F1239">
            <v>226</v>
          </cell>
        </row>
        <row r="1240">
          <cell r="A1240">
            <v>991131</v>
          </cell>
          <cell r="B1240" t="str">
            <v>Стул барный Sheffilton SHT-ST19/S66 СТ-82 желтый/черный муар зол. патина</v>
          </cell>
          <cell r="C1240">
            <v>2506.67</v>
          </cell>
          <cell r="E1240">
            <v>165</v>
          </cell>
          <cell r="F1240">
            <v>215</v>
          </cell>
        </row>
        <row r="1241">
          <cell r="A1241">
            <v>144474</v>
          </cell>
          <cell r="B1241" t="str">
            <v>Стул барный Sheffilton SHT-ST19/S80  оранжевый/темный орех/черный</v>
          </cell>
          <cell r="C1241">
            <v>4266.67</v>
          </cell>
          <cell r="E1241">
            <v>281</v>
          </cell>
          <cell r="F1241">
            <v>365</v>
          </cell>
        </row>
        <row r="1242">
          <cell r="A1242">
            <v>982996</v>
          </cell>
          <cell r="B1242" t="str">
            <v>Стул барный Sheffilton SHT-ST19/S80 СТ-201 черный/темный орех</v>
          </cell>
          <cell r="C1242">
            <v>4266.67</v>
          </cell>
          <cell r="E1242">
            <v>281</v>
          </cell>
          <cell r="F1242">
            <v>365</v>
          </cell>
        </row>
        <row r="1243">
          <cell r="A1243">
            <v>144473</v>
          </cell>
          <cell r="B1243" t="str">
            <v>Стул барный Sheffilton SHT-ST19/S81  белый/дуб брашированный коричневый</v>
          </cell>
          <cell r="C1243">
            <v>4380</v>
          </cell>
          <cell r="E1243">
            <v>289</v>
          </cell>
          <cell r="F1243">
            <v>376</v>
          </cell>
        </row>
        <row r="1244">
          <cell r="A1244">
            <v>991145</v>
          </cell>
          <cell r="B1244" t="str">
            <v>Стул барный Sheffilton SHT-ST19/S81  желтый/дуб брашированный коричневый</v>
          </cell>
          <cell r="C1244">
            <v>4380</v>
          </cell>
          <cell r="E1244">
            <v>289</v>
          </cell>
          <cell r="F1244">
            <v>376</v>
          </cell>
        </row>
        <row r="1245">
          <cell r="A1245">
            <v>151501</v>
          </cell>
          <cell r="B1245" t="str">
            <v>Стул барный Sheffilton SHT-ST19/S93 СТ-238 белый/браш.коричневый/черный муар</v>
          </cell>
          <cell r="C1245">
            <v>5473.33</v>
          </cell>
          <cell r="E1245">
            <v>361</v>
          </cell>
          <cell r="F1245">
            <v>469</v>
          </cell>
        </row>
        <row r="1246">
          <cell r="A1246">
            <v>151369</v>
          </cell>
          <cell r="B1246" t="str">
            <v>Стул барный Sheffilton SHT-ST19/S93 СТ-238 черный/браш.коричневый/черный муар</v>
          </cell>
          <cell r="C1246">
            <v>5473.33</v>
          </cell>
          <cell r="E1246">
            <v>361</v>
          </cell>
          <cell r="F1246">
            <v>469</v>
          </cell>
        </row>
        <row r="1247">
          <cell r="A1247">
            <v>990971</v>
          </cell>
          <cell r="B1247" t="str">
            <v>Стул барный Sheffilton SHT-ST19/S94  белый/прозрачный лак</v>
          </cell>
          <cell r="C1247">
            <v>4300</v>
          </cell>
          <cell r="E1247">
            <v>283</v>
          </cell>
          <cell r="F1247">
            <v>368</v>
          </cell>
        </row>
        <row r="1248">
          <cell r="A1248">
            <v>991245</v>
          </cell>
          <cell r="B1248" t="str">
            <v>Стул барный Sheffilton SHT-ST19/S94 СТ-83 черный/прозрачный лак</v>
          </cell>
          <cell r="C1248">
            <v>4300</v>
          </cell>
          <cell r="E1248">
            <v>283</v>
          </cell>
          <cell r="F1248">
            <v>368</v>
          </cell>
        </row>
        <row r="1249">
          <cell r="A1249">
            <v>189469</v>
          </cell>
          <cell r="B1249" t="str">
            <v>Стул барный Sheffilton SHT-ST19-SF1/S29 СТ-127 дымный/хром лак</v>
          </cell>
          <cell r="C1249">
            <v>3013.33</v>
          </cell>
          <cell r="E1249">
            <v>199</v>
          </cell>
          <cell r="F1249">
            <v>259</v>
          </cell>
        </row>
        <row r="1250">
          <cell r="A1250">
            <v>189468</v>
          </cell>
          <cell r="B1250" t="str">
            <v>Стул барный Sheffilton SHT-ST19-SF1/S66 СТ-82 дымный/хром лак</v>
          </cell>
          <cell r="C1250">
            <v>3926.67</v>
          </cell>
          <cell r="E1250">
            <v>259</v>
          </cell>
          <cell r="F1250">
            <v>337</v>
          </cell>
        </row>
        <row r="1251">
          <cell r="A1251">
            <v>183195</v>
          </cell>
          <cell r="B1251" t="str">
            <v>Стул барный Sheffilton SHT-ST19-SF1/S80  дымный/прозрачный лак/черный</v>
          </cell>
          <cell r="C1251">
            <v>5373.33</v>
          </cell>
          <cell r="E1251">
            <v>354</v>
          </cell>
          <cell r="F1251">
            <v>460</v>
          </cell>
        </row>
        <row r="1252">
          <cell r="A1252">
            <v>209806</v>
          </cell>
          <cell r="B1252" t="str">
            <v>Стул барный Sheffilton SHT-ST19-SF2/S128  ванильный крем/хром/белый муар</v>
          </cell>
          <cell r="C1252">
            <v>10566.67</v>
          </cell>
          <cell r="E1252">
            <v>696</v>
          </cell>
          <cell r="F1252">
            <v>905</v>
          </cell>
        </row>
        <row r="1253">
          <cell r="A1253">
            <v>209802</v>
          </cell>
          <cell r="B1253" t="str">
            <v>Стул барный Sheffilton SHT-ST19-SF2/S29  ванильный крем/хром лак</v>
          </cell>
          <cell r="C1253">
            <v>2980</v>
          </cell>
          <cell r="E1253">
            <v>196</v>
          </cell>
          <cell r="F1253">
            <v>255</v>
          </cell>
        </row>
        <row r="1254">
          <cell r="A1254">
            <v>209803</v>
          </cell>
          <cell r="B1254" t="str">
            <v>Стул барный Sheffilton SHT-ST19-SF2/S29 СТ-499 ванильный крем/медный металлик</v>
          </cell>
          <cell r="C1254">
            <v>2863.33</v>
          </cell>
          <cell r="E1254">
            <v>189</v>
          </cell>
          <cell r="F1254">
            <v>246</v>
          </cell>
        </row>
        <row r="1255">
          <cell r="A1255">
            <v>209807</v>
          </cell>
          <cell r="B1255" t="str">
            <v>Стул барный Sheffilton SHT-ST19-SF2/S80  ванильный крем/темный орех/черный</v>
          </cell>
          <cell r="C1255">
            <v>5406.67</v>
          </cell>
          <cell r="E1255">
            <v>356</v>
          </cell>
          <cell r="F1255">
            <v>463</v>
          </cell>
        </row>
        <row r="1256">
          <cell r="A1256">
            <v>151619</v>
          </cell>
          <cell r="B1256" t="str">
            <v>Стул барный Sheffilton SHT-ST29-C12/S29 СТ-254 голубая лагуна/черный муар</v>
          </cell>
          <cell r="C1256">
            <v>2790</v>
          </cell>
          <cell r="E1256">
            <v>184</v>
          </cell>
          <cell r="F1256">
            <v>239</v>
          </cell>
        </row>
        <row r="1257">
          <cell r="A1257">
            <v>151466</v>
          </cell>
          <cell r="B1257" t="str">
            <v>Стул барный Sheffilton SHT-ST29-C12/S29 СТ-254 ежевичное вино/черный муар</v>
          </cell>
          <cell r="C1257">
            <v>2790</v>
          </cell>
          <cell r="E1257">
            <v>184</v>
          </cell>
          <cell r="F1257">
            <v>239</v>
          </cell>
        </row>
        <row r="1258">
          <cell r="A1258">
            <v>151621</v>
          </cell>
          <cell r="B1258" t="str">
            <v>Стул барный Sheffilton SHT-ST29-C12/S65 СТ-214 голубая лагуна/венге</v>
          </cell>
          <cell r="C1258">
            <v>5480</v>
          </cell>
          <cell r="E1258">
            <v>361</v>
          </cell>
          <cell r="F1258">
            <v>469</v>
          </cell>
        </row>
        <row r="1259">
          <cell r="A1259">
            <v>151467</v>
          </cell>
          <cell r="B1259" t="str">
            <v>Стул барный Sheffilton SHT-ST29-C12/S65 СТ-214 ежевичное вино/венге</v>
          </cell>
          <cell r="C1259">
            <v>5480</v>
          </cell>
          <cell r="E1259">
            <v>361</v>
          </cell>
          <cell r="F1259">
            <v>469</v>
          </cell>
        </row>
        <row r="1260">
          <cell r="A1260">
            <v>151791</v>
          </cell>
          <cell r="B1260" t="str">
            <v>Стул барный Sheffilton SHT-ST29-C12/S80  голубая лагуна/темный орех/черный муар</v>
          </cell>
          <cell r="C1260">
            <v>5333.33</v>
          </cell>
          <cell r="E1260">
            <v>351</v>
          </cell>
          <cell r="F1260">
            <v>456</v>
          </cell>
        </row>
        <row r="1261">
          <cell r="A1261">
            <v>151468</v>
          </cell>
          <cell r="B1261" t="str">
            <v>Стул барный Sheffilton SHT-ST29-C12/S80  ежевичное вино/темный орех/черный муар</v>
          </cell>
          <cell r="C1261">
            <v>5333.33</v>
          </cell>
          <cell r="E1261">
            <v>351</v>
          </cell>
          <cell r="F1261">
            <v>456</v>
          </cell>
        </row>
        <row r="1262">
          <cell r="A1262">
            <v>165565</v>
          </cell>
          <cell r="B1262" t="str">
            <v>Стул барный Sheffilton SHT-ST29-C12/S80  коричневый сахар/темный орех/черный муар</v>
          </cell>
          <cell r="C1262">
            <v>5193.33</v>
          </cell>
          <cell r="E1262">
            <v>342</v>
          </cell>
          <cell r="F1262">
            <v>445</v>
          </cell>
        </row>
        <row r="1263">
          <cell r="A1263">
            <v>151792</v>
          </cell>
          <cell r="B1263" t="str">
            <v>Стул барный Sheffilton SHT-ST29-C12/S81  голубая лагуна/дуб брашированный коричне</v>
          </cell>
          <cell r="C1263">
            <v>5446.67</v>
          </cell>
          <cell r="E1263">
            <v>359</v>
          </cell>
          <cell r="F1263">
            <v>467</v>
          </cell>
        </row>
        <row r="1264">
          <cell r="A1264">
            <v>151470</v>
          </cell>
          <cell r="B1264" t="str">
            <v>Стул барный Sheffilton SHT-ST29-C12/S81  ежевичное вино/дуб брашированный коричне</v>
          </cell>
          <cell r="C1264">
            <v>5446.67</v>
          </cell>
          <cell r="E1264">
            <v>359</v>
          </cell>
          <cell r="F1264">
            <v>467</v>
          </cell>
        </row>
        <row r="1265">
          <cell r="A1265">
            <v>172589</v>
          </cell>
          <cell r="B1265" t="str">
            <v>Стул барный Sheffilton SHT-ST29-C12/S93 СТ-372 коричневый сахар/браш.коричневый/черный</v>
          </cell>
          <cell r="C1265">
            <v>6400</v>
          </cell>
          <cell r="E1265">
            <v>422</v>
          </cell>
          <cell r="F1265">
            <v>549</v>
          </cell>
        </row>
        <row r="1266">
          <cell r="A1266">
            <v>155641</v>
          </cell>
          <cell r="B1266" t="str">
            <v>Стул барный Sheffilton SHT-ST29-C1/S29  оливковый/хром лак</v>
          </cell>
          <cell r="C1266">
            <v>2840</v>
          </cell>
          <cell r="E1266">
            <v>187</v>
          </cell>
          <cell r="F1266">
            <v>243</v>
          </cell>
        </row>
        <row r="1267">
          <cell r="A1267">
            <v>155636</v>
          </cell>
          <cell r="B1267" t="str">
            <v>Стул барный Sheffilton SHT-ST29-C1/S65  оливковый/прозрачный лак</v>
          </cell>
          <cell r="C1267">
            <v>4960</v>
          </cell>
          <cell r="E1267">
            <v>327</v>
          </cell>
          <cell r="F1267">
            <v>425</v>
          </cell>
        </row>
        <row r="1268">
          <cell r="A1268">
            <v>199960</v>
          </cell>
          <cell r="B1268" t="str">
            <v>Стул барный Sheffilton SHT-ST29-C1/S66  лунный камень/черный муар</v>
          </cell>
          <cell r="C1268">
            <v>3633.33</v>
          </cell>
          <cell r="E1268">
            <v>239</v>
          </cell>
          <cell r="F1268">
            <v>311</v>
          </cell>
        </row>
        <row r="1269">
          <cell r="A1269">
            <v>163689</v>
          </cell>
          <cell r="B1269" t="str">
            <v>Стул барный Sheffilton SHT-ST29-C1/S80  морская глубина/прозр.лак/черный муар</v>
          </cell>
          <cell r="C1269">
            <v>5193.33</v>
          </cell>
          <cell r="E1269">
            <v>342</v>
          </cell>
          <cell r="F1269">
            <v>445</v>
          </cell>
        </row>
        <row r="1270">
          <cell r="A1270">
            <v>174248</v>
          </cell>
          <cell r="B1270" t="str">
            <v>Стул барный Sheffilton SHT-ST29-C1/S94  оливковый/прозрачный лак/черный</v>
          </cell>
          <cell r="C1270">
            <v>5300</v>
          </cell>
          <cell r="E1270">
            <v>349</v>
          </cell>
          <cell r="F1270">
            <v>454</v>
          </cell>
        </row>
        <row r="1271">
          <cell r="A1271">
            <v>199888</v>
          </cell>
          <cell r="B1271" t="str">
            <v>Стул барный Sheffilton SHT-ST29-C22/S128  розовый зефир/хром/белый муар</v>
          </cell>
          <cell r="C1271">
            <v>10880</v>
          </cell>
          <cell r="E1271">
            <v>717</v>
          </cell>
          <cell r="F1271">
            <v>932</v>
          </cell>
        </row>
        <row r="1272">
          <cell r="A1272">
            <v>199886</v>
          </cell>
          <cell r="B1272" t="str">
            <v>Стул барный Sheffilton SHT-ST29-C22/S29  розовый зефир/хром лак</v>
          </cell>
          <cell r="C1272">
            <v>3293.33</v>
          </cell>
          <cell r="E1272">
            <v>217</v>
          </cell>
          <cell r="F1272">
            <v>282</v>
          </cell>
        </row>
        <row r="1273">
          <cell r="A1273">
            <v>199887</v>
          </cell>
          <cell r="B1273" t="str">
            <v>Стул барный Sheffilton SHT-ST29-C22/S66  розовый зефир/хром лак</v>
          </cell>
          <cell r="C1273">
            <v>4206.67</v>
          </cell>
          <cell r="E1273">
            <v>277</v>
          </cell>
          <cell r="F1273">
            <v>360</v>
          </cell>
        </row>
        <row r="1274">
          <cell r="A1274">
            <v>199890</v>
          </cell>
          <cell r="B1274" t="str">
            <v>Стул барный Sheffilton SHT-ST29-C22/S80  розовый зефир/темный орех/черный муар</v>
          </cell>
          <cell r="C1274">
            <v>5720</v>
          </cell>
          <cell r="E1274">
            <v>377</v>
          </cell>
          <cell r="F1274">
            <v>490</v>
          </cell>
        </row>
        <row r="1275">
          <cell r="A1275">
            <v>199889</v>
          </cell>
          <cell r="B1275" t="str">
            <v>Стул барный Sheffilton SHT-ST29-C22/S94  розовый зефир/прозрачный лак/черный муар</v>
          </cell>
          <cell r="C1275">
            <v>5753.33</v>
          </cell>
          <cell r="E1275">
            <v>379</v>
          </cell>
          <cell r="F1275">
            <v>493</v>
          </cell>
        </row>
        <row r="1276">
          <cell r="A1276">
            <v>152211</v>
          </cell>
          <cell r="B1276" t="str">
            <v>Стул барный Sheffilton SHT-ST29-C/S29 СТ-276 пепельный/хром лак</v>
          </cell>
          <cell r="C1276">
            <v>2680</v>
          </cell>
          <cell r="E1276">
            <v>177</v>
          </cell>
          <cell r="F1276">
            <v>230</v>
          </cell>
        </row>
        <row r="1277">
          <cell r="A1277">
            <v>152210</v>
          </cell>
          <cell r="B1277" t="str">
            <v>Стул барный Sheffilton SHT-ST29-C/S65 СТ-268 пепельный/прозрачный лак</v>
          </cell>
          <cell r="C1277">
            <v>4800</v>
          </cell>
          <cell r="E1277">
            <v>316</v>
          </cell>
          <cell r="F1277">
            <v>411</v>
          </cell>
        </row>
        <row r="1278">
          <cell r="A1278">
            <v>169221</v>
          </cell>
          <cell r="B1278" t="str">
            <v>Стул барный Sheffilton SHT-ST29-C/S66  жемчужный/хром лак</v>
          </cell>
          <cell r="C1278">
            <v>3746.67</v>
          </cell>
          <cell r="E1278">
            <v>247</v>
          </cell>
          <cell r="F1278">
            <v>321</v>
          </cell>
        </row>
        <row r="1279">
          <cell r="A1279">
            <v>174247</v>
          </cell>
          <cell r="B1279" t="str">
            <v>Стул барный Sheffilton SHT-ST29-C/S94 СТ-500 жемчужный/прозрачный лак/черный</v>
          </cell>
          <cell r="C1279">
            <v>5293.33</v>
          </cell>
          <cell r="E1279">
            <v>349</v>
          </cell>
          <cell r="F1279">
            <v>454</v>
          </cell>
        </row>
        <row r="1280">
          <cell r="A1280">
            <v>149486</v>
          </cell>
          <cell r="B1280" t="str">
            <v>Стул барный Sheffilton SHT-ST29/S29  голубой Pan278/хром лак</v>
          </cell>
          <cell r="C1280">
            <v>2120</v>
          </cell>
          <cell r="E1280">
            <v>140</v>
          </cell>
          <cell r="F1280">
            <v>182</v>
          </cell>
        </row>
        <row r="1281">
          <cell r="A1281">
            <v>149487</v>
          </cell>
          <cell r="B1281" t="str">
            <v>Стул барный Sheffilton SHT-ST29/S29 СТ-340 оранжевый RAL2003/медный металлик</v>
          </cell>
          <cell r="C1281">
            <v>2003.33</v>
          </cell>
          <cell r="E1281">
            <v>132</v>
          </cell>
          <cell r="F1281">
            <v>172</v>
          </cell>
        </row>
        <row r="1282">
          <cell r="A1282">
            <v>149594</v>
          </cell>
          <cell r="B1282" t="str">
            <v>Стул барный Sheffilton SHT-ST29/S65  зеленый RAL6018/венге</v>
          </cell>
          <cell r="C1282">
            <v>4693.33</v>
          </cell>
          <cell r="E1282">
            <v>309</v>
          </cell>
          <cell r="F1282">
            <v>402</v>
          </cell>
        </row>
        <row r="1283">
          <cell r="A1283">
            <v>149595</v>
          </cell>
          <cell r="B1283" t="str">
            <v>Стул барный Sheffilton SHT-ST29/S65  черный/дуб брашированный коричневый</v>
          </cell>
          <cell r="C1283">
            <v>6060</v>
          </cell>
          <cell r="E1283">
            <v>399</v>
          </cell>
          <cell r="F1283">
            <v>519</v>
          </cell>
        </row>
        <row r="1284">
          <cell r="A1284">
            <v>149596</v>
          </cell>
          <cell r="B1284" t="str">
            <v>Стул барный Sheffilton SHT-ST29/S80  белый/прозрачный лак/черный муар</v>
          </cell>
          <cell r="C1284">
            <v>4480</v>
          </cell>
          <cell r="E1284">
            <v>295</v>
          </cell>
          <cell r="F1284">
            <v>384</v>
          </cell>
        </row>
        <row r="1285">
          <cell r="A1285">
            <v>149606</v>
          </cell>
          <cell r="B1285" t="str">
            <v>Стул барный Sheffilton SHT-ST29/S80  красный RAL3020/темный орех/черный муар</v>
          </cell>
          <cell r="C1285">
            <v>4546.67</v>
          </cell>
          <cell r="E1285">
            <v>300</v>
          </cell>
          <cell r="F1285">
            <v>390</v>
          </cell>
        </row>
        <row r="1286">
          <cell r="A1286">
            <v>168504</v>
          </cell>
          <cell r="B1286" t="str">
            <v>Стул барный Sheffilton SHT-ST29/S93  серый ral 7040/дуб брашированный корич/ч</v>
          </cell>
          <cell r="C1286">
            <v>5753.33</v>
          </cell>
          <cell r="E1286">
            <v>379</v>
          </cell>
          <cell r="F1286">
            <v>493</v>
          </cell>
        </row>
        <row r="1287">
          <cell r="A1287">
            <v>149485</v>
          </cell>
          <cell r="B1287" t="str">
            <v>Стул барный Sheffilton SHT-ST29/S94  оранжевый RAL2003/прозрачный лак/черный</v>
          </cell>
          <cell r="C1287">
            <v>4580</v>
          </cell>
          <cell r="E1287">
            <v>302</v>
          </cell>
          <cell r="F1287">
            <v>393</v>
          </cell>
        </row>
        <row r="1288">
          <cell r="A1288">
            <v>168503</v>
          </cell>
          <cell r="B1288" t="str">
            <v>Стул барный Sheffilton SHT-ST29/S94  серый ral 7040/прозрачный лак/черный</v>
          </cell>
          <cell r="C1288">
            <v>4580</v>
          </cell>
          <cell r="E1288">
            <v>302</v>
          </cell>
          <cell r="F1288">
            <v>393</v>
          </cell>
        </row>
        <row r="1289">
          <cell r="A1289">
            <v>168731</v>
          </cell>
          <cell r="B1289" t="str">
            <v>Стул барный Sheffilton SHT-ST29-С20/S29 СТ-284 серый туман/черный муар</v>
          </cell>
          <cell r="C1289">
            <v>2790</v>
          </cell>
          <cell r="E1289">
            <v>184</v>
          </cell>
          <cell r="F1289">
            <v>239</v>
          </cell>
        </row>
        <row r="1290">
          <cell r="A1290">
            <v>165600</v>
          </cell>
          <cell r="B1290" t="str">
            <v>Стул барный Sheffilton SHT-ST31-C2/S80 СТ-341 аквамарин/прозр.лак/черный муар</v>
          </cell>
          <cell r="C1290">
            <v>6286.67</v>
          </cell>
          <cell r="E1290">
            <v>414</v>
          </cell>
          <cell r="F1290">
            <v>538</v>
          </cell>
        </row>
        <row r="1291">
          <cell r="A1291">
            <v>174249</v>
          </cell>
          <cell r="B1291" t="str">
            <v>Стул барный Sheffilton SHT-ST31-C2/S94  аквамарин/прозрачный лак/черный</v>
          </cell>
          <cell r="C1291">
            <v>6386.67</v>
          </cell>
          <cell r="E1291">
            <v>421</v>
          </cell>
          <cell r="F1291">
            <v>547</v>
          </cell>
        </row>
        <row r="1292">
          <cell r="A1292">
            <v>152167</v>
          </cell>
          <cell r="B1292" t="str">
            <v>Стул барный Sheffilton SHT-ST31/S29  красный RAL3020/медный металлик</v>
          </cell>
          <cell r="C1292">
            <v>2326.67</v>
          </cell>
          <cell r="E1292">
            <v>153</v>
          </cell>
          <cell r="F1292">
            <v>199</v>
          </cell>
        </row>
        <row r="1293">
          <cell r="A1293">
            <v>152172</v>
          </cell>
          <cell r="B1293" t="str">
            <v>Стул барный Sheffilton SHT-ST31/S65  бежевый/прозрачный лак</v>
          </cell>
          <cell r="C1293">
            <v>4563.33</v>
          </cell>
          <cell r="E1293">
            <v>301</v>
          </cell>
          <cell r="F1293">
            <v>391</v>
          </cell>
        </row>
        <row r="1294">
          <cell r="A1294">
            <v>152173</v>
          </cell>
          <cell r="B1294" t="str">
            <v>Стул барный Sheffilton SHT-ST31/S80  белый/темный орех/черный муар</v>
          </cell>
          <cell r="C1294">
            <v>4870</v>
          </cell>
          <cell r="E1294">
            <v>321</v>
          </cell>
          <cell r="F1294">
            <v>417</v>
          </cell>
        </row>
        <row r="1295">
          <cell r="A1295">
            <v>169223</v>
          </cell>
          <cell r="B1295" t="str">
            <v>Стул барный Sheffilton SHT-ST31-С2/S66 СТ-320 кремовый/хром лак</v>
          </cell>
          <cell r="C1295">
            <v>4866.67</v>
          </cell>
          <cell r="E1295">
            <v>321</v>
          </cell>
          <cell r="F1295">
            <v>417</v>
          </cell>
        </row>
        <row r="1296">
          <cell r="A1296">
            <v>206789</v>
          </cell>
          <cell r="B1296" t="str">
            <v>Стул барный Sheffilton SHT-ST33-1/S128  альпийский бирюзовый/хром/белый муар</v>
          </cell>
          <cell r="C1296">
            <v>12566.67</v>
          </cell>
          <cell r="E1296">
            <v>828</v>
          </cell>
          <cell r="F1296">
            <v>1076</v>
          </cell>
        </row>
        <row r="1297">
          <cell r="A1297">
            <v>211087</v>
          </cell>
          <cell r="B1297" t="str">
            <v>Стул барный Sheffilton SHT-ST33-1/S131  альпийский бирюзовый/черный муар</v>
          </cell>
          <cell r="C1297">
            <v>5266.67</v>
          </cell>
          <cell r="E1297">
            <v>347</v>
          </cell>
          <cell r="F1297">
            <v>451</v>
          </cell>
        </row>
        <row r="1298">
          <cell r="A1298">
            <v>211198</v>
          </cell>
          <cell r="B1298" t="str">
            <v>Стул барный Sheffilton SHT-ST33-1/S131  альпийский бирюзовый/черный муар/золото</v>
          </cell>
          <cell r="C1298">
            <v>5293.33</v>
          </cell>
          <cell r="E1298">
            <v>349</v>
          </cell>
          <cell r="F1298">
            <v>454</v>
          </cell>
        </row>
        <row r="1299">
          <cell r="A1299">
            <v>206785</v>
          </cell>
          <cell r="B1299" t="str">
            <v>Стул барный Sheffilton SHT-ST33-1/S29  альпийский бирюзовый/черный муар</v>
          </cell>
          <cell r="C1299">
            <v>4863.33</v>
          </cell>
          <cell r="E1299">
            <v>320</v>
          </cell>
          <cell r="F1299">
            <v>416</v>
          </cell>
        </row>
        <row r="1300">
          <cell r="A1300">
            <v>206787</v>
          </cell>
          <cell r="B1300" t="str">
            <v>Стул барный Sheffilton SHT-ST33-1/S65  альпийский бирюзовый/прозрачный лак</v>
          </cell>
          <cell r="C1300">
            <v>7100</v>
          </cell>
          <cell r="E1300">
            <v>468</v>
          </cell>
          <cell r="F1300">
            <v>608</v>
          </cell>
        </row>
        <row r="1301">
          <cell r="A1301">
            <v>206786</v>
          </cell>
          <cell r="B1301" t="str">
            <v>Стул барный Sheffilton SHT-ST33-1/S65  альпийский бирюзовый/светлый орех</v>
          </cell>
          <cell r="C1301">
            <v>7186.67</v>
          </cell>
          <cell r="E1301">
            <v>473</v>
          </cell>
          <cell r="F1301">
            <v>615</v>
          </cell>
        </row>
        <row r="1302">
          <cell r="A1302">
            <v>206790</v>
          </cell>
          <cell r="B1302" t="str">
            <v>Стул барный Sheffilton SHT-ST33-1/S66  альпийский бирюзовый/хром лак</v>
          </cell>
          <cell r="C1302">
            <v>5893.33</v>
          </cell>
          <cell r="E1302">
            <v>388</v>
          </cell>
          <cell r="F1302">
            <v>504</v>
          </cell>
        </row>
        <row r="1303">
          <cell r="A1303">
            <v>206784</v>
          </cell>
          <cell r="B1303" t="str">
            <v>Стул барный Sheffilton SHT-ST33-1/S80  альпийский бирюзовый/темный орех/черный</v>
          </cell>
          <cell r="C1303">
            <v>7406.67</v>
          </cell>
          <cell r="E1303">
            <v>488</v>
          </cell>
          <cell r="F1303">
            <v>634</v>
          </cell>
        </row>
        <row r="1304">
          <cell r="A1304">
            <v>206792</v>
          </cell>
          <cell r="B1304" t="str">
            <v>Стул барный Sheffilton SHT-ST33-1/S92  альпийский бирюзовый/браш.коричневый/чер</v>
          </cell>
          <cell r="C1304">
            <v>8866.67</v>
          </cell>
          <cell r="E1304">
            <v>584</v>
          </cell>
          <cell r="F1304">
            <v>759</v>
          </cell>
        </row>
        <row r="1305">
          <cell r="A1305">
            <v>206782</v>
          </cell>
          <cell r="B1305" t="str">
            <v>Стул барный Sheffilton SHT-ST33-1/S94  альпийский бирюзовый/прозр.лак/черн.муар</v>
          </cell>
          <cell r="C1305">
            <v>7440</v>
          </cell>
          <cell r="E1305">
            <v>490</v>
          </cell>
          <cell r="F1305">
            <v>637</v>
          </cell>
        </row>
        <row r="1306">
          <cell r="A1306">
            <v>206392</v>
          </cell>
          <cell r="B1306" t="str">
            <v>Стул барный Sheffilton SHT-ST33/S128  синий лед/хро/белый муар</v>
          </cell>
          <cell r="C1306">
            <v>12053.33</v>
          </cell>
          <cell r="E1306">
            <v>794</v>
          </cell>
          <cell r="F1306">
            <v>1032</v>
          </cell>
        </row>
        <row r="1307">
          <cell r="A1307">
            <v>206746</v>
          </cell>
          <cell r="B1307" t="str">
            <v>Стул барный Sheffilton SHT-ST33/S128  сиреневая орхидея/хром/белый муар</v>
          </cell>
          <cell r="C1307">
            <v>11980</v>
          </cell>
          <cell r="E1307">
            <v>789</v>
          </cell>
          <cell r="F1307">
            <v>1026</v>
          </cell>
        </row>
        <row r="1308">
          <cell r="A1308">
            <v>211089</v>
          </cell>
          <cell r="B1308" t="str">
            <v>Стул барный Sheffilton SHT-ST33/S131  синий лед/черный муар</v>
          </cell>
          <cell r="C1308">
            <v>4753.33</v>
          </cell>
          <cell r="E1308">
            <v>313</v>
          </cell>
          <cell r="F1308">
            <v>407</v>
          </cell>
        </row>
        <row r="1309">
          <cell r="A1309">
            <v>211196</v>
          </cell>
          <cell r="B1309" t="str">
            <v>Стул барный Sheffilton SHT-ST33/S131  синий лед/черный муар/золото</v>
          </cell>
          <cell r="C1309">
            <v>4780</v>
          </cell>
          <cell r="E1309">
            <v>315</v>
          </cell>
          <cell r="F1309">
            <v>410</v>
          </cell>
        </row>
        <row r="1310">
          <cell r="A1310">
            <v>211197</v>
          </cell>
          <cell r="B1310" t="str">
            <v>Стул барный Sheffilton SHT-ST33/S131  сиреневая орхидея/черный муар/золото</v>
          </cell>
          <cell r="C1310">
            <v>4706.67</v>
          </cell>
          <cell r="E1310">
            <v>310</v>
          </cell>
          <cell r="F1310">
            <v>403</v>
          </cell>
        </row>
        <row r="1311">
          <cell r="A1311">
            <v>211088</v>
          </cell>
          <cell r="B1311" t="str">
            <v>Стул барный Sheffilton SHT-ST33/S131 СТ-520 сиреневая орхидея/черный муар</v>
          </cell>
          <cell r="C1311">
            <v>4680</v>
          </cell>
          <cell r="E1311">
            <v>308</v>
          </cell>
          <cell r="F1311">
            <v>400</v>
          </cell>
        </row>
        <row r="1312">
          <cell r="A1312">
            <v>206739</v>
          </cell>
          <cell r="B1312" t="str">
            <v>Стул барный Sheffilton SHT-ST33/S29  сиреневая орхидея/хром лак</v>
          </cell>
          <cell r="C1312">
            <v>4393.33</v>
          </cell>
          <cell r="E1312">
            <v>289</v>
          </cell>
          <cell r="F1312">
            <v>376</v>
          </cell>
        </row>
        <row r="1313">
          <cell r="A1313">
            <v>206740</v>
          </cell>
          <cell r="B1313" t="str">
            <v>Стул барный Sheffilton SHT-ST33/S29  сиреневая орхидея/черный муар</v>
          </cell>
          <cell r="C1313">
            <v>4276.67</v>
          </cell>
          <cell r="E1313">
            <v>282</v>
          </cell>
          <cell r="F1313">
            <v>367</v>
          </cell>
        </row>
        <row r="1314">
          <cell r="A1314">
            <v>206387</v>
          </cell>
          <cell r="B1314" t="str">
            <v>Стул барный Sheffilton SHT-ST33/S65  синий лед/прозрачный лак</v>
          </cell>
          <cell r="C1314">
            <v>6586.67</v>
          </cell>
          <cell r="E1314">
            <v>434</v>
          </cell>
          <cell r="F1314">
            <v>564</v>
          </cell>
        </row>
        <row r="1315">
          <cell r="A1315">
            <v>206388</v>
          </cell>
          <cell r="B1315" t="str">
            <v>Стул барный Sheffilton SHT-ST33/S65  синий лед/светлый орех</v>
          </cell>
          <cell r="C1315">
            <v>6673.33</v>
          </cell>
          <cell r="E1315">
            <v>440</v>
          </cell>
          <cell r="F1315">
            <v>572</v>
          </cell>
        </row>
        <row r="1316">
          <cell r="A1316">
            <v>206743</v>
          </cell>
          <cell r="B1316" t="str">
            <v>Стул барный Sheffilton SHT-ST33/S65  сиреневая орхидея/прозрачный лак</v>
          </cell>
          <cell r="C1316">
            <v>6513.33</v>
          </cell>
          <cell r="E1316">
            <v>429</v>
          </cell>
          <cell r="F1316">
            <v>558</v>
          </cell>
        </row>
        <row r="1317">
          <cell r="A1317">
            <v>206744</v>
          </cell>
          <cell r="B1317" t="str">
            <v>Стул барный Sheffilton SHT-ST33/S65  сиреневая орхидея/светлый орех</v>
          </cell>
          <cell r="C1317">
            <v>6600</v>
          </cell>
          <cell r="E1317">
            <v>435</v>
          </cell>
          <cell r="F1317">
            <v>566</v>
          </cell>
        </row>
        <row r="1318">
          <cell r="A1318">
            <v>206741</v>
          </cell>
          <cell r="B1318" t="str">
            <v>Стул барный Sheffilton SHT-ST33/S66  сиреневая орхидея/черный муар</v>
          </cell>
          <cell r="C1318">
            <v>5193.33</v>
          </cell>
          <cell r="E1318">
            <v>342</v>
          </cell>
          <cell r="F1318">
            <v>445</v>
          </cell>
        </row>
        <row r="1319">
          <cell r="A1319">
            <v>206385</v>
          </cell>
          <cell r="B1319" t="str">
            <v>Стул барный Sheffilton SHT-ST33/S66 СТ-491 синий лед/черный муар</v>
          </cell>
          <cell r="C1319">
            <v>5266.67</v>
          </cell>
          <cell r="E1319">
            <v>347</v>
          </cell>
          <cell r="F1319">
            <v>451</v>
          </cell>
        </row>
        <row r="1320">
          <cell r="A1320">
            <v>206390</v>
          </cell>
          <cell r="B1320" t="str">
            <v>Стул барный Sheffilton SHT-ST33/S80  синий лед/прозрачный лак/черный</v>
          </cell>
          <cell r="C1320">
            <v>6826.67</v>
          </cell>
          <cell r="E1320">
            <v>450</v>
          </cell>
          <cell r="F1320">
            <v>585</v>
          </cell>
        </row>
        <row r="1321">
          <cell r="A1321">
            <v>206747</v>
          </cell>
          <cell r="B1321" t="str">
            <v>Стул барный Sheffilton SHT-ST33/S80  сиреневая орхидея/темный орех/черный</v>
          </cell>
          <cell r="C1321">
            <v>6820</v>
          </cell>
          <cell r="E1321">
            <v>449</v>
          </cell>
          <cell r="F1321">
            <v>584</v>
          </cell>
        </row>
        <row r="1322">
          <cell r="A1322">
            <v>206394</v>
          </cell>
          <cell r="B1322" t="str">
            <v>Стул барный Sheffilton SHT-ST33/S93  синий лед/браш.коричневый/черный муар</v>
          </cell>
          <cell r="C1322">
            <v>8100</v>
          </cell>
          <cell r="E1322">
            <v>534</v>
          </cell>
          <cell r="F1322">
            <v>694</v>
          </cell>
        </row>
        <row r="1323">
          <cell r="A1323">
            <v>211096</v>
          </cell>
          <cell r="B1323" t="str">
            <v>Стул барный Sheffilton SHT-ST34-1/S131  голубая пастель/черный муар</v>
          </cell>
          <cell r="C1323">
            <v>4360</v>
          </cell>
          <cell r="E1323">
            <v>287</v>
          </cell>
          <cell r="F1323">
            <v>373</v>
          </cell>
        </row>
        <row r="1324">
          <cell r="A1324">
            <v>211190</v>
          </cell>
          <cell r="B1324" t="str">
            <v>Стул барный Sheffilton SHT-ST34-1/S131  латте/черный муар/золото</v>
          </cell>
          <cell r="C1324">
            <v>4346.67</v>
          </cell>
          <cell r="E1324">
            <v>286</v>
          </cell>
          <cell r="F1324">
            <v>372</v>
          </cell>
        </row>
        <row r="1325">
          <cell r="A1325">
            <v>211095</v>
          </cell>
          <cell r="B1325" t="str">
            <v>Стул барный Sheffilton SHT-ST34-1/S131 СТ-519 латте/черный муар</v>
          </cell>
          <cell r="C1325">
            <v>4320</v>
          </cell>
          <cell r="E1325">
            <v>285</v>
          </cell>
          <cell r="F1325">
            <v>371</v>
          </cell>
        </row>
        <row r="1326">
          <cell r="A1326">
            <v>211094</v>
          </cell>
          <cell r="B1326" t="str">
            <v>Стул барный Sheffilton SHT-ST34/S131  платиново-серый/черный муар</v>
          </cell>
          <cell r="C1326">
            <v>4060</v>
          </cell>
          <cell r="E1326">
            <v>267</v>
          </cell>
          <cell r="F1326">
            <v>347</v>
          </cell>
        </row>
        <row r="1327">
          <cell r="A1327">
            <v>211191</v>
          </cell>
          <cell r="B1327" t="str">
            <v>Стул барный Sheffilton SHT-ST34/S131  платиново-серый/черный муар/золото</v>
          </cell>
          <cell r="C1327">
            <v>4086.67</v>
          </cell>
          <cell r="E1327">
            <v>269</v>
          </cell>
          <cell r="F1327">
            <v>350</v>
          </cell>
        </row>
        <row r="1328">
          <cell r="A1328">
            <v>211097</v>
          </cell>
          <cell r="B1328" t="str">
            <v>Стул барный Sheffilton SHT-ST34/S131  синий мираж/черный муар</v>
          </cell>
          <cell r="C1328">
            <v>4440</v>
          </cell>
          <cell r="E1328">
            <v>293</v>
          </cell>
          <cell r="F1328">
            <v>381</v>
          </cell>
        </row>
        <row r="1329">
          <cell r="A1329">
            <v>194436</v>
          </cell>
          <cell r="B1329" t="str">
            <v>Стул барный  Sheffilton SHT-ST34/S29  синий мираж/черный муар</v>
          </cell>
          <cell r="C1329">
            <v>4036.67</v>
          </cell>
          <cell r="E1329">
            <v>266</v>
          </cell>
          <cell r="F1329">
            <v>346</v>
          </cell>
        </row>
        <row r="1330">
          <cell r="A1330">
            <v>173211</v>
          </cell>
          <cell r="B1330" t="str">
            <v>Стул барный Sheffilton SHT-ST34/S29 СТ-291 платиново-серый/черный муар</v>
          </cell>
          <cell r="C1330">
            <v>3656.67</v>
          </cell>
          <cell r="E1330">
            <v>241</v>
          </cell>
          <cell r="F1330">
            <v>313</v>
          </cell>
        </row>
        <row r="1331">
          <cell r="A1331">
            <v>194140</v>
          </cell>
          <cell r="B1331" t="str">
            <v>Стул барный  Sheffilton SHT-ST34/S65  синий мираж/венге</v>
          </cell>
          <cell r="C1331">
            <v>6726.67</v>
          </cell>
          <cell r="E1331">
            <v>443</v>
          </cell>
          <cell r="F1331">
            <v>576</v>
          </cell>
        </row>
        <row r="1332">
          <cell r="A1332">
            <v>194430</v>
          </cell>
          <cell r="B1332" t="str">
            <v>Стул барный  Sheffilton SHT-ST34/S65  синий мираж/светлый орех</v>
          </cell>
          <cell r="C1332">
            <v>6360</v>
          </cell>
          <cell r="E1332">
            <v>419</v>
          </cell>
          <cell r="F1332">
            <v>545</v>
          </cell>
        </row>
        <row r="1333">
          <cell r="A1333">
            <v>194434</v>
          </cell>
          <cell r="B1333" t="str">
            <v>Стул барный  Sheffilton SHT-ST34/S66  синий мираж/черный муар</v>
          </cell>
          <cell r="C1333">
            <v>4953.33</v>
          </cell>
          <cell r="E1333">
            <v>326</v>
          </cell>
          <cell r="F1333">
            <v>424</v>
          </cell>
        </row>
        <row r="1334">
          <cell r="A1334">
            <v>194432</v>
          </cell>
          <cell r="B1334" t="str">
            <v>Стул барный  Sheffilton SHT-ST34/S80  синий мираж/прозрачный лак/черный</v>
          </cell>
          <cell r="C1334">
            <v>6513.33</v>
          </cell>
          <cell r="E1334">
            <v>429</v>
          </cell>
          <cell r="F1334">
            <v>558</v>
          </cell>
        </row>
        <row r="1335">
          <cell r="A1335">
            <v>194431</v>
          </cell>
          <cell r="B1335" t="str">
            <v>Стул барный  Sheffilton SHT-ST34/S80  синий мираж/темный орех/черный</v>
          </cell>
          <cell r="C1335">
            <v>6580</v>
          </cell>
          <cell r="E1335">
            <v>433</v>
          </cell>
          <cell r="F1335">
            <v>563</v>
          </cell>
        </row>
        <row r="1336">
          <cell r="A1336">
            <v>194433</v>
          </cell>
          <cell r="B1336" t="str">
            <v>Стул барный  Sheffilton SHT-ST34/S93  синий мираж/браш.коричневый/черный муар</v>
          </cell>
          <cell r="C1336">
            <v>7786.67</v>
          </cell>
          <cell r="E1336">
            <v>513</v>
          </cell>
          <cell r="F1336">
            <v>667</v>
          </cell>
        </row>
        <row r="1337">
          <cell r="A1337">
            <v>209257</v>
          </cell>
          <cell r="B1337" t="str">
            <v>Стул барный Sheffilton SHT-ST35-1/S128  угольно-серый/хром/белый муар</v>
          </cell>
          <cell r="C1337">
            <v>11453.33</v>
          </cell>
          <cell r="E1337">
            <v>755</v>
          </cell>
          <cell r="F1337">
            <v>982</v>
          </cell>
        </row>
        <row r="1338">
          <cell r="A1338">
            <v>211098</v>
          </cell>
          <cell r="B1338" t="str">
            <v>Стул барный Sheffilton SHT-ST35-1/S131  угольно-серый/черный муар</v>
          </cell>
          <cell r="C1338">
            <v>4153.33</v>
          </cell>
          <cell r="E1338">
            <v>274</v>
          </cell>
          <cell r="F1338">
            <v>356</v>
          </cell>
        </row>
        <row r="1339">
          <cell r="A1339">
            <v>211189</v>
          </cell>
          <cell r="B1339" t="str">
            <v>Стул барный Sheffilton SHT-ST35-1/S131  угольно-серый/черный муар/золото</v>
          </cell>
          <cell r="C1339">
            <v>4180</v>
          </cell>
          <cell r="E1339">
            <v>275</v>
          </cell>
          <cell r="F1339">
            <v>358</v>
          </cell>
        </row>
        <row r="1340">
          <cell r="A1340">
            <v>209253</v>
          </cell>
          <cell r="B1340" t="str">
            <v>Стул барный Sheffilton SHT-ST35-1/S29  угольно-серый/медный металлик</v>
          </cell>
          <cell r="C1340">
            <v>3750</v>
          </cell>
          <cell r="E1340">
            <v>247</v>
          </cell>
          <cell r="F1340">
            <v>321</v>
          </cell>
        </row>
        <row r="1341">
          <cell r="A1341">
            <v>209252</v>
          </cell>
          <cell r="B1341" t="str">
            <v>Стул барный Sheffilton SHT-ST35-1/S29  угольно-серый/хром лак</v>
          </cell>
          <cell r="C1341">
            <v>3866.67</v>
          </cell>
          <cell r="E1341">
            <v>255</v>
          </cell>
          <cell r="F1341">
            <v>332</v>
          </cell>
        </row>
        <row r="1342">
          <cell r="A1342">
            <v>209255</v>
          </cell>
          <cell r="B1342" t="str">
            <v>Стул барный Sheffilton SHT-ST35-1/S65  угольно-серый/венге</v>
          </cell>
          <cell r="C1342">
            <v>6440</v>
          </cell>
          <cell r="E1342">
            <v>424</v>
          </cell>
          <cell r="F1342">
            <v>551</v>
          </cell>
        </row>
        <row r="1343">
          <cell r="A1343">
            <v>209259</v>
          </cell>
          <cell r="B1343" t="str">
            <v>Стул барный Sheffilton SHT-ST35-1/S80  угольно-серый/прозрачный лак/черный</v>
          </cell>
          <cell r="C1343">
            <v>6226.67</v>
          </cell>
          <cell r="E1343">
            <v>410</v>
          </cell>
          <cell r="F1343">
            <v>533</v>
          </cell>
        </row>
        <row r="1344">
          <cell r="A1344">
            <v>209260</v>
          </cell>
          <cell r="B1344" t="str">
            <v>Стул барный Sheffilton SHT-ST35-1/S92  угольно-серый/брш.коричневый/черный муар</v>
          </cell>
          <cell r="C1344">
            <v>7753.33</v>
          </cell>
          <cell r="E1344">
            <v>511</v>
          </cell>
          <cell r="F1344">
            <v>664</v>
          </cell>
        </row>
        <row r="1345">
          <cell r="A1345">
            <v>209261</v>
          </cell>
          <cell r="B1345" t="str">
            <v>Стул барный Sheffilton SHT-ST35-1/S93  угольно-серый/брш.коричневый/черный муар</v>
          </cell>
          <cell r="C1345">
            <v>7500</v>
          </cell>
          <cell r="E1345">
            <v>494</v>
          </cell>
          <cell r="F1345">
            <v>642</v>
          </cell>
        </row>
        <row r="1346">
          <cell r="A1346">
            <v>209262</v>
          </cell>
          <cell r="B1346" t="str">
            <v>Стул барный Sheffilton SHT-ST35-1/S94  имперский желтый/прозр. лак/черный муар</v>
          </cell>
          <cell r="C1346">
            <v>6326.67</v>
          </cell>
          <cell r="E1346">
            <v>417</v>
          </cell>
          <cell r="F1346">
            <v>542</v>
          </cell>
        </row>
        <row r="1347">
          <cell r="A1347">
            <v>211184</v>
          </cell>
          <cell r="B1347" t="str">
            <v>Стул барный Sheffilton SHT-ST35-2/S131  лиственно-зеленый/черный муар/золото</v>
          </cell>
          <cell r="C1347">
            <v>4260</v>
          </cell>
          <cell r="E1347">
            <v>281</v>
          </cell>
          <cell r="F1347">
            <v>365</v>
          </cell>
        </row>
        <row r="1348">
          <cell r="A1348">
            <v>211102</v>
          </cell>
          <cell r="B1348" t="str">
            <v>Стул барный Sheffilton SHT-ST35-2/S131 СТ-517 лиственно-зеленый/черный муар</v>
          </cell>
          <cell r="C1348">
            <v>4233.33</v>
          </cell>
          <cell r="E1348">
            <v>279</v>
          </cell>
          <cell r="F1348">
            <v>363</v>
          </cell>
        </row>
        <row r="1349">
          <cell r="A1349">
            <v>181043</v>
          </cell>
          <cell r="B1349" t="str">
            <v>Стул барный Sheffilton SHT-ST35-2/S93 СТ-306 лиственно-зеленый/браш.коричневый/черный</v>
          </cell>
          <cell r="C1349">
            <v>7580</v>
          </cell>
          <cell r="E1349">
            <v>499</v>
          </cell>
          <cell r="F1349">
            <v>649</v>
          </cell>
        </row>
        <row r="1350">
          <cell r="A1350">
            <v>209716</v>
          </cell>
          <cell r="B1350" t="str">
            <v>Стул барный Sheffilton SHT-ST35/S128  горчичный/хром/белый муар</v>
          </cell>
          <cell r="C1350">
            <v>11240</v>
          </cell>
          <cell r="E1350">
            <v>740</v>
          </cell>
          <cell r="F1350">
            <v>962</v>
          </cell>
        </row>
        <row r="1351">
          <cell r="A1351">
            <v>209042</v>
          </cell>
          <cell r="B1351" t="str">
            <v>Стул барный Sheffilton SHT-ST35/S128  тихий океан/хром/белый муар</v>
          </cell>
          <cell r="C1351">
            <v>11200</v>
          </cell>
          <cell r="E1351">
            <v>738</v>
          </cell>
          <cell r="F1351">
            <v>959</v>
          </cell>
        </row>
        <row r="1352">
          <cell r="A1352">
            <v>211100</v>
          </cell>
          <cell r="B1352" t="str">
            <v>Стул барный Sheffilton SHT-ST35/S131  горчичный/черный муар</v>
          </cell>
          <cell r="C1352">
            <v>3940</v>
          </cell>
          <cell r="E1352">
            <v>260</v>
          </cell>
          <cell r="F1352">
            <v>338</v>
          </cell>
        </row>
        <row r="1353">
          <cell r="A1353">
            <v>211186</v>
          </cell>
          <cell r="B1353" t="str">
            <v>Стул барный Sheffilton SHT-ST35/S131  горчичный/черный муар/золото</v>
          </cell>
          <cell r="C1353">
            <v>3966.67</v>
          </cell>
          <cell r="E1353">
            <v>261</v>
          </cell>
          <cell r="F1353">
            <v>339</v>
          </cell>
        </row>
        <row r="1354">
          <cell r="A1354">
            <v>211188</v>
          </cell>
          <cell r="B1354" t="str">
            <v>Стул барный Sheffilton SHT-ST35/S131  кофейный ликер/черный муар/золото</v>
          </cell>
          <cell r="C1354">
            <v>3926.67</v>
          </cell>
          <cell r="E1354">
            <v>259</v>
          </cell>
          <cell r="F1354">
            <v>337</v>
          </cell>
        </row>
        <row r="1355">
          <cell r="A1355">
            <v>211101</v>
          </cell>
          <cell r="B1355" t="str">
            <v>Стул барный Sheffilton SHT-ST35/S131  розовый десерт/черный муар</v>
          </cell>
          <cell r="C1355">
            <v>3926.67</v>
          </cell>
          <cell r="E1355">
            <v>259</v>
          </cell>
          <cell r="F1355">
            <v>337</v>
          </cell>
        </row>
        <row r="1356">
          <cell r="A1356">
            <v>211185</v>
          </cell>
          <cell r="B1356" t="str">
            <v>Стул барный Sheffilton SHT-ST35/S131  розовый десерт/черный муар/золото</v>
          </cell>
          <cell r="C1356">
            <v>3953.33</v>
          </cell>
          <cell r="E1356">
            <v>260</v>
          </cell>
          <cell r="F1356">
            <v>338</v>
          </cell>
        </row>
        <row r="1357">
          <cell r="A1357">
            <v>211099</v>
          </cell>
          <cell r="B1357" t="str">
            <v>Стул барный Sheffilton SHT-ST35/S131  тихий океан/черный муар</v>
          </cell>
          <cell r="C1357">
            <v>3900</v>
          </cell>
          <cell r="E1357">
            <v>257</v>
          </cell>
          <cell r="F1357">
            <v>334</v>
          </cell>
        </row>
        <row r="1358">
          <cell r="A1358">
            <v>211187</v>
          </cell>
          <cell r="B1358" t="str">
            <v>Стул барный Sheffilton SHT-ST35/S131  тихий океан/черный муар/золото</v>
          </cell>
          <cell r="C1358">
            <v>3926.67</v>
          </cell>
          <cell r="E1358">
            <v>259</v>
          </cell>
          <cell r="F1358">
            <v>337</v>
          </cell>
        </row>
        <row r="1359">
          <cell r="A1359">
            <v>209711</v>
          </cell>
          <cell r="B1359" t="str">
            <v>Стул барный Sheffilton SHT-ST35/S29  горчичный/медный металлик</v>
          </cell>
          <cell r="C1359">
            <v>3536.67</v>
          </cell>
          <cell r="E1359">
            <v>233</v>
          </cell>
          <cell r="F1359">
            <v>303</v>
          </cell>
        </row>
        <row r="1360">
          <cell r="A1360">
            <v>209710</v>
          </cell>
          <cell r="B1360" t="str">
            <v>Стул барный Sheffilton SHT-ST35/S29 СТ-297 горчичный/черный муар</v>
          </cell>
          <cell r="C1360">
            <v>3536.67</v>
          </cell>
          <cell r="E1360">
            <v>233</v>
          </cell>
          <cell r="F1360">
            <v>303</v>
          </cell>
        </row>
        <row r="1361">
          <cell r="A1361">
            <v>149658</v>
          </cell>
          <cell r="B1361" t="str">
            <v>Стул барный Sheffilton SHT-ST35/S29 СТ-297 кофейный ликер/медный металлик</v>
          </cell>
          <cell r="C1361">
            <v>3496.67</v>
          </cell>
          <cell r="E1361">
            <v>230</v>
          </cell>
          <cell r="F1361">
            <v>299</v>
          </cell>
        </row>
        <row r="1362">
          <cell r="A1362">
            <v>209040</v>
          </cell>
          <cell r="B1362" t="str">
            <v>Стул барный Sheffilton SHT-ST35/S29 СТ-297 тихий океан/черный муар</v>
          </cell>
          <cell r="C1362">
            <v>3496.67</v>
          </cell>
          <cell r="E1362">
            <v>230</v>
          </cell>
          <cell r="F1362">
            <v>299</v>
          </cell>
        </row>
        <row r="1363">
          <cell r="A1363">
            <v>209713</v>
          </cell>
          <cell r="B1363" t="str">
            <v>Стул барный Sheffilton SHT-ST35/S65  горчичный/светлый орех</v>
          </cell>
          <cell r="C1363">
            <v>5860</v>
          </cell>
          <cell r="E1363">
            <v>386</v>
          </cell>
          <cell r="F1363">
            <v>502</v>
          </cell>
        </row>
        <row r="1364">
          <cell r="A1364">
            <v>179994</v>
          </cell>
          <cell r="B1364" t="str">
            <v>Стул барный Sheffilton SHT-ST35/S65  кофейный ликер/брашированный коричневый</v>
          </cell>
          <cell r="C1364">
            <v>7553.33</v>
          </cell>
          <cell r="E1364">
            <v>498</v>
          </cell>
          <cell r="F1364">
            <v>647</v>
          </cell>
        </row>
        <row r="1365">
          <cell r="A1365">
            <v>179972</v>
          </cell>
          <cell r="B1365" t="str">
            <v>Стул барный Sheffilton SHT-ST35/S65  розовый десерт/прозрачный лак</v>
          </cell>
          <cell r="C1365">
            <v>5760</v>
          </cell>
          <cell r="E1365">
            <v>379</v>
          </cell>
          <cell r="F1365">
            <v>493</v>
          </cell>
        </row>
        <row r="1366">
          <cell r="A1366">
            <v>209037</v>
          </cell>
          <cell r="B1366" t="str">
            <v>Стул барный Sheffilton SHT-ST35/S65  тихий океан/прозрачный лак</v>
          </cell>
          <cell r="C1366">
            <v>5733.33</v>
          </cell>
          <cell r="E1366">
            <v>378</v>
          </cell>
          <cell r="F1366">
            <v>491</v>
          </cell>
        </row>
        <row r="1367">
          <cell r="A1367">
            <v>209038</v>
          </cell>
          <cell r="B1367" t="str">
            <v>Стул барный Sheffilton SHT-ST35/S65  тихий океан/светлый орех</v>
          </cell>
          <cell r="C1367">
            <v>5820</v>
          </cell>
          <cell r="E1367">
            <v>383</v>
          </cell>
          <cell r="F1367">
            <v>498</v>
          </cell>
        </row>
        <row r="1368">
          <cell r="A1368">
            <v>180452</v>
          </cell>
          <cell r="B1368" t="str">
            <v>Стул барный Sheffilton SHT-ST35/S65 СТ-384 ягодное варенье/венге</v>
          </cell>
          <cell r="C1368">
            <v>6180</v>
          </cell>
          <cell r="E1368">
            <v>407</v>
          </cell>
          <cell r="F1368">
            <v>529</v>
          </cell>
        </row>
        <row r="1369">
          <cell r="A1369">
            <v>209712</v>
          </cell>
          <cell r="B1369" t="str">
            <v>Стул барный Sheffilton SHT-ST35/S66  горчичный/черный муар</v>
          </cell>
          <cell r="C1369">
            <v>4453.33</v>
          </cell>
          <cell r="E1369">
            <v>293</v>
          </cell>
          <cell r="F1369">
            <v>381</v>
          </cell>
        </row>
        <row r="1370">
          <cell r="A1370">
            <v>173290</v>
          </cell>
          <cell r="B1370" t="str">
            <v>Стул барный Sheffilton SHT-ST35/S66 СТ-301 розовый десерт/хром лак</v>
          </cell>
          <cell r="C1370">
            <v>4553.33</v>
          </cell>
          <cell r="E1370">
            <v>300</v>
          </cell>
          <cell r="F1370">
            <v>390</v>
          </cell>
        </row>
        <row r="1371">
          <cell r="A1371">
            <v>173242</v>
          </cell>
          <cell r="B1371" t="str">
            <v>Стул барный Sheffilton SHT-ST35/S66 СТ-301 ягодное варенье/черный муар</v>
          </cell>
          <cell r="C1371">
            <v>4406.67</v>
          </cell>
          <cell r="E1371">
            <v>290</v>
          </cell>
          <cell r="F1371">
            <v>377</v>
          </cell>
        </row>
        <row r="1372">
          <cell r="A1372">
            <v>209718</v>
          </cell>
          <cell r="B1372" t="str">
            <v>Стул барный Sheffilton SHT-ST35/S80  горчичный/темный орех/черный</v>
          </cell>
          <cell r="C1372">
            <v>6080</v>
          </cell>
          <cell r="E1372">
            <v>401</v>
          </cell>
          <cell r="F1372">
            <v>521</v>
          </cell>
        </row>
        <row r="1373">
          <cell r="A1373">
            <v>209043</v>
          </cell>
          <cell r="B1373" t="str">
            <v>Стул барный Sheffilton SHT-ST35/S80  тихий океан/темный орех/черный</v>
          </cell>
          <cell r="C1373">
            <v>6040</v>
          </cell>
          <cell r="E1373">
            <v>398</v>
          </cell>
          <cell r="F1373">
            <v>517</v>
          </cell>
        </row>
        <row r="1374">
          <cell r="A1374">
            <v>180451</v>
          </cell>
          <cell r="B1374" t="str">
            <v>Стул барный Sheffilton SHT-ST35/S80  ягодное варенье/прозрачный лак/черный</v>
          </cell>
          <cell r="C1374">
            <v>5966.67</v>
          </cell>
          <cell r="E1374">
            <v>393</v>
          </cell>
          <cell r="F1374">
            <v>511</v>
          </cell>
        </row>
        <row r="1375">
          <cell r="A1375">
            <v>149739</v>
          </cell>
          <cell r="B1375" t="str">
            <v>Стул барный Sheffilton SHT-ST35/S80 СТ-299 кофейный ликер/темный орех/черный</v>
          </cell>
          <cell r="C1375">
            <v>6040</v>
          </cell>
          <cell r="E1375">
            <v>398</v>
          </cell>
          <cell r="F1375">
            <v>517</v>
          </cell>
        </row>
        <row r="1376">
          <cell r="A1376">
            <v>149741</v>
          </cell>
          <cell r="B1376" t="str">
            <v>Стул барный Sheffilton SHT-ST35/S81  кофейный ликер/брашированный коричневый</v>
          </cell>
          <cell r="C1376">
            <v>6153.33</v>
          </cell>
          <cell r="E1376">
            <v>405</v>
          </cell>
          <cell r="F1376">
            <v>527</v>
          </cell>
        </row>
        <row r="1377">
          <cell r="A1377">
            <v>209719</v>
          </cell>
          <cell r="B1377" t="str">
            <v>Стул барный Sheffilton SHT-ST35/S92  горчичный/браш.коричневый/черный муар</v>
          </cell>
          <cell r="C1377">
            <v>7540</v>
          </cell>
          <cell r="E1377">
            <v>497</v>
          </cell>
          <cell r="F1377">
            <v>646</v>
          </cell>
        </row>
        <row r="1378">
          <cell r="A1378">
            <v>209044</v>
          </cell>
          <cell r="B1378" t="str">
            <v>Стул барный Sheffilton SHT-ST35/S93  тихий океан/браш.коричневый/черный муар</v>
          </cell>
          <cell r="C1378">
            <v>7246.67</v>
          </cell>
          <cell r="E1378">
            <v>477</v>
          </cell>
          <cell r="F1378">
            <v>620</v>
          </cell>
        </row>
        <row r="1379">
          <cell r="A1379">
            <v>173301</v>
          </cell>
          <cell r="B1379" t="str">
            <v>Стул барный Sheffilton SHT-ST35/S93 СТ-418 кофейный ликер/браш.коричневый/черный</v>
          </cell>
          <cell r="C1379">
            <v>7246.67</v>
          </cell>
          <cell r="E1379">
            <v>477</v>
          </cell>
          <cell r="F1379">
            <v>620</v>
          </cell>
        </row>
        <row r="1380">
          <cell r="A1380">
            <v>209045</v>
          </cell>
          <cell r="B1380" t="str">
            <v>Стул барный Sheffilton SHT-ST35/S94  тихий океан/прозрачный лак/черный муар</v>
          </cell>
          <cell r="C1380">
            <v>6073.33</v>
          </cell>
          <cell r="E1380">
            <v>400</v>
          </cell>
          <cell r="F1380">
            <v>520</v>
          </cell>
        </row>
        <row r="1381">
          <cell r="A1381">
            <v>179974</v>
          </cell>
          <cell r="B1381" t="str">
            <v>Стул барный Sheffilton SHT-ST35/S94 СТ-324 розовый десерт/прозрачный лак/черн.муар</v>
          </cell>
          <cell r="C1381">
            <v>6100</v>
          </cell>
          <cell r="E1381">
            <v>402</v>
          </cell>
          <cell r="F1381">
            <v>523</v>
          </cell>
        </row>
        <row r="1382">
          <cell r="A1382">
            <v>211152</v>
          </cell>
          <cell r="B1382" t="str">
            <v>Стул барный Sheffilton SHT-ST36-1/S131  песчаная буря/черный муар</v>
          </cell>
          <cell r="C1382">
            <v>4633.33</v>
          </cell>
          <cell r="E1382">
            <v>305</v>
          </cell>
          <cell r="F1382">
            <v>397</v>
          </cell>
        </row>
        <row r="1383">
          <cell r="A1383">
            <v>211180</v>
          </cell>
          <cell r="B1383" t="str">
            <v>Стул барный Sheffilton SHT-ST36-1/S131  песчаная буря/черный муар/золото</v>
          </cell>
          <cell r="C1383">
            <v>4660</v>
          </cell>
          <cell r="E1383">
            <v>307</v>
          </cell>
          <cell r="F1383">
            <v>399</v>
          </cell>
        </row>
        <row r="1384">
          <cell r="A1384">
            <v>211153</v>
          </cell>
          <cell r="B1384" t="str">
            <v>Стул барный Sheffilton SHT-ST36-1/S131  тихий океан/черный муар</v>
          </cell>
          <cell r="C1384">
            <v>4600</v>
          </cell>
          <cell r="E1384">
            <v>303</v>
          </cell>
          <cell r="F1384">
            <v>394</v>
          </cell>
        </row>
        <row r="1385">
          <cell r="A1385">
            <v>211179</v>
          </cell>
          <cell r="B1385" t="str">
            <v>Стул барный Sheffilton SHT-ST36-1/S131  тихий океан/черный муар/золото</v>
          </cell>
          <cell r="C1385">
            <v>4626.67</v>
          </cell>
          <cell r="E1385">
            <v>305</v>
          </cell>
          <cell r="F1385">
            <v>397</v>
          </cell>
        </row>
        <row r="1386">
          <cell r="A1386">
            <v>196797</v>
          </cell>
          <cell r="B1386" t="str">
            <v>Стул барный Sheffilton SHT-ST36-1/S29  песчаная буря/черный муар/зол.платина</v>
          </cell>
          <cell r="C1386">
            <v>4240</v>
          </cell>
          <cell r="E1386">
            <v>279</v>
          </cell>
          <cell r="F1386">
            <v>363</v>
          </cell>
        </row>
        <row r="1387">
          <cell r="A1387">
            <v>188425</v>
          </cell>
          <cell r="B1387" t="str">
            <v>Стул барный Sheffilton SHT-ST36-1/S29 СТ-405 тихий океан/хром лак</v>
          </cell>
          <cell r="C1387">
            <v>4313.33</v>
          </cell>
          <cell r="E1387">
            <v>284</v>
          </cell>
          <cell r="F1387">
            <v>369</v>
          </cell>
        </row>
        <row r="1388">
          <cell r="A1388">
            <v>188505</v>
          </cell>
          <cell r="B1388" t="str">
            <v>Стул барный Sheffilton SHT-ST36-1/S65  тихий океан/прозрачный лак</v>
          </cell>
          <cell r="C1388">
            <v>6433.33</v>
          </cell>
          <cell r="E1388">
            <v>424</v>
          </cell>
          <cell r="F1388">
            <v>551</v>
          </cell>
        </row>
        <row r="1389">
          <cell r="A1389">
            <v>188424</v>
          </cell>
          <cell r="B1389" t="str">
            <v>Стул барный Sheffilton SHT-ST36-1/S66  тихий океан/черный муар</v>
          </cell>
          <cell r="C1389">
            <v>5113.33</v>
          </cell>
          <cell r="E1389">
            <v>337</v>
          </cell>
          <cell r="F1389">
            <v>438</v>
          </cell>
        </row>
        <row r="1390">
          <cell r="A1390">
            <v>188423</v>
          </cell>
          <cell r="B1390" t="str">
            <v>Стул барный Sheffilton SHT-ST36-1/S93  тихий океан/дуб коричн. браш./черн.муар</v>
          </cell>
          <cell r="C1390">
            <v>7946.67</v>
          </cell>
          <cell r="E1390">
            <v>524</v>
          </cell>
          <cell r="F1390">
            <v>681</v>
          </cell>
        </row>
        <row r="1391">
          <cell r="A1391">
            <v>196805</v>
          </cell>
          <cell r="B1391" t="str">
            <v>Стул барный Sheffilton SHT-ST36-1/S94  песчаная буря/прозрачный лак/черный муар</v>
          </cell>
          <cell r="C1391">
            <v>6806.67</v>
          </cell>
          <cell r="E1391">
            <v>448</v>
          </cell>
          <cell r="F1391">
            <v>582</v>
          </cell>
        </row>
        <row r="1392">
          <cell r="A1392">
            <v>205001</v>
          </cell>
          <cell r="B1392" t="str">
            <v>Стул барный Sheffilton SHT-ST36-3/S128  нежная мята/хром/белый муар</v>
          </cell>
          <cell r="C1392">
            <v>11900</v>
          </cell>
          <cell r="E1392">
            <v>784</v>
          </cell>
          <cell r="F1392">
            <v>1019</v>
          </cell>
        </row>
        <row r="1393">
          <cell r="A1393">
            <v>211183</v>
          </cell>
          <cell r="B1393" t="str">
            <v>Стул барный Sheffilton SHT-ST36-3/S131  нейтральный серый/черный муар/золото</v>
          </cell>
          <cell r="C1393">
            <v>4526.67</v>
          </cell>
          <cell r="E1393">
            <v>298</v>
          </cell>
          <cell r="F1393">
            <v>387</v>
          </cell>
        </row>
        <row r="1394">
          <cell r="A1394">
            <v>204998</v>
          </cell>
          <cell r="B1394" t="str">
            <v>Стул барный Sheffilton SHT-ST36-3/S29  нежная мята/хром лак</v>
          </cell>
          <cell r="C1394">
            <v>4313.33</v>
          </cell>
          <cell r="E1394">
            <v>284</v>
          </cell>
          <cell r="F1394">
            <v>369</v>
          </cell>
        </row>
        <row r="1395">
          <cell r="A1395">
            <v>188569</v>
          </cell>
          <cell r="B1395" t="str">
            <v>Стул барный Sheffilton SHT-ST36-3/S29 СТ-399 нейтральный серый/хром/лак</v>
          </cell>
          <cell r="C1395">
            <v>4213.33</v>
          </cell>
          <cell r="E1395">
            <v>278</v>
          </cell>
          <cell r="F1395">
            <v>361</v>
          </cell>
        </row>
        <row r="1396">
          <cell r="A1396">
            <v>205002</v>
          </cell>
          <cell r="B1396" t="str">
            <v>Стул барный Sheffilton SHT-ST36-3/S65  нежная мята/прозрачный лак</v>
          </cell>
          <cell r="C1396">
            <v>6433.33</v>
          </cell>
          <cell r="E1396">
            <v>424</v>
          </cell>
          <cell r="F1396">
            <v>551</v>
          </cell>
        </row>
        <row r="1397">
          <cell r="A1397">
            <v>188507</v>
          </cell>
          <cell r="B1397" t="str">
            <v>Стул барный Sheffilton SHT-ST36-3/S65  нейтральный серый/прозрачный лак</v>
          </cell>
          <cell r="C1397">
            <v>6333.33</v>
          </cell>
          <cell r="E1397">
            <v>417</v>
          </cell>
          <cell r="F1397">
            <v>542</v>
          </cell>
        </row>
        <row r="1398">
          <cell r="A1398">
            <v>188506</v>
          </cell>
          <cell r="B1398" t="str">
            <v>Стул барный Sheffilton SHT-ST36-3/S65  нейтральный серый/светлый орех</v>
          </cell>
          <cell r="C1398">
            <v>6420</v>
          </cell>
          <cell r="E1398">
            <v>423</v>
          </cell>
          <cell r="F1398">
            <v>550</v>
          </cell>
        </row>
        <row r="1399">
          <cell r="A1399">
            <v>204999</v>
          </cell>
          <cell r="B1399" t="str">
            <v>Стул барный Sheffilton SHT-ST36-3/S66  нежная мята/черный муар</v>
          </cell>
          <cell r="C1399">
            <v>5113.33</v>
          </cell>
          <cell r="E1399">
            <v>337</v>
          </cell>
          <cell r="F1399">
            <v>438</v>
          </cell>
        </row>
        <row r="1400">
          <cell r="A1400">
            <v>205004</v>
          </cell>
          <cell r="B1400" t="str">
            <v>Стул барный Sheffilton SHT-ST36-3/S80  нежная мята/прозрачный лак/черный</v>
          </cell>
          <cell r="C1400">
            <v>6673.33</v>
          </cell>
          <cell r="E1400">
            <v>440</v>
          </cell>
          <cell r="F1400">
            <v>572</v>
          </cell>
        </row>
        <row r="1401">
          <cell r="A1401">
            <v>188370</v>
          </cell>
          <cell r="B1401" t="str">
            <v>Стул барный Sheffilton SHT-ST36-3/S80  нейтральный серый/темный орех/черный</v>
          </cell>
          <cell r="C1401">
            <v>6640</v>
          </cell>
          <cell r="E1401">
            <v>437</v>
          </cell>
          <cell r="F1401">
            <v>568</v>
          </cell>
        </row>
        <row r="1402">
          <cell r="A1402">
            <v>205006</v>
          </cell>
          <cell r="B1402" t="str">
            <v>Стул барный Sheffilton SHT-ST36-3/S93  нежная мята/браш.коричневый/черный муар</v>
          </cell>
          <cell r="C1402">
            <v>7946.67</v>
          </cell>
          <cell r="E1402">
            <v>524</v>
          </cell>
          <cell r="F1402">
            <v>681</v>
          </cell>
        </row>
        <row r="1403">
          <cell r="A1403">
            <v>205294</v>
          </cell>
          <cell r="B1403" t="str">
            <v>Стул барный Sheffilton SHT-ST36-4/S128  сумеречная орхидея/хром/белый муар</v>
          </cell>
          <cell r="C1403">
            <v>11926.67</v>
          </cell>
          <cell r="E1403">
            <v>786</v>
          </cell>
          <cell r="F1403">
            <v>1022</v>
          </cell>
        </row>
        <row r="1404">
          <cell r="A1404">
            <v>211151</v>
          </cell>
          <cell r="B1404" t="str">
            <v>Стул барный Sheffilton SHT-ST36-4/S131  сумеречная орхидея/черный муар</v>
          </cell>
          <cell r="C1404">
            <v>4626.67</v>
          </cell>
          <cell r="E1404">
            <v>305</v>
          </cell>
          <cell r="F1404">
            <v>397</v>
          </cell>
        </row>
        <row r="1405">
          <cell r="A1405">
            <v>205275</v>
          </cell>
          <cell r="B1405" t="str">
            <v>Стул барный Sheffilton SHT-ST36-4/S29  сумеречная орхидея/медный металлик</v>
          </cell>
          <cell r="C1405">
            <v>4223.33</v>
          </cell>
          <cell r="E1405">
            <v>278</v>
          </cell>
          <cell r="F1405">
            <v>361</v>
          </cell>
        </row>
        <row r="1406">
          <cell r="A1406">
            <v>205283</v>
          </cell>
          <cell r="B1406" t="str">
            <v>Стул барный Sheffilton SHT-ST36-4/S65  сумеречная орхидея/венге</v>
          </cell>
          <cell r="C1406">
            <v>6913.33</v>
          </cell>
          <cell r="E1406">
            <v>455</v>
          </cell>
          <cell r="F1406">
            <v>592</v>
          </cell>
        </row>
        <row r="1407">
          <cell r="A1407">
            <v>205280</v>
          </cell>
          <cell r="B1407" t="str">
            <v>Стул барный Sheffilton SHT-ST36-4/S65  сумеречная орхидея/прозрачный лак</v>
          </cell>
          <cell r="C1407">
            <v>6460</v>
          </cell>
          <cell r="E1407">
            <v>426</v>
          </cell>
          <cell r="F1407">
            <v>554</v>
          </cell>
        </row>
        <row r="1408">
          <cell r="A1408">
            <v>205277</v>
          </cell>
          <cell r="B1408" t="str">
            <v>Стул барный Sheffilton SHT-ST36-4/S66  сумеречная орхидея/черный муар</v>
          </cell>
          <cell r="C1408">
            <v>5140</v>
          </cell>
          <cell r="E1408">
            <v>339</v>
          </cell>
          <cell r="F1408">
            <v>441</v>
          </cell>
        </row>
        <row r="1409">
          <cell r="A1409">
            <v>205286</v>
          </cell>
          <cell r="B1409" t="str">
            <v>Стул барный Sheffilton SHT-ST36-4/S80  сумеречная орхидея/прозрачный лак/черный</v>
          </cell>
          <cell r="C1409">
            <v>6700</v>
          </cell>
          <cell r="E1409">
            <v>441</v>
          </cell>
          <cell r="F1409">
            <v>573</v>
          </cell>
        </row>
        <row r="1410">
          <cell r="A1410">
            <v>205301</v>
          </cell>
          <cell r="B1410" t="str">
            <v>Стул барный Sheffilton SHT-ST36-4/S92  сумеречная орхидея/браш.корич./черн.муар</v>
          </cell>
          <cell r="C1410">
            <v>8226.67</v>
          </cell>
          <cell r="E1410">
            <v>542</v>
          </cell>
          <cell r="F1410">
            <v>705</v>
          </cell>
        </row>
        <row r="1411">
          <cell r="A1411">
            <v>205304</v>
          </cell>
          <cell r="B1411" t="str">
            <v>Стул барный Sheffilton SHT-ST36-4/S93  сумеречная орхидея/браш.корич./черн.муар</v>
          </cell>
          <cell r="C1411">
            <v>7973.33</v>
          </cell>
          <cell r="E1411">
            <v>525</v>
          </cell>
          <cell r="F1411">
            <v>683</v>
          </cell>
        </row>
        <row r="1412">
          <cell r="A1412">
            <v>205306</v>
          </cell>
          <cell r="B1412" t="str">
            <v>Стул барный Sheffilton SHT-ST36-4/S94  сумеречная орхидея/прозр.лак/черн.муар</v>
          </cell>
          <cell r="C1412">
            <v>6800</v>
          </cell>
          <cell r="E1412">
            <v>448</v>
          </cell>
          <cell r="F1412">
            <v>582</v>
          </cell>
        </row>
        <row r="1413">
          <cell r="A1413">
            <v>209523</v>
          </cell>
          <cell r="B1413" t="str">
            <v>Стул барный Sheffilton SHT-ST36/S128  ванильный крем/хром/белый муар</v>
          </cell>
          <cell r="C1413">
            <v>11833.33</v>
          </cell>
          <cell r="E1413">
            <v>780</v>
          </cell>
          <cell r="F1413">
            <v>1014</v>
          </cell>
        </row>
        <row r="1414">
          <cell r="A1414">
            <v>209640</v>
          </cell>
          <cell r="B1414" t="str">
            <v>Стул барный Sheffilton SHT-ST36/S128  ночное затмение/хром/белый муар</v>
          </cell>
          <cell r="C1414">
            <v>11833.33</v>
          </cell>
          <cell r="E1414">
            <v>780</v>
          </cell>
          <cell r="F1414">
            <v>1014</v>
          </cell>
        </row>
        <row r="1415">
          <cell r="A1415">
            <v>211149</v>
          </cell>
          <cell r="B1415" t="str">
            <v>Стул барный Sheffilton SHT-ST36/S131  ванильный крем/черный муар</v>
          </cell>
          <cell r="C1415">
            <v>4533.33</v>
          </cell>
          <cell r="E1415">
            <v>299</v>
          </cell>
          <cell r="F1415">
            <v>389</v>
          </cell>
        </row>
        <row r="1416">
          <cell r="A1416">
            <v>211181</v>
          </cell>
          <cell r="B1416" t="str">
            <v>Стул барный Sheffilton SHT-ST36/S131  ванильный крем/черный муар/золото</v>
          </cell>
          <cell r="C1416">
            <v>4560</v>
          </cell>
          <cell r="E1416">
            <v>300</v>
          </cell>
          <cell r="F1416">
            <v>390</v>
          </cell>
        </row>
        <row r="1417">
          <cell r="A1417">
            <v>211150</v>
          </cell>
          <cell r="B1417" t="str">
            <v>Стул барный Sheffilton SHT-ST36/S131  ночное затмение/черный муар</v>
          </cell>
          <cell r="C1417">
            <v>4533.33</v>
          </cell>
          <cell r="E1417">
            <v>299</v>
          </cell>
          <cell r="F1417">
            <v>389</v>
          </cell>
        </row>
        <row r="1418">
          <cell r="A1418">
            <v>211182</v>
          </cell>
          <cell r="B1418" t="str">
            <v>Стул барный Sheffilton SHT-ST36/S131  ночное затмение/черный муар/золото</v>
          </cell>
          <cell r="C1418">
            <v>4560</v>
          </cell>
          <cell r="E1418">
            <v>300</v>
          </cell>
          <cell r="F1418">
            <v>390</v>
          </cell>
        </row>
        <row r="1419">
          <cell r="A1419">
            <v>209517</v>
          </cell>
          <cell r="B1419" t="str">
            <v>Стул барный Sheffilton SHT-ST36/S29  ванильный крем/медный металлик</v>
          </cell>
          <cell r="C1419">
            <v>4130</v>
          </cell>
          <cell r="E1419">
            <v>272</v>
          </cell>
          <cell r="F1419">
            <v>354</v>
          </cell>
        </row>
        <row r="1420">
          <cell r="A1420">
            <v>209636</v>
          </cell>
          <cell r="B1420" t="str">
            <v>Стул барный Sheffilton SHT-ST36/S29  ночное затмение/медный металлик</v>
          </cell>
          <cell r="C1420">
            <v>4130</v>
          </cell>
          <cell r="E1420">
            <v>272</v>
          </cell>
          <cell r="F1420">
            <v>354</v>
          </cell>
        </row>
        <row r="1421">
          <cell r="A1421">
            <v>209637</v>
          </cell>
          <cell r="B1421" t="str">
            <v>Стул барный Sheffilton SHT-ST36/S29  ночное затмение/черный муар</v>
          </cell>
          <cell r="C1421">
            <v>4130</v>
          </cell>
          <cell r="E1421">
            <v>272</v>
          </cell>
          <cell r="F1421">
            <v>354</v>
          </cell>
        </row>
        <row r="1422">
          <cell r="A1422">
            <v>209519</v>
          </cell>
          <cell r="B1422" t="str">
            <v>Стул барный Sheffilton SHT-ST36/S65  ванильный лак/прозрачный лак</v>
          </cell>
          <cell r="C1422">
            <v>6366.67</v>
          </cell>
          <cell r="E1422">
            <v>419</v>
          </cell>
          <cell r="F1422">
            <v>545</v>
          </cell>
        </row>
        <row r="1423">
          <cell r="A1423">
            <v>209638</v>
          </cell>
          <cell r="B1423" t="str">
            <v>Стул барный Sheffilton SHT-ST36/S65  ночное затмение/венге</v>
          </cell>
          <cell r="C1423">
            <v>6820</v>
          </cell>
          <cell r="E1423">
            <v>449</v>
          </cell>
          <cell r="F1423">
            <v>584</v>
          </cell>
        </row>
        <row r="1424">
          <cell r="A1424">
            <v>209518</v>
          </cell>
          <cell r="B1424" t="str">
            <v>Стул барный Sheffilton SHT-ST36/S66  ванильный крем/хром лак</v>
          </cell>
          <cell r="C1424">
            <v>5160</v>
          </cell>
          <cell r="E1424">
            <v>340</v>
          </cell>
          <cell r="F1424">
            <v>442</v>
          </cell>
        </row>
        <row r="1425">
          <cell r="A1425">
            <v>209521</v>
          </cell>
          <cell r="B1425" t="str">
            <v>Стул барный Sheffilton SHT-ST36/S80  ванильный крем/темный орех/черный</v>
          </cell>
          <cell r="C1425">
            <v>6673.33</v>
          </cell>
          <cell r="E1425">
            <v>440</v>
          </cell>
          <cell r="F1425">
            <v>572</v>
          </cell>
        </row>
        <row r="1426">
          <cell r="A1426">
            <v>209642</v>
          </cell>
          <cell r="B1426" t="str">
            <v>Стул барный Sheffilton SHT-ST36/S80  ночное затмение/прозрачный лак/черный</v>
          </cell>
          <cell r="C1426">
            <v>6606.67</v>
          </cell>
          <cell r="E1426">
            <v>435</v>
          </cell>
          <cell r="F1426">
            <v>566</v>
          </cell>
        </row>
        <row r="1427">
          <cell r="A1427">
            <v>209522</v>
          </cell>
          <cell r="B1427" t="str">
            <v>Стул барный Sheffilton SHT-ST36/S93  ванильный сахар/браш.коричневый/черный</v>
          </cell>
          <cell r="C1427">
            <v>7880</v>
          </cell>
          <cell r="E1427">
            <v>519</v>
          </cell>
          <cell r="F1427">
            <v>675</v>
          </cell>
        </row>
        <row r="1428">
          <cell r="A1428">
            <v>209641</v>
          </cell>
          <cell r="B1428" t="str">
            <v>Стул барный Sheffilton SHT-ST36/S93  ночное затмение/браш.коричневый/черный</v>
          </cell>
          <cell r="C1428">
            <v>7880</v>
          </cell>
          <cell r="E1428">
            <v>519</v>
          </cell>
          <cell r="F1428">
            <v>675</v>
          </cell>
        </row>
        <row r="1429">
          <cell r="A1429">
            <v>209524</v>
          </cell>
          <cell r="B1429" t="str">
            <v>Стул барный Sheffilton SHT-ST36/S94  ванильный крем/прозрачный лак/черн. муар</v>
          </cell>
          <cell r="C1429">
            <v>6706.67</v>
          </cell>
          <cell r="E1429">
            <v>442</v>
          </cell>
          <cell r="F1429">
            <v>575</v>
          </cell>
        </row>
        <row r="1430">
          <cell r="A1430">
            <v>212262</v>
          </cell>
          <cell r="B1430" t="str">
            <v>Стул барный Sheffilton SHT-ST37/S131  горчичный/черный муар/золото</v>
          </cell>
          <cell r="C1430">
            <v>4653.33</v>
          </cell>
          <cell r="E1430">
            <v>307</v>
          </cell>
          <cell r="F1430">
            <v>399</v>
          </cell>
        </row>
        <row r="1431">
          <cell r="A1431">
            <v>211155</v>
          </cell>
          <cell r="B1431" t="str">
            <v>Стул барный Sheffilton SHT-ST37/S131  рубиновое вино/черный муар</v>
          </cell>
          <cell r="C1431">
            <v>4540</v>
          </cell>
          <cell r="E1431">
            <v>299</v>
          </cell>
          <cell r="F1431">
            <v>389</v>
          </cell>
        </row>
        <row r="1432">
          <cell r="A1432">
            <v>211177</v>
          </cell>
          <cell r="B1432" t="str">
            <v>Стул барный Sheffilton SHT-ST37/S131  рубиновое вино/черный муар/золото</v>
          </cell>
          <cell r="C1432">
            <v>4566.67</v>
          </cell>
          <cell r="E1432">
            <v>301</v>
          </cell>
          <cell r="F1432">
            <v>391</v>
          </cell>
        </row>
        <row r="1433">
          <cell r="A1433">
            <v>211154</v>
          </cell>
          <cell r="B1433" t="str">
            <v>Стул барный Sheffilton SHT-ST37/S131  серое облако/черный муар</v>
          </cell>
          <cell r="C1433">
            <v>4540</v>
          </cell>
          <cell r="E1433">
            <v>299</v>
          </cell>
          <cell r="F1433">
            <v>389</v>
          </cell>
        </row>
        <row r="1434">
          <cell r="A1434">
            <v>211178</v>
          </cell>
          <cell r="B1434" t="str">
            <v>Стул барный Sheffilton SHT-ST37/S131  серое облако/черный муар/золото</v>
          </cell>
          <cell r="C1434">
            <v>4566.67</v>
          </cell>
          <cell r="E1434">
            <v>301</v>
          </cell>
          <cell r="F1434">
            <v>391</v>
          </cell>
        </row>
        <row r="1435">
          <cell r="A1435">
            <v>212272</v>
          </cell>
          <cell r="B1435" t="str">
            <v>Стул барный Sheffilton SHT-ST37/S29  горчичный/медный металлик</v>
          </cell>
          <cell r="C1435">
            <v>4223.33</v>
          </cell>
          <cell r="E1435">
            <v>278</v>
          </cell>
          <cell r="F1435">
            <v>361</v>
          </cell>
        </row>
        <row r="1436">
          <cell r="A1436">
            <v>212271</v>
          </cell>
          <cell r="B1436" t="str">
            <v>Стул барный Sheffilton SHT-ST37/S66  горчичный/хром лак</v>
          </cell>
          <cell r="C1436">
            <v>5253.33</v>
          </cell>
          <cell r="E1436">
            <v>346</v>
          </cell>
          <cell r="F1436">
            <v>450</v>
          </cell>
        </row>
        <row r="1437">
          <cell r="A1437">
            <v>212265</v>
          </cell>
          <cell r="B1437" t="str">
            <v>Стул барный Sheffilton SHT-ST37/S80  горчичный/прозрачный лак/черный</v>
          </cell>
          <cell r="C1437">
            <v>6700</v>
          </cell>
          <cell r="E1437">
            <v>441</v>
          </cell>
          <cell r="F1437">
            <v>573</v>
          </cell>
        </row>
        <row r="1438">
          <cell r="A1438">
            <v>180775</v>
          </cell>
          <cell r="B1438" t="str">
            <v>Стул барный Sheffilton SHT-ST37/S80 СТ-344 рубиновое вино/прозрачный лак/черный</v>
          </cell>
          <cell r="C1438">
            <v>6613.33</v>
          </cell>
          <cell r="E1438">
            <v>436</v>
          </cell>
          <cell r="F1438">
            <v>567</v>
          </cell>
        </row>
        <row r="1439">
          <cell r="A1439">
            <v>212264</v>
          </cell>
          <cell r="B1439" t="str">
            <v>Стул барный Sheffilton SHT-ST37/S92  горчичный/корич.брашир./черный муар</v>
          </cell>
          <cell r="C1439">
            <v>8226.67</v>
          </cell>
          <cell r="E1439">
            <v>542</v>
          </cell>
          <cell r="F1439">
            <v>705</v>
          </cell>
        </row>
        <row r="1440">
          <cell r="A1440">
            <v>180807</v>
          </cell>
          <cell r="B1440" t="str">
            <v>Стул барный Sheffilton SHT-ST37/S93 СТ-358 серое облако/корич.брашир./черный муар</v>
          </cell>
          <cell r="C1440">
            <v>7886.67</v>
          </cell>
          <cell r="E1440">
            <v>520</v>
          </cell>
          <cell r="F1440">
            <v>676</v>
          </cell>
        </row>
        <row r="1441">
          <cell r="A1441">
            <v>212267</v>
          </cell>
          <cell r="B1441" t="str">
            <v>Стул барный Sheffilton SHT-ST37/S94  горчичный/прозр. лак/черный муар</v>
          </cell>
          <cell r="C1441">
            <v>6800</v>
          </cell>
          <cell r="E1441">
            <v>448</v>
          </cell>
          <cell r="F1441">
            <v>582</v>
          </cell>
        </row>
        <row r="1442">
          <cell r="A1442">
            <v>211093</v>
          </cell>
          <cell r="B1442" t="str">
            <v>Стул барный Sheffilton SHT-ST38-1/S131  лунный мрамор/черный муар</v>
          </cell>
          <cell r="C1442">
            <v>4940</v>
          </cell>
          <cell r="E1442">
            <v>325</v>
          </cell>
          <cell r="F1442">
            <v>423</v>
          </cell>
        </row>
        <row r="1443">
          <cell r="A1443">
            <v>211192</v>
          </cell>
          <cell r="B1443" t="str">
            <v>Стул барный Sheffilton SHT-ST38-1/S131  лунный мрамор/черный муар/золото</v>
          </cell>
          <cell r="C1443">
            <v>4966.67</v>
          </cell>
          <cell r="E1443">
            <v>327</v>
          </cell>
          <cell r="F1443">
            <v>425</v>
          </cell>
        </row>
        <row r="1444">
          <cell r="A1444">
            <v>191836</v>
          </cell>
          <cell r="B1444" t="str">
            <v>Стул барный Sheffilton SHT-ST38-1/S65  лунный мрамор/венге</v>
          </cell>
          <cell r="C1444">
            <v>7226.67</v>
          </cell>
          <cell r="E1444">
            <v>476</v>
          </cell>
          <cell r="F1444">
            <v>619</v>
          </cell>
        </row>
        <row r="1445">
          <cell r="A1445">
            <v>191837</v>
          </cell>
          <cell r="B1445" t="str">
            <v>Стул барный Sheffilton SHT-ST38-1/S65  лунный мрамор/прозрачный лак</v>
          </cell>
          <cell r="C1445">
            <v>6773.33</v>
          </cell>
          <cell r="E1445">
            <v>446</v>
          </cell>
          <cell r="F1445">
            <v>580</v>
          </cell>
        </row>
        <row r="1446">
          <cell r="A1446">
            <v>191844</v>
          </cell>
          <cell r="B1446" t="str">
            <v>Стул барный Sheffilton SHT-ST38-1/S66  лунный мрамор/черный муар</v>
          </cell>
          <cell r="C1446">
            <v>5453.33</v>
          </cell>
          <cell r="E1446">
            <v>359</v>
          </cell>
          <cell r="F1446">
            <v>467</v>
          </cell>
        </row>
        <row r="1447">
          <cell r="A1447">
            <v>199962</v>
          </cell>
          <cell r="B1447" t="str">
            <v>Стул барный Sheffilton SHT-ST38-1/S80  лунный мрамор/прозрачный лак/черный муар</v>
          </cell>
          <cell r="C1447">
            <v>7013.33</v>
          </cell>
          <cell r="E1447">
            <v>462</v>
          </cell>
          <cell r="F1447">
            <v>601</v>
          </cell>
        </row>
        <row r="1448">
          <cell r="A1448">
            <v>191852</v>
          </cell>
          <cell r="B1448" t="str">
            <v>Стул барный Sheffilton SHT-ST38-1/S80  лунный мрамор/темный орех/черный</v>
          </cell>
          <cell r="C1448">
            <v>7080</v>
          </cell>
          <cell r="E1448">
            <v>466</v>
          </cell>
          <cell r="F1448">
            <v>606</v>
          </cell>
        </row>
        <row r="1449">
          <cell r="A1449">
            <v>191847</v>
          </cell>
          <cell r="B1449" t="str">
            <v>Стул барный Sheffilton SHT-ST38-1/S93 СТ-434 лунный мрамор/браш. коричневый/чёрный</v>
          </cell>
          <cell r="C1449">
            <v>8286.67</v>
          </cell>
          <cell r="E1449">
            <v>546</v>
          </cell>
          <cell r="F1449">
            <v>710</v>
          </cell>
        </row>
        <row r="1450">
          <cell r="A1450">
            <v>206857</v>
          </cell>
          <cell r="B1450" t="str">
            <v>Стул барный Sheffilton SHT-ST38/S128  синий пепел/хро/белый муар</v>
          </cell>
          <cell r="C1450">
            <v>12213.33</v>
          </cell>
          <cell r="E1450">
            <v>805</v>
          </cell>
          <cell r="F1450">
            <v>1047</v>
          </cell>
        </row>
        <row r="1451">
          <cell r="A1451">
            <v>211602</v>
          </cell>
          <cell r="B1451" t="str">
            <v>Стул барный Sheffilton SHT-ST38/S131  альпийский бирюзовый/черный муар</v>
          </cell>
          <cell r="C1451">
            <v>4913.33</v>
          </cell>
          <cell r="E1451">
            <v>324</v>
          </cell>
          <cell r="F1451">
            <v>421</v>
          </cell>
        </row>
        <row r="1452">
          <cell r="A1452">
            <v>211090</v>
          </cell>
          <cell r="B1452" t="str">
            <v>Стул барный Sheffilton SHT-ST38/S131  зефирный/черный муар</v>
          </cell>
          <cell r="C1452">
            <v>5153.33</v>
          </cell>
          <cell r="E1452">
            <v>339</v>
          </cell>
          <cell r="F1452">
            <v>441</v>
          </cell>
        </row>
        <row r="1453">
          <cell r="A1453">
            <v>211195</v>
          </cell>
          <cell r="B1453" t="str">
            <v>Стул барный Sheffilton SHT-ST38/S131  зефирный/черный муар/золото</v>
          </cell>
          <cell r="C1453">
            <v>5180</v>
          </cell>
          <cell r="E1453">
            <v>341</v>
          </cell>
          <cell r="F1453">
            <v>443</v>
          </cell>
        </row>
        <row r="1454">
          <cell r="A1454">
            <v>211091</v>
          </cell>
          <cell r="B1454" t="str">
            <v>Стул барный Sheffilton SHT-ST38/S131  синий пепел/черный муар</v>
          </cell>
          <cell r="C1454">
            <v>4913.33</v>
          </cell>
          <cell r="E1454">
            <v>324</v>
          </cell>
          <cell r="F1454">
            <v>421</v>
          </cell>
        </row>
        <row r="1455">
          <cell r="A1455">
            <v>211194</v>
          </cell>
          <cell r="B1455" t="str">
            <v>Стул барный Sheffilton SHT-ST38/S131  синий пепел/черный муар/золото</v>
          </cell>
          <cell r="C1455">
            <v>4940</v>
          </cell>
          <cell r="E1455">
            <v>325</v>
          </cell>
          <cell r="F1455">
            <v>423</v>
          </cell>
        </row>
        <row r="1456">
          <cell r="A1456">
            <v>211092</v>
          </cell>
          <cell r="B1456" t="str">
            <v>Стул барный Sheffilton SHT-ST38/S131  угольно-серый/черный муар</v>
          </cell>
          <cell r="C1456">
            <v>4913.33</v>
          </cell>
          <cell r="E1456">
            <v>324</v>
          </cell>
          <cell r="F1456">
            <v>421</v>
          </cell>
        </row>
        <row r="1457">
          <cell r="A1457">
            <v>211193</v>
          </cell>
          <cell r="B1457" t="str">
            <v>Стул барный Sheffilton SHT-ST38/S131  угольно-серый/черный муар/золото</v>
          </cell>
          <cell r="C1457">
            <v>4940</v>
          </cell>
          <cell r="E1457">
            <v>325</v>
          </cell>
          <cell r="F1457">
            <v>423</v>
          </cell>
        </row>
        <row r="1458">
          <cell r="A1458">
            <v>211603</v>
          </cell>
          <cell r="B1458" t="str">
            <v>Стул барный Sheffilton SHT-ST38/S29  альпийский бирюзовый/медный металлик</v>
          </cell>
          <cell r="C1458">
            <v>4510</v>
          </cell>
          <cell r="E1458">
            <v>297</v>
          </cell>
          <cell r="F1458">
            <v>386</v>
          </cell>
        </row>
        <row r="1459">
          <cell r="A1459">
            <v>198371</v>
          </cell>
          <cell r="B1459" t="str">
            <v>Стул барный Sheffilton SHT-ST38/S29  зефирный/хром лак</v>
          </cell>
          <cell r="C1459">
            <v>4866.67</v>
          </cell>
          <cell r="E1459">
            <v>321</v>
          </cell>
          <cell r="F1459">
            <v>417</v>
          </cell>
        </row>
        <row r="1460">
          <cell r="A1460">
            <v>198372</v>
          </cell>
          <cell r="B1460" t="str">
            <v>Стул барный Sheffilton SHT-ST38/S29  зефирный/черный муар</v>
          </cell>
          <cell r="C1460">
            <v>4750</v>
          </cell>
          <cell r="E1460">
            <v>313</v>
          </cell>
          <cell r="F1460">
            <v>407</v>
          </cell>
        </row>
        <row r="1461">
          <cell r="A1461">
            <v>206852</v>
          </cell>
          <cell r="B1461" t="str">
            <v>Стул барный Sheffilton SHT-ST38/S29  синий пепел/медный металлик</v>
          </cell>
          <cell r="C1461">
            <v>4510</v>
          </cell>
          <cell r="E1461">
            <v>297</v>
          </cell>
          <cell r="F1461">
            <v>386</v>
          </cell>
        </row>
        <row r="1462">
          <cell r="A1462">
            <v>190065</v>
          </cell>
          <cell r="B1462" t="str">
            <v>Стул барный Sheffilton SHT-ST38/S29 СТ-447 угольно-серый/черный муар</v>
          </cell>
          <cell r="C1462">
            <v>4510</v>
          </cell>
          <cell r="E1462">
            <v>297</v>
          </cell>
          <cell r="F1462">
            <v>386</v>
          </cell>
        </row>
        <row r="1463">
          <cell r="A1463">
            <v>211604</v>
          </cell>
          <cell r="B1463" t="str">
            <v>Стул барный Sheffilton SHT-ST38/S65  альпийский бирюзовый/венге</v>
          </cell>
          <cell r="C1463">
            <v>7200</v>
          </cell>
          <cell r="E1463">
            <v>474</v>
          </cell>
          <cell r="F1463">
            <v>616</v>
          </cell>
        </row>
        <row r="1464">
          <cell r="A1464">
            <v>198374</v>
          </cell>
          <cell r="B1464" t="str">
            <v>Стул барный Sheffilton SHT-ST38/S65  зефирный/венге</v>
          </cell>
          <cell r="C1464">
            <v>7440</v>
          </cell>
          <cell r="E1464">
            <v>490</v>
          </cell>
          <cell r="F1464">
            <v>637</v>
          </cell>
        </row>
        <row r="1465">
          <cell r="A1465">
            <v>198373</v>
          </cell>
          <cell r="B1465" t="str">
            <v>Стул барный Sheffilton SHT-ST38/S65  зефирный/прозрачный лак</v>
          </cell>
          <cell r="C1465">
            <v>6986.67</v>
          </cell>
          <cell r="E1465">
            <v>460</v>
          </cell>
          <cell r="F1465">
            <v>598</v>
          </cell>
        </row>
        <row r="1466">
          <cell r="A1466">
            <v>206855</v>
          </cell>
          <cell r="B1466" t="str">
            <v>Стул барный Sheffilton SHT-ST38/S65  синий пепел/венге</v>
          </cell>
          <cell r="C1466">
            <v>7200</v>
          </cell>
          <cell r="E1466">
            <v>474</v>
          </cell>
          <cell r="F1466">
            <v>616</v>
          </cell>
        </row>
        <row r="1467">
          <cell r="A1467">
            <v>190066</v>
          </cell>
          <cell r="B1467" t="str">
            <v>Стул барный Sheffilton SHT-ST38/S65 СТ-452 угольно-серый/светлый орех</v>
          </cell>
          <cell r="C1467">
            <v>6833.33</v>
          </cell>
          <cell r="E1467">
            <v>450</v>
          </cell>
          <cell r="F1467">
            <v>585</v>
          </cell>
        </row>
        <row r="1468">
          <cell r="A1468">
            <v>206853</v>
          </cell>
          <cell r="B1468" t="str">
            <v>Стул барный Sheffilton SHT-ST38/S66  синий пепел/хром лак</v>
          </cell>
          <cell r="C1468">
            <v>5540</v>
          </cell>
          <cell r="E1468">
            <v>365</v>
          </cell>
          <cell r="F1468">
            <v>475</v>
          </cell>
        </row>
        <row r="1469">
          <cell r="A1469">
            <v>211607</v>
          </cell>
          <cell r="B1469" t="str">
            <v>Стул барный Sheffilton SHT-ST38/S80  альпийский бирюзовый/темный орех/черный</v>
          </cell>
          <cell r="C1469">
            <v>7053.33</v>
          </cell>
          <cell r="E1469">
            <v>465</v>
          </cell>
          <cell r="F1469">
            <v>605</v>
          </cell>
        </row>
        <row r="1470">
          <cell r="A1470">
            <v>198377</v>
          </cell>
          <cell r="B1470" t="str">
            <v>Стул барный Sheffilton SHT-ST38/S80  зефирный/прозрачный лак/черный</v>
          </cell>
          <cell r="C1470">
            <v>7226.67</v>
          </cell>
          <cell r="E1470">
            <v>476</v>
          </cell>
          <cell r="F1470">
            <v>619</v>
          </cell>
        </row>
        <row r="1471">
          <cell r="A1471">
            <v>206858</v>
          </cell>
          <cell r="B1471" t="str">
            <v>Стул барный Sheffilton SHT-ST38/S80  синий пепел/темный орех/черный</v>
          </cell>
          <cell r="C1471">
            <v>7053.33</v>
          </cell>
          <cell r="E1471">
            <v>465</v>
          </cell>
          <cell r="F1471">
            <v>605</v>
          </cell>
        </row>
        <row r="1472">
          <cell r="A1472">
            <v>190068</v>
          </cell>
          <cell r="B1472" t="str">
            <v>Стул барный Sheffilton SHT-ST38/S81  угольно-серый/брашированный коричневый</v>
          </cell>
          <cell r="C1472">
            <v>7166.67</v>
          </cell>
          <cell r="E1472">
            <v>472</v>
          </cell>
          <cell r="F1472">
            <v>614</v>
          </cell>
        </row>
        <row r="1473">
          <cell r="A1473">
            <v>198379</v>
          </cell>
          <cell r="B1473" t="str">
            <v>Стул барный Sheffilton SHT-ST38/S92  зефирный/браш.коричневый/черный муар</v>
          </cell>
          <cell r="C1473">
            <v>8753.33</v>
          </cell>
          <cell r="E1473">
            <v>577</v>
          </cell>
          <cell r="F1473">
            <v>750</v>
          </cell>
        </row>
        <row r="1474">
          <cell r="A1474">
            <v>206859</v>
          </cell>
          <cell r="B1474" t="str">
            <v>Стул барный Sheffilton SHT-ST38/S92  синий пепел/браш.коричневый/черный</v>
          </cell>
          <cell r="C1474">
            <v>8513.33</v>
          </cell>
          <cell r="E1474">
            <v>561</v>
          </cell>
          <cell r="F1474">
            <v>729</v>
          </cell>
        </row>
        <row r="1475">
          <cell r="A1475">
            <v>211609</v>
          </cell>
          <cell r="B1475" t="str">
            <v>Стул барный Sheffilton SHT-ST38/S93  альпийский бирюз./браш.корич./черн. муар</v>
          </cell>
          <cell r="C1475">
            <v>8260</v>
          </cell>
          <cell r="E1475">
            <v>544</v>
          </cell>
          <cell r="F1475">
            <v>707</v>
          </cell>
        </row>
        <row r="1476">
          <cell r="A1476">
            <v>198378</v>
          </cell>
          <cell r="B1476" t="str">
            <v>Стул барный Sheffilton SHT-ST38/S93  зефирный/браш.коричневый/черный муар</v>
          </cell>
          <cell r="C1476">
            <v>8500</v>
          </cell>
          <cell r="E1476">
            <v>560</v>
          </cell>
          <cell r="F1476">
            <v>728</v>
          </cell>
        </row>
        <row r="1477">
          <cell r="A1477">
            <v>190069</v>
          </cell>
          <cell r="B1477" t="str">
            <v>Стул барный Sheffilton SHT-ST38/S93  угольно-серый/браш. коричневый/чёрный</v>
          </cell>
          <cell r="C1477">
            <v>8260</v>
          </cell>
          <cell r="E1477">
            <v>544</v>
          </cell>
          <cell r="F1477">
            <v>707</v>
          </cell>
        </row>
        <row r="1478">
          <cell r="A1478">
            <v>211610</v>
          </cell>
          <cell r="B1478" t="str">
            <v>Стул барный Sheffilton SHT-ST38/S94  альпийский бирюз./прозрачный лак/черный</v>
          </cell>
          <cell r="C1478">
            <v>7086.67</v>
          </cell>
          <cell r="E1478">
            <v>467</v>
          </cell>
          <cell r="F1478">
            <v>607</v>
          </cell>
        </row>
        <row r="1479">
          <cell r="A1479">
            <v>198370</v>
          </cell>
          <cell r="B1479" t="str">
            <v>Стул барный Sheffilton SHT-ST38/S94  зефирный/прозрачный лак/черный муар</v>
          </cell>
          <cell r="C1479">
            <v>7326.67</v>
          </cell>
          <cell r="E1479">
            <v>483</v>
          </cell>
          <cell r="F1479">
            <v>628</v>
          </cell>
        </row>
        <row r="1480">
          <cell r="A1480">
            <v>140600</v>
          </cell>
          <cell r="B1480" t="str">
            <v>Стул барный Sheffilton SHT-ST75/S69-C СТ-277 бежевый/светлый орех</v>
          </cell>
          <cell r="C1480">
            <v>2453.33</v>
          </cell>
          <cell r="E1480">
            <v>162</v>
          </cell>
          <cell r="F1480">
            <v>211</v>
          </cell>
        </row>
        <row r="1481">
          <cell r="A1481">
            <v>140602</v>
          </cell>
          <cell r="B1481" t="str">
            <v>Стул барный Sheffilton SHT-ST75/S69-C СТ-277 коричневый/темный орех</v>
          </cell>
          <cell r="C1481">
            <v>2453.33</v>
          </cell>
          <cell r="E1481">
            <v>162</v>
          </cell>
          <cell r="F1481">
            <v>211</v>
          </cell>
        </row>
        <row r="1482">
          <cell r="A1482">
            <v>140601</v>
          </cell>
          <cell r="B1482" t="str">
            <v>Стул барный Sheffilton SHT-ST76/S69-C  оранжевый/темный орех</v>
          </cell>
          <cell r="C1482">
            <v>2510.0100000000002</v>
          </cell>
          <cell r="E1482">
            <v>165</v>
          </cell>
          <cell r="F1482">
            <v>215</v>
          </cell>
        </row>
        <row r="1483">
          <cell r="A1483">
            <v>947577</v>
          </cell>
          <cell r="B1483" t="str">
            <v>Стул барный Sheffilton SHT-ST9/S66  дуб брашированный/черный муар</v>
          </cell>
          <cell r="C1483">
            <v>3533.33</v>
          </cell>
          <cell r="E1483">
            <v>233</v>
          </cell>
          <cell r="F1483">
            <v>303</v>
          </cell>
        </row>
        <row r="1484">
          <cell r="A1484">
            <v>407609</v>
          </cell>
          <cell r="B1484" t="str">
            <v>Стул барный Sheffilton SHT-ST9/S66  прозрачный лак/хром лак</v>
          </cell>
          <cell r="C1484">
            <v>3280</v>
          </cell>
          <cell r="E1484">
            <v>216</v>
          </cell>
          <cell r="F1484">
            <v>281</v>
          </cell>
        </row>
        <row r="1485">
          <cell r="A1485">
            <v>407525</v>
          </cell>
          <cell r="B1485" t="str">
            <v>Стул барный Sheffilton SHT-ST9/S66  прозрачный лак/черный муар</v>
          </cell>
          <cell r="C1485">
            <v>3166.67</v>
          </cell>
          <cell r="E1485">
            <v>209</v>
          </cell>
          <cell r="F1485">
            <v>272</v>
          </cell>
        </row>
        <row r="1486">
          <cell r="A1486">
            <v>962032</v>
          </cell>
          <cell r="B1486" t="str">
            <v>Стул барный Sheffilton SHT-ST9/S80  дуб брашированный/темный орех</v>
          </cell>
          <cell r="C1486">
            <v>5160</v>
          </cell>
          <cell r="E1486">
            <v>340</v>
          </cell>
          <cell r="F1486">
            <v>442</v>
          </cell>
        </row>
        <row r="1487">
          <cell r="A1487">
            <v>20877</v>
          </cell>
          <cell r="B1487" t="str">
            <v>Стул барный Sheffilton SHT-ST9/S80  прозрачный лак/темный орех / черный</v>
          </cell>
          <cell r="C1487">
            <v>4793.33</v>
          </cell>
          <cell r="E1487">
            <v>316</v>
          </cell>
          <cell r="F1487">
            <v>411</v>
          </cell>
        </row>
        <row r="1488">
          <cell r="A1488">
            <v>144584</v>
          </cell>
          <cell r="B1488" t="str">
            <v>Стул барный Sheffilton SHT-ST9/S81  дуб брашированный коричневый</v>
          </cell>
          <cell r="C1488">
            <v>5273.33</v>
          </cell>
          <cell r="E1488">
            <v>347</v>
          </cell>
          <cell r="F1488">
            <v>451</v>
          </cell>
        </row>
        <row r="1489">
          <cell r="A1489">
            <v>151485</v>
          </cell>
          <cell r="B1489" t="str">
            <v>Стул барный Sheffilton SHT-ST9/S93  браш.коричневый/черный муар</v>
          </cell>
          <cell r="C1489">
            <v>6366.67</v>
          </cell>
          <cell r="E1489">
            <v>419</v>
          </cell>
          <cell r="F1489">
            <v>545</v>
          </cell>
        </row>
        <row r="1490">
          <cell r="A1490">
            <v>197082</v>
          </cell>
          <cell r="B1490" t="str">
            <v>Стул барный SHT-ST19/S128  белый/хром/белый муар</v>
          </cell>
          <cell r="C1490">
            <v>9426.67</v>
          </cell>
          <cell r="E1490">
            <v>621</v>
          </cell>
          <cell r="F1490">
            <v>807</v>
          </cell>
        </row>
        <row r="1491">
          <cell r="A1491">
            <v>197083</v>
          </cell>
          <cell r="B1491" t="str">
            <v>Стул барный SHT-ST19/S128  черный/хром/белый муар</v>
          </cell>
          <cell r="C1491">
            <v>9426.67</v>
          </cell>
          <cell r="E1491">
            <v>621</v>
          </cell>
          <cell r="F1491">
            <v>807</v>
          </cell>
        </row>
        <row r="1492">
          <cell r="A1492">
            <v>197197</v>
          </cell>
          <cell r="B1492" t="str">
            <v>Стул барный SHT-ST19-SF1/S128 СТ-397 дымный/хром/белый муар</v>
          </cell>
          <cell r="C1492">
            <v>10600</v>
          </cell>
          <cell r="E1492">
            <v>698</v>
          </cell>
          <cell r="F1492">
            <v>907</v>
          </cell>
        </row>
        <row r="1493">
          <cell r="A1493">
            <v>192024</v>
          </cell>
          <cell r="B1493" t="str">
            <v>Стул барный SHT-ST19-SF1/S29 СТ-393 горький шоколад/медный металлик</v>
          </cell>
          <cell r="C1493">
            <v>2756.67</v>
          </cell>
          <cell r="E1493">
            <v>182</v>
          </cell>
          <cell r="F1493">
            <v>237</v>
          </cell>
        </row>
        <row r="1494">
          <cell r="A1494">
            <v>192023</v>
          </cell>
          <cell r="B1494" t="str">
            <v>Стул барный SHT-ST19-SF1/S29 СТ-393 горький шоколад/черный муар</v>
          </cell>
          <cell r="C1494">
            <v>2756.67</v>
          </cell>
          <cell r="E1494">
            <v>182</v>
          </cell>
          <cell r="F1494">
            <v>237</v>
          </cell>
        </row>
        <row r="1495">
          <cell r="A1495">
            <v>192018</v>
          </cell>
          <cell r="B1495" t="str">
            <v>Стул барный SHT-ST19-SF1/S65  горький шоколад/дуб браш. коричневый</v>
          </cell>
          <cell r="C1495">
            <v>6813.33</v>
          </cell>
          <cell r="E1495">
            <v>449</v>
          </cell>
          <cell r="F1495">
            <v>584</v>
          </cell>
        </row>
        <row r="1496">
          <cell r="A1496">
            <v>192019</v>
          </cell>
          <cell r="B1496" t="str">
            <v>Стул барный SHT-ST19-SF1/S65 СТ-421 горький шоколад/светлый орех</v>
          </cell>
          <cell r="C1496">
            <v>5080</v>
          </cell>
          <cell r="E1496">
            <v>335</v>
          </cell>
          <cell r="F1496">
            <v>436</v>
          </cell>
        </row>
        <row r="1497">
          <cell r="A1497">
            <v>192025</v>
          </cell>
          <cell r="B1497" t="str">
            <v>Стул барный SHT-ST19-SF1/S66 СТ-82 горький шоколад/чёрный муар</v>
          </cell>
          <cell r="C1497">
            <v>3673.33</v>
          </cell>
          <cell r="E1497">
            <v>242</v>
          </cell>
          <cell r="F1497">
            <v>315</v>
          </cell>
        </row>
        <row r="1498">
          <cell r="A1498">
            <v>192021</v>
          </cell>
          <cell r="B1498" t="str">
            <v>Стул барный SHT-ST19-SF1/S80  горький шоколад/прозрачный лак/чёрный</v>
          </cell>
          <cell r="C1498">
            <v>5233.33</v>
          </cell>
          <cell r="E1498">
            <v>345</v>
          </cell>
          <cell r="F1498">
            <v>449</v>
          </cell>
        </row>
        <row r="1499">
          <cell r="A1499">
            <v>192026</v>
          </cell>
          <cell r="B1499" t="str">
            <v>Стул барный SHT-ST19-SF1/S92  горький шоколад/браш.коричневый/чёрный</v>
          </cell>
          <cell r="C1499">
            <v>6760</v>
          </cell>
          <cell r="E1499">
            <v>445</v>
          </cell>
          <cell r="F1499">
            <v>579</v>
          </cell>
        </row>
        <row r="1500">
          <cell r="A1500">
            <v>192027</v>
          </cell>
          <cell r="B1500" t="str">
            <v>Стул барный SHT-ST19-SF1/S93 СТ-438 горький шоколад/браш.коричневый/чёрный</v>
          </cell>
          <cell r="C1500">
            <v>6506.67</v>
          </cell>
          <cell r="E1500">
            <v>429</v>
          </cell>
          <cell r="F1500">
            <v>558</v>
          </cell>
        </row>
        <row r="1501">
          <cell r="A1501">
            <v>191994</v>
          </cell>
          <cell r="B1501" t="str">
            <v>Стул барный SHT-ST29-C4/S29 СТ-433 графит/медный металлик</v>
          </cell>
          <cell r="C1501">
            <v>2723.33</v>
          </cell>
          <cell r="E1501">
            <v>179</v>
          </cell>
          <cell r="F1501">
            <v>233</v>
          </cell>
        </row>
        <row r="1502">
          <cell r="A1502">
            <v>191996</v>
          </cell>
          <cell r="B1502" t="str">
            <v>Стул барный SHT-ST29-C4/S65  графит/прозрачный лак</v>
          </cell>
          <cell r="C1502">
            <v>4960</v>
          </cell>
          <cell r="E1502">
            <v>327</v>
          </cell>
          <cell r="F1502">
            <v>425</v>
          </cell>
        </row>
        <row r="1503">
          <cell r="A1503">
            <v>191999</v>
          </cell>
          <cell r="B1503" t="str">
            <v>Стул барный SHT-ST29-C4/S66  графит/хром лак</v>
          </cell>
          <cell r="C1503">
            <v>3753.33</v>
          </cell>
          <cell r="E1503">
            <v>247</v>
          </cell>
          <cell r="F1503">
            <v>321</v>
          </cell>
        </row>
        <row r="1504">
          <cell r="A1504">
            <v>192001</v>
          </cell>
          <cell r="B1504" t="str">
            <v>Стул барный SHT-ST29-C4/S80  графит/темный орех</v>
          </cell>
          <cell r="C1504">
            <v>5266.67</v>
          </cell>
          <cell r="E1504">
            <v>347</v>
          </cell>
          <cell r="F1504">
            <v>451</v>
          </cell>
        </row>
        <row r="1505">
          <cell r="A1505">
            <v>192004</v>
          </cell>
          <cell r="B1505" t="str">
            <v>Стул барный SHT-ST29-C4/S81  графит/брашированный коричневый</v>
          </cell>
          <cell r="C1505">
            <v>5380</v>
          </cell>
          <cell r="E1505">
            <v>354</v>
          </cell>
          <cell r="F1505">
            <v>460</v>
          </cell>
        </row>
        <row r="1506">
          <cell r="A1506">
            <v>197086</v>
          </cell>
          <cell r="B1506" t="str">
            <v>Стул барный SHT-ST29/S128  черный/хром/белый муар</v>
          </cell>
          <cell r="C1506">
            <v>9706.67</v>
          </cell>
          <cell r="E1506">
            <v>639</v>
          </cell>
          <cell r="F1506">
            <v>831</v>
          </cell>
        </row>
        <row r="1507">
          <cell r="A1507">
            <v>197084</v>
          </cell>
          <cell r="B1507" t="str">
            <v>Стул барный SHT-ST29/S128 СТ-410 белый/хром/белый муар</v>
          </cell>
          <cell r="C1507">
            <v>9706.67</v>
          </cell>
          <cell r="E1507">
            <v>639</v>
          </cell>
          <cell r="F1507">
            <v>831</v>
          </cell>
        </row>
        <row r="1508">
          <cell r="A1508">
            <v>197085</v>
          </cell>
          <cell r="B1508" t="str">
            <v>Стул барный SHT-ST29/S128 СТ-410 серый/хром/белый муар</v>
          </cell>
          <cell r="C1508">
            <v>9706.67</v>
          </cell>
          <cell r="E1508">
            <v>639</v>
          </cell>
          <cell r="F1508">
            <v>831</v>
          </cell>
        </row>
        <row r="1509">
          <cell r="A1509">
            <v>197087</v>
          </cell>
          <cell r="B1509" t="str">
            <v>Стул барный SHT-ST31/S128  белый/хром/белый муар</v>
          </cell>
          <cell r="C1509">
            <v>10030</v>
          </cell>
          <cell r="E1509">
            <v>661</v>
          </cell>
          <cell r="F1509">
            <v>859</v>
          </cell>
        </row>
        <row r="1510">
          <cell r="A1510">
            <v>197088</v>
          </cell>
          <cell r="B1510" t="str">
            <v>Стул барный SHT-ST31/S128  розовый/хром/белый муар</v>
          </cell>
          <cell r="C1510">
            <v>6000</v>
          </cell>
          <cell r="E1510">
            <v>395</v>
          </cell>
          <cell r="F1510">
            <v>514</v>
          </cell>
        </row>
        <row r="1511">
          <cell r="A1511">
            <v>197089</v>
          </cell>
          <cell r="B1511" t="str">
            <v>Стул барный SHT-ST31/S128  черный/хром/белый муар</v>
          </cell>
          <cell r="C1511">
            <v>10053.33</v>
          </cell>
          <cell r="E1511">
            <v>662</v>
          </cell>
          <cell r="F1511">
            <v>861</v>
          </cell>
        </row>
        <row r="1512">
          <cell r="A1512">
            <v>197191</v>
          </cell>
          <cell r="B1512" t="str">
            <v>Стул барный SHT-ST31-С2/S128  аквамарин/хром/белый муар</v>
          </cell>
          <cell r="C1512">
            <v>11513.33</v>
          </cell>
          <cell r="E1512">
            <v>758</v>
          </cell>
          <cell r="F1512">
            <v>985</v>
          </cell>
        </row>
        <row r="1513">
          <cell r="A1513">
            <v>197190</v>
          </cell>
          <cell r="B1513" t="str">
            <v>Стул барный SHT-ST31-С2/S128  лунный камень/хром/белый муар</v>
          </cell>
          <cell r="C1513">
            <v>11520</v>
          </cell>
          <cell r="E1513">
            <v>759</v>
          </cell>
          <cell r="F1513">
            <v>987</v>
          </cell>
        </row>
        <row r="1514">
          <cell r="A1514">
            <v>194124</v>
          </cell>
          <cell r="B1514" t="str">
            <v>Стул барный SHT-ST34-1/S128 СТ-459 голубая пастель/хром/белый муар</v>
          </cell>
          <cell r="C1514">
            <v>11660</v>
          </cell>
          <cell r="E1514">
            <v>768</v>
          </cell>
          <cell r="F1514">
            <v>998</v>
          </cell>
        </row>
        <row r="1515">
          <cell r="A1515">
            <v>191754</v>
          </cell>
          <cell r="B1515" t="str">
            <v>Стул барный SHT-ST34-1/S29 СТ-461 латте/чёрный муар</v>
          </cell>
          <cell r="C1515">
            <v>3916.67</v>
          </cell>
          <cell r="E1515">
            <v>258</v>
          </cell>
          <cell r="F1515">
            <v>335</v>
          </cell>
        </row>
        <row r="1516">
          <cell r="A1516">
            <v>191757</v>
          </cell>
          <cell r="B1516" t="str">
            <v>Стул барный SHT-ST34-1/S65  латте/дуб коричневый брашированный</v>
          </cell>
          <cell r="C1516">
            <v>7973.33</v>
          </cell>
          <cell r="E1516">
            <v>525</v>
          </cell>
          <cell r="F1516">
            <v>683</v>
          </cell>
        </row>
        <row r="1517">
          <cell r="A1517">
            <v>194119</v>
          </cell>
          <cell r="B1517" t="str">
            <v>Стул барный SHT-ST34-1/S65 СТ-412 голубая пастель/прозрачный лак</v>
          </cell>
          <cell r="C1517">
            <v>6193.33</v>
          </cell>
          <cell r="E1517">
            <v>408</v>
          </cell>
          <cell r="F1517">
            <v>530</v>
          </cell>
        </row>
        <row r="1518">
          <cell r="A1518">
            <v>194122</v>
          </cell>
          <cell r="B1518" t="str">
            <v>Стул барный SHT-ST34-1/S66  голубая пастель/хром лак</v>
          </cell>
          <cell r="C1518">
            <v>4986.67</v>
          </cell>
          <cell r="E1518">
            <v>329</v>
          </cell>
          <cell r="F1518">
            <v>428</v>
          </cell>
        </row>
        <row r="1519">
          <cell r="A1519">
            <v>191760</v>
          </cell>
          <cell r="B1519" t="str">
            <v>Стул барный SHT-ST34-1/S66  латте/хром лак</v>
          </cell>
          <cell r="C1519">
            <v>4946.67</v>
          </cell>
          <cell r="E1519">
            <v>326</v>
          </cell>
          <cell r="F1519">
            <v>424</v>
          </cell>
        </row>
        <row r="1520">
          <cell r="A1520">
            <v>194125</v>
          </cell>
          <cell r="B1520" t="str">
            <v>Стул барный SHT-ST34-1/S80  голубая пастель/прозрачный лак/черный</v>
          </cell>
          <cell r="C1520">
            <v>6433.33</v>
          </cell>
          <cell r="E1520">
            <v>424</v>
          </cell>
          <cell r="F1520">
            <v>551</v>
          </cell>
        </row>
        <row r="1521">
          <cell r="A1521">
            <v>191762</v>
          </cell>
          <cell r="B1521" t="str">
            <v>Стул барный SHT-ST34-1/S80  латте/темный орех/черный</v>
          </cell>
          <cell r="C1521">
            <v>6460</v>
          </cell>
          <cell r="E1521">
            <v>426</v>
          </cell>
          <cell r="F1521">
            <v>554</v>
          </cell>
        </row>
        <row r="1522">
          <cell r="A1522">
            <v>191764</v>
          </cell>
          <cell r="B1522" t="str">
            <v>Стул барный SHT-ST34-1/S93  латте/браш.коричневый/чёрный муар</v>
          </cell>
          <cell r="C1522">
            <v>7666.67</v>
          </cell>
          <cell r="E1522">
            <v>505</v>
          </cell>
          <cell r="F1522">
            <v>657</v>
          </cell>
        </row>
        <row r="1523">
          <cell r="A1523">
            <v>194127</v>
          </cell>
          <cell r="B1523" t="str">
            <v>Стул барный SHT-ST34-1/S94  голубая пастель/прозрачный лак/черный</v>
          </cell>
          <cell r="C1523">
            <v>6533.33</v>
          </cell>
          <cell r="E1523">
            <v>430</v>
          </cell>
          <cell r="F1523">
            <v>559</v>
          </cell>
        </row>
        <row r="1524">
          <cell r="A1524">
            <v>197192</v>
          </cell>
          <cell r="B1524" t="str">
            <v>Стул барный SHT-ST34/S128 СТ-518 платиново-серый/хром/белый муар</v>
          </cell>
          <cell r="C1524">
            <v>11360</v>
          </cell>
          <cell r="E1524">
            <v>748</v>
          </cell>
          <cell r="F1524">
            <v>972</v>
          </cell>
        </row>
        <row r="1525">
          <cell r="A1525">
            <v>189694</v>
          </cell>
          <cell r="B1525" t="str">
            <v>Стул барный SHT-ST35-1/S29  имперский желтый/хром лак</v>
          </cell>
          <cell r="C1525">
            <v>3866.67</v>
          </cell>
          <cell r="E1525">
            <v>255</v>
          </cell>
          <cell r="F1525">
            <v>332</v>
          </cell>
        </row>
        <row r="1526">
          <cell r="A1526">
            <v>189695</v>
          </cell>
          <cell r="B1526" t="str">
            <v>Стул барный SHT-ST35-1/S65  имперский желтый/венге</v>
          </cell>
          <cell r="C1526">
            <v>6440</v>
          </cell>
          <cell r="E1526">
            <v>424</v>
          </cell>
          <cell r="F1526">
            <v>551</v>
          </cell>
        </row>
        <row r="1527">
          <cell r="A1527">
            <v>189696</v>
          </cell>
          <cell r="B1527" t="str">
            <v>Стул барный SHT-ST35-1/S65  имперский желтый/прозрачный лак</v>
          </cell>
          <cell r="C1527">
            <v>5986.67</v>
          </cell>
          <cell r="E1527">
            <v>394</v>
          </cell>
          <cell r="F1527">
            <v>512</v>
          </cell>
        </row>
        <row r="1528">
          <cell r="A1528">
            <v>189697</v>
          </cell>
          <cell r="B1528" t="str">
            <v>Стул барный SHT-ST35-1/S66  имперский желтый/хром лак</v>
          </cell>
          <cell r="C1528">
            <v>4780</v>
          </cell>
          <cell r="E1528">
            <v>315</v>
          </cell>
          <cell r="F1528">
            <v>410</v>
          </cell>
        </row>
        <row r="1529">
          <cell r="A1529">
            <v>189699</v>
          </cell>
          <cell r="B1529" t="str">
            <v>Стул барный SHT-ST35-1/S80  имперский жёлтый/прозрачный лак/чёрный</v>
          </cell>
          <cell r="C1529">
            <v>6226.67</v>
          </cell>
          <cell r="E1529">
            <v>410</v>
          </cell>
          <cell r="F1529">
            <v>533</v>
          </cell>
        </row>
        <row r="1530">
          <cell r="A1530">
            <v>189703</v>
          </cell>
          <cell r="B1530" t="str">
            <v>Стул барный SHT-ST35-1/S81  имперский жёлтый/брашированный коричневы</v>
          </cell>
          <cell r="C1530">
            <v>6406.67</v>
          </cell>
          <cell r="E1530">
            <v>422</v>
          </cell>
          <cell r="F1530">
            <v>549</v>
          </cell>
        </row>
        <row r="1531">
          <cell r="A1531">
            <v>197194</v>
          </cell>
          <cell r="B1531" t="str">
            <v>Стул барный SHT-ST35-2/S128 СТ-420 лиственно-зеленый/хром/белый муар</v>
          </cell>
          <cell r="C1531">
            <v>11533.33</v>
          </cell>
          <cell r="E1531">
            <v>760</v>
          </cell>
          <cell r="F1531">
            <v>988</v>
          </cell>
        </row>
        <row r="1532">
          <cell r="A1532">
            <v>197193</v>
          </cell>
          <cell r="B1532" t="str">
            <v>Стул барный SHT-ST35/S128 СТ-392 розовый десерт/хром/белый муар</v>
          </cell>
          <cell r="C1532">
            <v>11226.67</v>
          </cell>
          <cell r="E1532">
            <v>740</v>
          </cell>
          <cell r="F1532">
            <v>962</v>
          </cell>
        </row>
        <row r="1533">
          <cell r="A1533">
            <v>196795</v>
          </cell>
          <cell r="B1533" t="str">
            <v>Стул барный SHT-ST36-1/S29  песчаная буря/хром лак</v>
          </cell>
          <cell r="C1533">
            <v>4346.67</v>
          </cell>
          <cell r="E1533">
            <v>286</v>
          </cell>
          <cell r="F1533">
            <v>372</v>
          </cell>
        </row>
        <row r="1534">
          <cell r="A1534">
            <v>196796</v>
          </cell>
          <cell r="B1534" t="str">
            <v>Стул барный SHT-ST36-1/S29 СТ-405 песчаная буря/черный муар</v>
          </cell>
          <cell r="C1534">
            <v>4230</v>
          </cell>
          <cell r="E1534">
            <v>279</v>
          </cell>
          <cell r="F1534">
            <v>363</v>
          </cell>
        </row>
        <row r="1535">
          <cell r="A1535">
            <v>196799</v>
          </cell>
          <cell r="B1535" t="str">
            <v>Стул барный SHT-ST36-1/S65  песчаная буря/венге</v>
          </cell>
          <cell r="C1535">
            <v>6920</v>
          </cell>
          <cell r="E1535">
            <v>456</v>
          </cell>
          <cell r="F1535">
            <v>593</v>
          </cell>
        </row>
        <row r="1536">
          <cell r="A1536">
            <v>196798</v>
          </cell>
          <cell r="B1536" t="str">
            <v>Стул барный SHT-ST36-1/S65  песчаная буря/прозрачный лак</v>
          </cell>
          <cell r="C1536">
            <v>6466.67</v>
          </cell>
          <cell r="E1536">
            <v>426</v>
          </cell>
          <cell r="F1536">
            <v>554</v>
          </cell>
        </row>
        <row r="1537">
          <cell r="A1537">
            <v>196802</v>
          </cell>
          <cell r="B1537" t="str">
            <v>Стул барный SHT-ST36-1/S80  песчаная буря/прозрачный лак/черный муар</v>
          </cell>
          <cell r="C1537">
            <v>6706.67</v>
          </cell>
          <cell r="E1537">
            <v>442</v>
          </cell>
          <cell r="F1537">
            <v>575</v>
          </cell>
        </row>
        <row r="1538">
          <cell r="A1538">
            <v>196801</v>
          </cell>
          <cell r="B1538" t="str">
            <v>Стул барный SHT-ST36-1/S80  песчаная буря/темный орех/черный муар</v>
          </cell>
          <cell r="C1538">
            <v>6773.33</v>
          </cell>
          <cell r="E1538">
            <v>446</v>
          </cell>
          <cell r="F1538">
            <v>580</v>
          </cell>
        </row>
        <row r="1539">
          <cell r="A1539">
            <v>197195</v>
          </cell>
          <cell r="B1539" t="str">
            <v>Стул барный SHT-ST36-3/S128 СТ-391 нейтрально-серый/хром/белый муар</v>
          </cell>
          <cell r="C1539">
            <v>11800</v>
          </cell>
          <cell r="E1539">
            <v>777</v>
          </cell>
          <cell r="F1539">
            <v>1010</v>
          </cell>
        </row>
        <row r="1540">
          <cell r="A1540">
            <v>212263</v>
          </cell>
          <cell r="B1540" t="str">
            <v>Стул барный SHT-ST37/S128  горчичный/хром/белый муар</v>
          </cell>
          <cell r="C1540">
            <v>11926.67</v>
          </cell>
          <cell r="E1540">
            <v>786</v>
          </cell>
          <cell r="F1540">
            <v>1022</v>
          </cell>
        </row>
        <row r="1541">
          <cell r="A1541">
            <v>197091</v>
          </cell>
          <cell r="B1541" t="str">
            <v>Стул барный SHT-ST37/S128  серое облако/хром/белый муар</v>
          </cell>
          <cell r="C1541">
            <v>11840</v>
          </cell>
          <cell r="E1541">
            <v>780</v>
          </cell>
          <cell r="F1541">
            <v>1014</v>
          </cell>
        </row>
        <row r="1542">
          <cell r="A1542">
            <v>197090</v>
          </cell>
          <cell r="B1542" t="str">
            <v>Стул барный SHT-ST37/S128 СТ-396 рубиновое вино/хром/белый муар</v>
          </cell>
          <cell r="C1542">
            <v>11840</v>
          </cell>
          <cell r="E1542">
            <v>780</v>
          </cell>
          <cell r="F1542">
            <v>1014</v>
          </cell>
        </row>
        <row r="1543">
          <cell r="A1543">
            <v>197189</v>
          </cell>
          <cell r="B1543" t="str">
            <v>Стул барный SHT-ST38/S128 СТ-409 угольно-серый/хром/белый муар</v>
          </cell>
          <cell r="C1543">
            <v>12213.33</v>
          </cell>
          <cell r="E1543">
            <v>805</v>
          </cell>
          <cell r="F1543">
            <v>1047</v>
          </cell>
        </row>
        <row r="1544">
          <cell r="A1544">
            <v>198122</v>
          </cell>
          <cell r="B1544" t="str">
            <v>Стул барный SHT-ST38/S66 СТ-530 зефирный/черный муар</v>
          </cell>
          <cell r="C1544">
            <v>5666.67</v>
          </cell>
          <cell r="E1544">
            <v>373</v>
          </cell>
          <cell r="F1544">
            <v>485</v>
          </cell>
        </row>
        <row r="1545">
          <cell r="A1545">
            <v>881416</v>
          </cell>
          <cell r="B1545" t="str">
            <v>Стул барный складной Sheffilton SHT-S46 CT-46 беж/черный муар</v>
          </cell>
          <cell r="C1545">
            <v>1960</v>
          </cell>
          <cell r="E1545">
            <v>129</v>
          </cell>
          <cell r="F1545">
            <v>168</v>
          </cell>
        </row>
        <row r="1546">
          <cell r="A1546">
            <v>202107</v>
          </cell>
          <cell r="B1546" t="str">
            <v>Стул подъемно-поворотный Sheffilton SHT-ST19/S120M  черный/черный муар</v>
          </cell>
          <cell r="C1546">
            <v>3266.67</v>
          </cell>
          <cell r="E1546">
            <v>215</v>
          </cell>
          <cell r="F1546">
            <v>280</v>
          </cell>
        </row>
        <row r="1547">
          <cell r="A1547">
            <v>202115</v>
          </cell>
          <cell r="B1547" t="str">
            <v>Стул подъемно-поворотный Sheffilton SHT-ST19-SF1/S120M  горький шоколад/черный муар</v>
          </cell>
          <cell r="C1547">
            <v>4300</v>
          </cell>
          <cell r="E1547">
            <v>283</v>
          </cell>
          <cell r="F1547">
            <v>368</v>
          </cell>
        </row>
        <row r="1548">
          <cell r="A1548">
            <v>202117</v>
          </cell>
          <cell r="B1548" t="str">
            <v>Стул подъемно-поворотный Sheffilton SHT-ST19-SF1/S120M  дымный/черный муар</v>
          </cell>
          <cell r="C1548">
            <v>4440</v>
          </cell>
          <cell r="E1548">
            <v>293</v>
          </cell>
          <cell r="F1548">
            <v>381</v>
          </cell>
        </row>
        <row r="1549">
          <cell r="A1549">
            <v>202116</v>
          </cell>
          <cell r="B1549" t="str">
            <v>Стул подъемно-поворотный Sheffilton SHT-ST19-SF1/S120M  коричневый сахар/черный муар</v>
          </cell>
          <cell r="C1549">
            <v>4366.67</v>
          </cell>
          <cell r="E1549">
            <v>288</v>
          </cell>
          <cell r="F1549">
            <v>374</v>
          </cell>
        </row>
        <row r="1550">
          <cell r="A1550">
            <v>199885</v>
          </cell>
          <cell r="B1550" t="str">
            <v>Стул подъемно-поворотный Sheffilton SHT-ST29-C22/S120  розовый зефир/черный</v>
          </cell>
          <cell r="C1550">
            <v>4146.67</v>
          </cell>
          <cell r="E1550">
            <v>273</v>
          </cell>
          <cell r="F1550">
            <v>355</v>
          </cell>
        </row>
        <row r="1551">
          <cell r="A1551">
            <v>173117</v>
          </cell>
          <cell r="B1551" t="str">
            <v>Стул подъемно-поворотный Sheffilton SHT-ST29-C/S120P  жемчужный/черный муар</v>
          </cell>
          <cell r="C1551">
            <v>3686.67</v>
          </cell>
          <cell r="E1551">
            <v>243</v>
          </cell>
          <cell r="F1551">
            <v>316</v>
          </cell>
        </row>
        <row r="1552">
          <cell r="A1552">
            <v>173116</v>
          </cell>
          <cell r="B1552" t="str">
            <v>Стул подъемно-поворотный Sheffilton SHT-ST29-C/S120P СТ-293 пепельный/черный муар</v>
          </cell>
          <cell r="C1552">
            <v>3533.33</v>
          </cell>
          <cell r="E1552">
            <v>233</v>
          </cell>
          <cell r="F1552">
            <v>303</v>
          </cell>
        </row>
        <row r="1553">
          <cell r="A1553">
            <v>173091</v>
          </cell>
          <cell r="B1553" t="str">
            <v>Стул подъемно-поворотный Sheffilton SHT-ST29/S120 СТ-279 красный RAL3020/черный муар</v>
          </cell>
          <cell r="C1553">
            <v>2973.33</v>
          </cell>
          <cell r="E1553">
            <v>196</v>
          </cell>
          <cell r="F1553">
            <v>255</v>
          </cell>
        </row>
        <row r="1554">
          <cell r="A1554">
            <v>202109</v>
          </cell>
          <cell r="B1554" t="str">
            <v>Стул подъемно-поворотный Sheffilton SHT-ST29/S120M  бежевый/черный муар</v>
          </cell>
          <cell r="C1554">
            <v>3546.67</v>
          </cell>
          <cell r="E1554">
            <v>234</v>
          </cell>
          <cell r="F1554">
            <v>304</v>
          </cell>
        </row>
        <row r="1555">
          <cell r="A1555">
            <v>202108</v>
          </cell>
          <cell r="B1555" t="str">
            <v>Стул подъемно-поворотный Sheffilton SHT-ST29/S120M  белый/черный муар</v>
          </cell>
          <cell r="C1555">
            <v>3546.67</v>
          </cell>
          <cell r="E1555">
            <v>234</v>
          </cell>
          <cell r="F1555">
            <v>304</v>
          </cell>
        </row>
        <row r="1556">
          <cell r="A1556">
            <v>202110</v>
          </cell>
          <cell r="B1556" t="str">
            <v>Стул подъемно-поворотный Sheffilton SHT-ST29/S120M  пастельно-голубой/черный муар</v>
          </cell>
          <cell r="C1556">
            <v>3560</v>
          </cell>
          <cell r="E1556">
            <v>235</v>
          </cell>
          <cell r="F1556">
            <v>306</v>
          </cell>
        </row>
        <row r="1557">
          <cell r="A1557">
            <v>202111</v>
          </cell>
          <cell r="B1557" t="str">
            <v>Стул подъемно-поворотный Sheffilton SHT-ST29/S120M  серый/черный муар</v>
          </cell>
          <cell r="C1557">
            <v>3546.67</v>
          </cell>
          <cell r="E1557">
            <v>234</v>
          </cell>
          <cell r="F1557">
            <v>304</v>
          </cell>
        </row>
        <row r="1558">
          <cell r="A1558">
            <v>202112</v>
          </cell>
          <cell r="B1558" t="str">
            <v>Стул подъемно-поворотный Sheffilton SHT-ST29/S120M СТ-467 черный/черный муар</v>
          </cell>
          <cell r="C1558">
            <v>3546.67</v>
          </cell>
          <cell r="E1558">
            <v>234</v>
          </cell>
          <cell r="F1558">
            <v>304</v>
          </cell>
        </row>
        <row r="1559">
          <cell r="A1559">
            <v>202122</v>
          </cell>
          <cell r="B1559" t="str">
            <v>Стул подъемно-поворотный Sheffilton SHT-ST29-С12/S120M  голубая лагуна/черный муар</v>
          </cell>
          <cell r="C1559">
            <v>4333.33</v>
          </cell>
          <cell r="E1559">
            <v>285</v>
          </cell>
          <cell r="F1559">
            <v>371</v>
          </cell>
        </row>
        <row r="1560">
          <cell r="A1560">
            <v>202121</v>
          </cell>
          <cell r="B1560" t="str">
            <v>Стул подъемно-поворотный Sheffilton SHT-ST29-С12/S120M  ежевичное вино/черный муар</v>
          </cell>
          <cell r="C1560">
            <v>4333.33</v>
          </cell>
          <cell r="E1560">
            <v>285</v>
          </cell>
          <cell r="F1560">
            <v>371</v>
          </cell>
        </row>
        <row r="1561">
          <cell r="A1561">
            <v>202118</v>
          </cell>
          <cell r="B1561" t="str">
            <v>Стул подъемно-поворотный Sheffilton SHT-ST29-С1/S120M  лунный камень/черный муар</v>
          </cell>
          <cell r="C1561">
            <v>4260</v>
          </cell>
          <cell r="E1561">
            <v>281</v>
          </cell>
          <cell r="F1561">
            <v>365</v>
          </cell>
        </row>
        <row r="1562">
          <cell r="A1562">
            <v>202120</v>
          </cell>
          <cell r="B1562" t="str">
            <v>Стул подъемно-поворотный Sheffilton SHT-ST29-С1/S120M  морская глубина/черный муар</v>
          </cell>
          <cell r="C1562">
            <v>4260</v>
          </cell>
          <cell r="E1562">
            <v>281</v>
          </cell>
          <cell r="F1562">
            <v>365</v>
          </cell>
        </row>
        <row r="1563">
          <cell r="A1563">
            <v>202119</v>
          </cell>
          <cell r="B1563" t="str">
            <v>Стул подъемно-поворотный Sheffilton SHT-ST29-С1/S120M СТ-488 оливковый/черный муар</v>
          </cell>
          <cell r="C1563">
            <v>4266.67</v>
          </cell>
          <cell r="E1563">
            <v>281</v>
          </cell>
          <cell r="F1563">
            <v>365</v>
          </cell>
        </row>
        <row r="1564">
          <cell r="A1564">
            <v>202123</v>
          </cell>
          <cell r="B1564" t="str">
            <v>Стул подъемно-поворотный Sheffilton SHT-ST29-С4/S120M СТ-487 графит/черный муар</v>
          </cell>
          <cell r="C1564">
            <v>4266.67</v>
          </cell>
          <cell r="E1564">
            <v>281</v>
          </cell>
          <cell r="F1564">
            <v>365</v>
          </cell>
        </row>
        <row r="1565">
          <cell r="A1565">
            <v>173118</v>
          </cell>
          <cell r="B1565" t="str">
            <v>Стул подъемно-поворотный Sheffilton SHT-ST31-C2/S120P  кремовый/черный муар</v>
          </cell>
          <cell r="C1565">
            <v>4806.67</v>
          </cell>
          <cell r="E1565">
            <v>317</v>
          </cell>
          <cell r="F1565">
            <v>412</v>
          </cell>
        </row>
        <row r="1566">
          <cell r="A1566">
            <v>202113</v>
          </cell>
          <cell r="B1566" t="str">
            <v>Стул подъемно-поворотный Sheffilton SHT-ST31/S120M  белый/черный муар</v>
          </cell>
          <cell r="C1566">
            <v>3870</v>
          </cell>
          <cell r="E1566">
            <v>255</v>
          </cell>
          <cell r="F1566">
            <v>332</v>
          </cell>
        </row>
        <row r="1567">
          <cell r="A1567">
            <v>202114</v>
          </cell>
          <cell r="B1567" t="str">
            <v>Стул подъемно-поворотный Sheffilton SHT-ST31/S120M  красный/черный муар</v>
          </cell>
          <cell r="C1567">
            <v>3870</v>
          </cell>
          <cell r="E1567">
            <v>255</v>
          </cell>
          <cell r="F1567">
            <v>332</v>
          </cell>
        </row>
        <row r="1568">
          <cell r="A1568">
            <v>173115</v>
          </cell>
          <cell r="B1568" t="str">
            <v>Стул подъемно-поворотный Sheffilton SHT-ST31/S120P  красный/черный муар</v>
          </cell>
          <cell r="C1568">
            <v>3296.67</v>
          </cell>
          <cell r="E1568">
            <v>217</v>
          </cell>
          <cell r="F1568">
            <v>282</v>
          </cell>
        </row>
        <row r="1569">
          <cell r="A1569">
            <v>202127</v>
          </cell>
          <cell r="B1569" t="str">
            <v>Стул подъемно-поворотный Sheffilton SHT-ST31-С1/S120M СТ-465 ледяная лаванда/черный муар</v>
          </cell>
          <cell r="C1569">
            <v>5300</v>
          </cell>
          <cell r="E1569">
            <v>349</v>
          </cell>
          <cell r="F1569">
            <v>454</v>
          </cell>
        </row>
        <row r="1570">
          <cell r="A1570">
            <v>202126</v>
          </cell>
          <cell r="B1570" t="str">
            <v>Стул подъемно-поворотный Sheffilton SHT-ST31-С2/S120M  аквамарин/черный муар</v>
          </cell>
          <cell r="C1570">
            <v>5353.33</v>
          </cell>
          <cell r="E1570">
            <v>353</v>
          </cell>
          <cell r="F1570">
            <v>459</v>
          </cell>
        </row>
        <row r="1571">
          <cell r="A1571">
            <v>202128</v>
          </cell>
          <cell r="B1571" t="str">
            <v>Стул подъемно-поворотный Sheffilton SHT-ST31-С2/S120М СТ-436 кремовый/черный муар</v>
          </cell>
          <cell r="C1571">
            <v>5380</v>
          </cell>
          <cell r="E1571">
            <v>354</v>
          </cell>
          <cell r="F1571">
            <v>460</v>
          </cell>
        </row>
        <row r="1572">
          <cell r="A1572">
            <v>206781</v>
          </cell>
          <cell r="B1572" t="str">
            <v>Стул подъемно-поворотный Sheffilton SHT-ST33-1/S120M  альпийский бирюзовый/черный муар</v>
          </cell>
          <cell r="C1572">
            <v>6406.67</v>
          </cell>
          <cell r="E1572">
            <v>422</v>
          </cell>
          <cell r="F1572">
            <v>549</v>
          </cell>
        </row>
        <row r="1573">
          <cell r="A1573">
            <v>206381</v>
          </cell>
          <cell r="B1573" t="str">
            <v>Стул подъемно-поворотный Sheffilton SHT-ST33/S120M СТ-473 синий лед/черный муар</v>
          </cell>
          <cell r="C1573">
            <v>5893.33</v>
          </cell>
          <cell r="E1573">
            <v>388</v>
          </cell>
          <cell r="F1573">
            <v>504</v>
          </cell>
        </row>
        <row r="1574">
          <cell r="A1574">
            <v>206738</v>
          </cell>
          <cell r="B1574" t="str">
            <v>Стул подъемно-поворотный Sheffilton SHT-ST33/S120M СТ-473 сиреневая орхидея/черный муар</v>
          </cell>
          <cell r="C1574">
            <v>5820</v>
          </cell>
          <cell r="E1574">
            <v>383</v>
          </cell>
          <cell r="F1574">
            <v>498</v>
          </cell>
        </row>
        <row r="1575">
          <cell r="A1575">
            <v>202493</v>
          </cell>
          <cell r="B1575" t="str">
            <v>Стул подъемно-поворотный Sheffilton SHT-ST34-1/S120M  голубая пастель/черный муар</v>
          </cell>
          <cell r="C1575">
            <v>5500</v>
          </cell>
          <cell r="E1575">
            <v>362</v>
          </cell>
          <cell r="F1575">
            <v>471</v>
          </cell>
        </row>
        <row r="1576">
          <cell r="A1576">
            <v>202492</v>
          </cell>
          <cell r="B1576" t="str">
            <v>Стул подъемно-поворотный Sheffilton SHT-ST34/S120M  синий мираж/черный муар</v>
          </cell>
          <cell r="C1576">
            <v>5580</v>
          </cell>
          <cell r="E1576">
            <v>368</v>
          </cell>
          <cell r="F1576">
            <v>478</v>
          </cell>
        </row>
        <row r="1577">
          <cell r="A1577">
            <v>173206</v>
          </cell>
          <cell r="B1577" t="str">
            <v>Стул подъемно-поворотный Sheffilton SHT-ST34/S120P СТ-288 платиново-серый/черный муар</v>
          </cell>
          <cell r="C1577">
            <v>4626.67</v>
          </cell>
          <cell r="E1577">
            <v>305</v>
          </cell>
          <cell r="F1577">
            <v>397</v>
          </cell>
        </row>
        <row r="1578">
          <cell r="A1578">
            <v>202497</v>
          </cell>
          <cell r="B1578" t="str">
            <v>Стул подъемно-поворотный Sheffilton SHT-ST35-1/S120M  имперский желтый/черный муар</v>
          </cell>
          <cell r="C1578">
            <v>5293.33</v>
          </cell>
          <cell r="E1578">
            <v>349</v>
          </cell>
          <cell r="F1578">
            <v>454</v>
          </cell>
        </row>
        <row r="1579">
          <cell r="A1579">
            <v>209249</v>
          </cell>
          <cell r="B1579" t="str">
            <v>Стул подъемно-поворотный Sheffilton SHT-ST35-1/S120M  угольно-серый/черный муар</v>
          </cell>
          <cell r="C1579">
            <v>5293.33</v>
          </cell>
          <cell r="E1579">
            <v>349</v>
          </cell>
          <cell r="F1579">
            <v>454</v>
          </cell>
        </row>
        <row r="1580">
          <cell r="A1580">
            <v>202498</v>
          </cell>
          <cell r="B1580" t="str">
            <v>Стул подъемно-поворотный Sheffilton SHT-ST35-2/S120M  лиственно-зеленый/черный муар</v>
          </cell>
          <cell r="C1580">
            <v>5373.33</v>
          </cell>
          <cell r="E1580">
            <v>354</v>
          </cell>
          <cell r="F1580">
            <v>460</v>
          </cell>
        </row>
        <row r="1581">
          <cell r="A1581">
            <v>209709</v>
          </cell>
          <cell r="B1581" t="str">
            <v>Стул подъемно-поворотный Sheffilton SHT-ST35/S120M  горчичный/черный муар</v>
          </cell>
          <cell r="C1581">
            <v>5080</v>
          </cell>
          <cell r="E1581">
            <v>335</v>
          </cell>
          <cell r="F1581">
            <v>436</v>
          </cell>
        </row>
        <row r="1582">
          <cell r="A1582">
            <v>209036</v>
          </cell>
          <cell r="B1582" t="str">
            <v>Стул подъемно-поворотный Sheffilton SHT-ST35/S120M  тихий океан/черный муар</v>
          </cell>
          <cell r="C1582">
            <v>5040</v>
          </cell>
          <cell r="E1582">
            <v>332</v>
          </cell>
          <cell r="F1582">
            <v>432</v>
          </cell>
        </row>
        <row r="1583">
          <cell r="A1583">
            <v>202496</v>
          </cell>
          <cell r="B1583" t="str">
            <v>Стул подъемно-поворотный Sheffilton SHT-ST35/S120M  ягодное варенье/черный муар</v>
          </cell>
          <cell r="C1583">
            <v>5033.33</v>
          </cell>
          <cell r="E1583">
            <v>332</v>
          </cell>
          <cell r="F1583">
            <v>432</v>
          </cell>
        </row>
        <row r="1584">
          <cell r="A1584">
            <v>202494</v>
          </cell>
          <cell r="B1584" t="str">
            <v>Стул подъемно-поворотный Sheffilton SHT-ST35/S120M СТ-262 кофейный ликер/черный муар</v>
          </cell>
          <cell r="C1584">
            <v>5040</v>
          </cell>
          <cell r="E1584">
            <v>332</v>
          </cell>
          <cell r="F1584">
            <v>432</v>
          </cell>
        </row>
        <row r="1585">
          <cell r="A1585">
            <v>202499</v>
          </cell>
          <cell r="B1585" t="str">
            <v>Стул подъемно-поворотный Sheffilton SHT-ST36-1/S120M  песчаная буря/черный муар</v>
          </cell>
          <cell r="C1585">
            <v>5773.33</v>
          </cell>
          <cell r="E1585">
            <v>380</v>
          </cell>
          <cell r="F1585">
            <v>494</v>
          </cell>
        </row>
        <row r="1586">
          <cell r="A1586">
            <v>202503</v>
          </cell>
          <cell r="B1586" t="str">
            <v>Стул подъемно-поворотный Sheffilton SHT-ST36-1/S120M  тихий океан/черный муар</v>
          </cell>
          <cell r="C1586">
            <v>5740</v>
          </cell>
          <cell r="E1586">
            <v>378</v>
          </cell>
          <cell r="F1586">
            <v>491</v>
          </cell>
        </row>
        <row r="1587">
          <cell r="A1587">
            <v>204997</v>
          </cell>
          <cell r="B1587" t="str">
            <v>Стул подъемно-поворотный Sheffilton SHT-ST36-3/S120M  нежная мята/черный муар</v>
          </cell>
          <cell r="C1587">
            <v>5740</v>
          </cell>
          <cell r="E1587">
            <v>378</v>
          </cell>
          <cell r="F1587">
            <v>491</v>
          </cell>
        </row>
        <row r="1588">
          <cell r="A1588">
            <v>202505</v>
          </cell>
          <cell r="B1588" t="str">
            <v>Стул подъемно-поворотный Sheffilton SHT-ST36-3/S120M  нейтральный серый/черный муар</v>
          </cell>
          <cell r="C1588">
            <v>5640</v>
          </cell>
          <cell r="E1588">
            <v>372</v>
          </cell>
          <cell r="F1588">
            <v>484</v>
          </cell>
        </row>
        <row r="1589">
          <cell r="A1589">
            <v>205220</v>
          </cell>
          <cell r="B1589" t="str">
            <v>Стул подъемно-поворотный Sheffilton SHT-ST36-4/S120M  сумеречная орхидея/черный</v>
          </cell>
          <cell r="C1589">
            <v>5766.67</v>
          </cell>
          <cell r="E1589">
            <v>380</v>
          </cell>
          <cell r="F1589">
            <v>494</v>
          </cell>
        </row>
        <row r="1590">
          <cell r="A1590">
            <v>209468</v>
          </cell>
          <cell r="B1590" t="str">
            <v>Стул подъемно-поворотный Sheffilton SHT-ST36/S120M  ванильный сахар/черный</v>
          </cell>
          <cell r="C1590">
            <v>5673.33</v>
          </cell>
          <cell r="E1590">
            <v>374</v>
          </cell>
          <cell r="F1590">
            <v>486</v>
          </cell>
        </row>
        <row r="1591">
          <cell r="A1591">
            <v>209630</v>
          </cell>
          <cell r="B1591" t="str">
            <v>Стул подъемно-поворотный Sheffilton SHT-ST36/S120M СТ-497 ночное затмение/черный</v>
          </cell>
          <cell r="C1591">
            <v>5673.33</v>
          </cell>
          <cell r="E1591">
            <v>374</v>
          </cell>
          <cell r="F1591">
            <v>486</v>
          </cell>
        </row>
        <row r="1592">
          <cell r="A1592">
            <v>211901</v>
          </cell>
          <cell r="B1592" t="str">
            <v>Стул подъемно-поворотный Sheffilton SHT-ST37/S120M  горчичный/черный муар</v>
          </cell>
          <cell r="C1592">
            <v>5766.67</v>
          </cell>
          <cell r="E1592">
            <v>380</v>
          </cell>
          <cell r="F1592">
            <v>494</v>
          </cell>
        </row>
        <row r="1593">
          <cell r="A1593">
            <v>202131</v>
          </cell>
          <cell r="B1593" t="str">
            <v>Стул подъемно-поворотный Sheffilton SHT-ST37/S120M  серове облако/черный муар</v>
          </cell>
          <cell r="C1593">
            <v>5680</v>
          </cell>
          <cell r="E1593">
            <v>374</v>
          </cell>
          <cell r="F1593">
            <v>486</v>
          </cell>
        </row>
        <row r="1594">
          <cell r="A1594">
            <v>202130</v>
          </cell>
          <cell r="B1594" t="str">
            <v>Стул подъемно-поворотный Sheffilton SHT-ST37/S120M СТ-512 рубиновое вино/черный муар</v>
          </cell>
          <cell r="C1594">
            <v>5940</v>
          </cell>
          <cell r="E1594">
            <v>391</v>
          </cell>
          <cell r="F1594">
            <v>508</v>
          </cell>
        </row>
        <row r="1595">
          <cell r="A1595">
            <v>202125</v>
          </cell>
          <cell r="B1595" t="str">
            <v>Стул подъемно-поворотный Sheffilton SHT-ST38-1/S120M СТ-463 лунный мрамор/черный муар</v>
          </cell>
          <cell r="C1595">
            <v>6080</v>
          </cell>
          <cell r="E1595">
            <v>401</v>
          </cell>
          <cell r="F1595">
            <v>521</v>
          </cell>
        </row>
        <row r="1596">
          <cell r="A1596">
            <v>211498</v>
          </cell>
          <cell r="B1596" t="str">
            <v>Стул подъемно-поворотный Sheffilton SHT-ST38/S120M  альпийский бирюзовый/черный</v>
          </cell>
          <cell r="C1596">
            <v>6053.33</v>
          </cell>
          <cell r="E1596">
            <v>399</v>
          </cell>
          <cell r="F1596">
            <v>519</v>
          </cell>
        </row>
        <row r="1597">
          <cell r="A1597">
            <v>206851</v>
          </cell>
          <cell r="B1597" t="str">
            <v>Стул подъемно-поворотный Sheffilton SHT-ST38/S120M  синий пепел/черный</v>
          </cell>
          <cell r="C1597">
            <v>6053.33</v>
          </cell>
          <cell r="E1597">
            <v>399</v>
          </cell>
          <cell r="F1597">
            <v>519</v>
          </cell>
        </row>
        <row r="1598">
          <cell r="A1598">
            <v>202124</v>
          </cell>
          <cell r="B1598" t="str">
            <v>Стул подъемно-поворотный Sheffilton SHT-ST38/S120M СТ-463 угольно-серый/черный муар</v>
          </cell>
          <cell r="C1598">
            <v>6053.33</v>
          </cell>
          <cell r="E1598">
            <v>399</v>
          </cell>
          <cell r="F1598">
            <v>519</v>
          </cell>
        </row>
        <row r="1599">
          <cell r="A1599">
            <v>204195</v>
          </cell>
          <cell r="B1599" t="str">
            <v>Стул подъемно-поворотный Sheffilton SHT-ST85-2/S121М  бежевый/черный муар</v>
          </cell>
          <cell r="C1599">
            <v>4006.67</v>
          </cell>
          <cell r="E1599">
            <v>264</v>
          </cell>
          <cell r="F1599">
            <v>343</v>
          </cell>
        </row>
        <row r="1600">
          <cell r="A1600">
            <v>204196</v>
          </cell>
          <cell r="B1600" t="str">
            <v>Стул подъемно-поворотный Sheffilton SHT-ST85-2/S121М  бежевый/черный/черный муар</v>
          </cell>
          <cell r="C1600">
            <v>4006.67</v>
          </cell>
          <cell r="E1600">
            <v>264</v>
          </cell>
          <cell r="F1600">
            <v>343</v>
          </cell>
        </row>
        <row r="1601">
          <cell r="A1601">
            <v>204197</v>
          </cell>
          <cell r="B1601" t="str">
            <v>Стул подъемно-поворотный Sheffilton SHT-ST85-2/S121М  красный/черный муар</v>
          </cell>
          <cell r="C1601">
            <v>4006.67</v>
          </cell>
          <cell r="E1601">
            <v>264</v>
          </cell>
          <cell r="F1601">
            <v>343</v>
          </cell>
        </row>
        <row r="1602">
          <cell r="A1602">
            <v>204198</v>
          </cell>
          <cell r="B1602" t="str">
            <v>Стул подъемно-поворотный Sheffilton SHT-ST85-2/S121М  черный/черный муар</v>
          </cell>
          <cell r="C1602">
            <v>4040</v>
          </cell>
          <cell r="E1602">
            <v>266</v>
          </cell>
          <cell r="F1602">
            <v>346</v>
          </cell>
        </row>
        <row r="1603">
          <cell r="A1603">
            <v>173124</v>
          </cell>
          <cell r="B1603" t="str">
            <v>Стул подъемно-поворотный Sheffilton SHT-ST85/S121 СТ-280 красный/черный муар</v>
          </cell>
          <cell r="C1603">
            <v>3240</v>
          </cell>
          <cell r="E1603">
            <v>213</v>
          </cell>
          <cell r="F1603">
            <v>277</v>
          </cell>
        </row>
        <row r="1604">
          <cell r="A1604">
            <v>204190</v>
          </cell>
          <cell r="B1604" t="str">
            <v>Стул подъемно-поворотный Sheffilton SHT-ST85/S121М  бежевый/черный муар</v>
          </cell>
          <cell r="C1604">
            <v>3813.33</v>
          </cell>
          <cell r="E1604">
            <v>251</v>
          </cell>
          <cell r="F1604">
            <v>326</v>
          </cell>
        </row>
        <row r="1605">
          <cell r="A1605">
            <v>204191</v>
          </cell>
          <cell r="B1605" t="str">
            <v>Стул подъемно-поворотный Sheffilton SHT-ST85/S121М  бежевый/черный/черный муар</v>
          </cell>
          <cell r="C1605">
            <v>3813.33</v>
          </cell>
          <cell r="E1605">
            <v>251</v>
          </cell>
          <cell r="F1605">
            <v>326</v>
          </cell>
        </row>
        <row r="1606">
          <cell r="A1606">
            <v>204189</v>
          </cell>
          <cell r="B1606" t="str">
            <v>Стул подъемно-поворотный Sheffilton SHT-ST85/S121М  белый/бежевый/черный муар</v>
          </cell>
          <cell r="C1606">
            <v>3813.33</v>
          </cell>
          <cell r="E1606">
            <v>251</v>
          </cell>
          <cell r="F1606">
            <v>326</v>
          </cell>
        </row>
        <row r="1607">
          <cell r="A1607">
            <v>204188</v>
          </cell>
          <cell r="B1607" t="str">
            <v>Стул подъемно-поворотный Sheffilton SHT-ST85/S121М  белый/желтый/черный муар</v>
          </cell>
          <cell r="C1607">
            <v>3813.33</v>
          </cell>
          <cell r="E1607">
            <v>251</v>
          </cell>
          <cell r="F1607">
            <v>326</v>
          </cell>
        </row>
        <row r="1608">
          <cell r="A1608">
            <v>204186</v>
          </cell>
          <cell r="B1608" t="str">
            <v>Стул подъемно-поворотный Sheffilton SHT-ST85/S121М  белый/мятный/черный муар</v>
          </cell>
          <cell r="C1608">
            <v>3813.33</v>
          </cell>
          <cell r="E1608">
            <v>251</v>
          </cell>
          <cell r="F1608">
            <v>326</v>
          </cell>
        </row>
        <row r="1609">
          <cell r="A1609">
            <v>204187</v>
          </cell>
          <cell r="B1609" t="str">
            <v>Стул подъемно-поворотный Sheffilton SHT-ST85/S121М  белый/черный/черный муар</v>
          </cell>
          <cell r="C1609">
            <v>3813.33</v>
          </cell>
          <cell r="E1609">
            <v>251</v>
          </cell>
          <cell r="F1609">
            <v>326</v>
          </cell>
        </row>
        <row r="1610">
          <cell r="A1610">
            <v>204185</v>
          </cell>
          <cell r="B1610" t="str">
            <v>Стул подъемно-поворотный Sheffilton SHT-ST85/S121М  желтый/черный муар</v>
          </cell>
          <cell r="C1610">
            <v>3813.33</v>
          </cell>
          <cell r="E1610">
            <v>251</v>
          </cell>
          <cell r="F1610">
            <v>326</v>
          </cell>
        </row>
        <row r="1611">
          <cell r="A1611">
            <v>204184</v>
          </cell>
          <cell r="B1611" t="str">
            <v>Стул подъемно-поворотный Sheffilton SHT-ST85/S121М  желтый/черный/черный муар</v>
          </cell>
          <cell r="C1611">
            <v>3813.33</v>
          </cell>
          <cell r="E1611">
            <v>251</v>
          </cell>
          <cell r="F1611">
            <v>326</v>
          </cell>
        </row>
        <row r="1612">
          <cell r="A1612">
            <v>204194</v>
          </cell>
          <cell r="B1612" t="str">
            <v>Стул подъемно-поворотный Sheffilton SHT-ST85/S121М  черный/бежевый/черный муар</v>
          </cell>
          <cell r="C1612">
            <v>3813.33</v>
          </cell>
          <cell r="E1612">
            <v>251</v>
          </cell>
          <cell r="F1612">
            <v>326</v>
          </cell>
        </row>
        <row r="1613">
          <cell r="A1613">
            <v>204193</v>
          </cell>
          <cell r="B1613" t="str">
            <v>Стул подъемно-поворотный Sheffilton SHT-ST85/S121М  черный/желтый/черный муар</v>
          </cell>
          <cell r="C1613">
            <v>3813.33</v>
          </cell>
          <cell r="E1613">
            <v>251</v>
          </cell>
          <cell r="F1613">
            <v>326</v>
          </cell>
        </row>
        <row r="1614">
          <cell r="A1614">
            <v>204192</v>
          </cell>
          <cell r="B1614" t="str">
            <v>Стул подъемно-поворотный Sheffilton SHT-ST85/S121М СТ-495 черный/черный муар</v>
          </cell>
          <cell r="C1614">
            <v>3813.33</v>
          </cell>
          <cell r="E1614">
            <v>251</v>
          </cell>
          <cell r="F1614">
            <v>326</v>
          </cell>
        </row>
        <row r="1615">
          <cell r="A1615">
            <v>191932</v>
          </cell>
          <cell r="B1615" t="str">
            <v>Стул подъемно-поворотный SHT-ST29-C4/S120  графит/черный</v>
          </cell>
          <cell r="C1615">
            <v>3693.33</v>
          </cell>
          <cell r="E1615">
            <v>243</v>
          </cell>
          <cell r="F1615">
            <v>316</v>
          </cell>
        </row>
        <row r="1616">
          <cell r="A1616">
            <v>191753</v>
          </cell>
          <cell r="B1616" t="str">
            <v>Стул подъемно-поворотный SHT-ST34-1/S120  латте/черный</v>
          </cell>
          <cell r="C1616">
            <v>4886.67</v>
          </cell>
          <cell r="E1616">
            <v>322</v>
          </cell>
          <cell r="F1616">
            <v>419</v>
          </cell>
        </row>
        <row r="1617">
          <cell r="A1617">
            <v>194136</v>
          </cell>
          <cell r="B1617" t="str">
            <v>Стул подъемно-поворотный SHT-ST34\S120  синий мираж/черный</v>
          </cell>
          <cell r="C1617">
            <v>5006.67</v>
          </cell>
          <cell r="E1617">
            <v>330</v>
          </cell>
          <cell r="F1617">
            <v>429</v>
          </cell>
        </row>
        <row r="1618">
          <cell r="A1618">
            <v>191858</v>
          </cell>
          <cell r="B1618" t="str">
            <v>Стул подъемно-поворотный SHT-ST38-1/S120  лунный мрамор/черный</v>
          </cell>
          <cell r="C1618">
            <v>5506.67</v>
          </cell>
          <cell r="E1618">
            <v>363</v>
          </cell>
          <cell r="F1618">
            <v>472</v>
          </cell>
        </row>
        <row r="1619">
          <cell r="A1619">
            <v>196663</v>
          </cell>
          <cell r="B1619" t="str">
            <v>Стул подъёмно-поворотный SHT-ST36-1/S120  песчаная буря/черный</v>
          </cell>
          <cell r="C1619">
            <v>5200</v>
          </cell>
          <cell r="E1619">
            <v>343</v>
          </cell>
          <cell r="F1619">
            <v>446</v>
          </cell>
        </row>
        <row r="1620">
          <cell r="A1620">
            <v>144804</v>
          </cell>
          <cell r="B1620" t="str">
            <v>Стул полубарный Sheffilton SHT-ST19/S29-1 СТ-281 белый/черный муар</v>
          </cell>
          <cell r="C1620">
            <v>1720</v>
          </cell>
          <cell r="E1620">
            <v>113</v>
          </cell>
          <cell r="F1620">
            <v>147</v>
          </cell>
        </row>
        <row r="1621">
          <cell r="A1621">
            <v>144806</v>
          </cell>
          <cell r="B1621" t="str">
            <v>Стул полубарный Sheffilton SHT-ST19/S29-1 СТ-281 оранжевый/черный муар</v>
          </cell>
          <cell r="C1621">
            <v>1720</v>
          </cell>
          <cell r="E1621">
            <v>113</v>
          </cell>
          <cell r="F1621">
            <v>147</v>
          </cell>
        </row>
        <row r="1622">
          <cell r="A1622">
            <v>182131</v>
          </cell>
          <cell r="B1622" t="str">
            <v>Стул полубарный Sheffilton SHT-ST19/S65-1  желтый/светлый орех</v>
          </cell>
          <cell r="C1622">
            <v>4053.33</v>
          </cell>
          <cell r="E1622">
            <v>267</v>
          </cell>
          <cell r="F1622">
            <v>347</v>
          </cell>
        </row>
        <row r="1623">
          <cell r="A1623">
            <v>182130</v>
          </cell>
          <cell r="B1623" t="str">
            <v>Стул полубарный Sheffilton SHT-ST19/S65-1 СТ-333 белый/светлый орех</v>
          </cell>
          <cell r="C1623">
            <v>4053.33</v>
          </cell>
          <cell r="E1623">
            <v>267</v>
          </cell>
          <cell r="F1623">
            <v>347</v>
          </cell>
        </row>
        <row r="1624">
          <cell r="A1624">
            <v>181901</v>
          </cell>
          <cell r="B1624" t="str">
            <v>Стул полубарный Sheffilton SHT-ST19/S65-1 СТ-333 черный/венгe</v>
          </cell>
          <cell r="C1624">
            <v>4446.67</v>
          </cell>
          <cell r="E1624">
            <v>293</v>
          </cell>
          <cell r="F1624">
            <v>381</v>
          </cell>
        </row>
        <row r="1625">
          <cell r="A1625">
            <v>183194</v>
          </cell>
          <cell r="B1625" t="str">
            <v>Стул полубарный Sheffilton SHT-ST19/S80-1  оранжевый/прозрачный лак/черный</v>
          </cell>
          <cell r="C1625">
            <v>4206.67</v>
          </cell>
          <cell r="E1625">
            <v>277</v>
          </cell>
          <cell r="F1625">
            <v>360</v>
          </cell>
        </row>
        <row r="1626">
          <cell r="A1626">
            <v>183157</v>
          </cell>
          <cell r="B1626" t="str">
            <v>Стул полубарный Sheffilton SHT-ST19/S80-1  черный/прозрачный лак/черный</v>
          </cell>
          <cell r="C1626">
            <v>4173.33</v>
          </cell>
          <cell r="E1626">
            <v>275</v>
          </cell>
          <cell r="F1626">
            <v>358</v>
          </cell>
        </row>
        <row r="1627">
          <cell r="A1627">
            <v>151496</v>
          </cell>
          <cell r="B1627" t="str">
            <v>Стул полубарный Sheffilton SHT-ST19/S93  бежевый/браш.коричневый/черный муар</v>
          </cell>
          <cell r="C1627">
            <v>5473.33</v>
          </cell>
          <cell r="E1627">
            <v>361</v>
          </cell>
          <cell r="F1627">
            <v>469</v>
          </cell>
        </row>
        <row r="1628">
          <cell r="A1628">
            <v>151509</v>
          </cell>
          <cell r="B1628" t="str">
            <v>Стул полубарный Sheffilton SHT-ST19/S93  красный/браш.коричневый/черный муар</v>
          </cell>
          <cell r="C1628">
            <v>5473.33</v>
          </cell>
          <cell r="E1628">
            <v>361</v>
          </cell>
          <cell r="F1628">
            <v>469</v>
          </cell>
        </row>
        <row r="1629">
          <cell r="A1629">
            <v>198592</v>
          </cell>
          <cell r="B1629" t="str">
            <v>Стул полубарный Sheffilton SHT-ST19/S94-1  бежевый/прозрачный лак/черный муар</v>
          </cell>
          <cell r="C1629">
            <v>4000</v>
          </cell>
          <cell r="E1629">
            <v>264</v>
          </cell>
          <cell r="F1629">
            <v>343</v>
          </cell>
        </row>
        <row r="1630">
          <cell r="A1630">
            <v>189470</v>
          </cell>
          <cell r="B1630" t="str">
            <v>Стул полубарный Sheffilton SHT-ST19-SF1/S29-1 СТ-346 коричневый сахар/черный муар</v>
          </cell>
          <cell r="C1630">
            <v>2820</v>
          </cell>
          <cell r="E1630">
            <v>186</v>
          </cell>
          <cell r="F1630">
            <v>242</v>
          </cell>
        </row>
        <row r="1631">
          <cell r="A1631">
            <v>183155</v>
          </cell>
          <cell r="B1631" t="str">
            <v>Стул полубарный Sheffilton SHT-ST19-SF1/S65-1  коричневый сахар/светлый орех</v>
          </cell>
          <cell r="C1631">
            <v>5153.33</v>
          </cell>
          <cell r="E1631">
            <v>339</v>
          </cell>
          <cell r="F1631">
            <v>441</v>
          </cell>
        </row>
        <row r="1632">
          <cell r="A1632">
            <v>189467</v>
          </cell>
          <cell r="B1632" t="str">
            <v>Стул полубарный Sheffilton SHT-ST19-SF1/S66-1 СТ-82 коричневый сахар/черный муар</v>
          </cell>
          <cell r="C1632">
            <v>3613.33</v>
          </cell>
          <cell r="E1632">
            <v>238</v>
          </cell>
          <cell r="F1632">
            <v>309</v>
          </cell>
        </row>
        <row r="1633">
          <cell r="A1633">
            <v>183187</v>
          </cell>
          <cell r="B1633" t="str">
            <v>Стул полубарный Sheffilton SHT-ST19-SF1/S80-1 СТ-402 коричневый сахар/темный орех</v>
          </cell>
          <cell r="C1633">
            <v>5306.67</v>
          </cell>
          <cell r="E1633">
            <v>350</v>
          </cell>
          <cell r="F1633">
            <v>455</v>
          </cell>
        </row>
        <row r="1634">
          <cell r="A1634">
            <v>189471</v>
          </cell>
          <cell r="B1634" t="str">
            <v>Стул полубарный Sheffilton SHT-ST19-SF1/S92 СТ-449 коричневый сахар/браш.коричневый/черный</v>
          </cell>
          <cell r="C1634">
            <v>6826.67</v>
          </cell>
          <cell r="E1634">
            <v>450</v>
          </cell>
          <cell r="F1634">
            <v>585</v>
          </cell>
        </row>
        <row r="1635">
          <cell r="A1635">
            <v>183162</v>
          </cell>
          <cell r="B1635" t="str">
            <v>Стул полубарный Sheffilton SHT-ST19-SF1/S93 СТ-527 корич.сахар/браш коричневый/черн.муар</v>
          </cell>
          <cell r="C1635">
            <v>6573.33</v>
          </cell>
          <cell r="E1635">
            <v>433</v>
          </cell>
          <cell r="F1635">
            <v>563</v>
          </cell>
        </row>
        <row r="1636">
          <cell r="A1636">
            <v>209805</v>
          </cell>
          <cell r="B1636" t="str">
            <v>Стул полубарный Sheffilton SHT-ST19-SF2/S65-1  ванильный крем/прозрачный лак</v>
          </cell>
          <cell r="C1636">
            <v>5120</v>
          </cell>
          <cell r="E1636">
            <v>337</v>
          </cell>
          <cell r="F1636">
            <v>438</v>
          </cell>
        </row>
        <row r="1637">
          <cell r="A1637">
            <v>209804</v>
          </cell>
          <cell r="B1637" t="str">
            <v>Стул полубарный Sheffilton SHT-ST19-SF2/S66-1  ванильный крем/хром лак</v>
          </cell>
          <cell r="C1637">
            <v>3766.67</v>
          </cell>
          <cell r="E1637">
            <v>248</v>
          </cell>
          <cell r="F1637">
            <v>322</v>
          </cell>
        </row>
        <row r="1638">
          <cell r="A1638">
            <v>209808</v>
          </cell>
          <cell r="B1638" t="str">
            <v>Стул полубарный Sheffilton SHT-ST19-SF2/S80-1 СТ-524 ванильный крем/прозрачный лак/черный</v>
          </cell>
          <cell r="C1638">
            <v>5313.33</v>
          </cell>
          <cell r="E1638">
            <v>350</v>
          </cell>
          <cell r="F1638">
            <v>455</v>
          </cell>
        </row>
        <row r="1639">
          <cell r="A1639">
            <v>209809</v>
          </cell>
          <cell r="B1639" t="str">
            <v>Стул полубарный Sheffilton SHT-ST19-SF2/S94-1  ванильный крем/прозр. лак/черный муар</v>
          </cell>
          <cell r="C1639">
            <v>5140</v>
          </cell>
          <cell r="E1639">
            <v>339</v>
          </cell>
          <cell r="F1639">
            <v>441</v>
          </cell>
        </row>
        <row r="1640">
          <cell r="A1640">
            <v>183164</v>
          </cell>
          <cell r="B1640" t="str">
            <v>Стул полубарный Sheffilton SHT-ST29-C12/S80-1  ежевичное вино/темный орех/черный</v>
          </cell>
          <cell r="C1640">
            <v>5273.33</v>
          </cell>
          <cell r="E1640">
            <v>347</v>
          </cell>
          <cell r="F1640">
            <v>451</v>
          </cell>
        </row>
        <row r="1641">
          <cell r="A1641">
            <v>183147</v>
          </cell>
          <cell r="B1641" t="str">
            <v>Стул полубарный Sheffilton SHT-ST29-C1/S80-1  морская глубина/прозрачный лак/черный</v>
          </cell>
          <cell r="C1641">
            <v>5166.67</v>
          </cell>
          <cell r="E1641">
            <v>340</v>
          </cell>
          <cell r="F1641">
            <v>442</v>
          </cell>
        </row>
        <row r="1642">
          <cell r="A1642">
            <v>199892</v>
          </cell>
          <cell r="B1642" t="str">
            <v>Стул полубарный Sheffilton SHT-ST29-C22/S65-1  розовый зефир/венге</v>
          </cell>
          <cell r="C1642">
            <v>5900</v>
          </cell>
          <cell r="E1642">
            <v>389</v>
          </cell>
          <cell r="F1642">
            <v>506</v>
          </cell>
        </row>
        <row r="1643">
          <cell r="A1643">
            <v>199891</v>
          </cell>
          <cell r="B1643" t="str">
            <v>Стул полубарный Sheffilton SHT-ST29-C22/S80-1  розовый зефир/прозрачный лак/черный муар</v>
          </cell>
          <cell r="C1643">
            <v>5626.67</v>
          </cell>
          <cell r="E1643">
            <v>371</v>
          </cell>
          <cell r="F1643">
            <v>482</v>
          </cell>
        </row>
        <row r="1644">
          <cell r="A1644">
            <v>191995</v>
          </cell>
          <cell r="B1644" t="str">
            <v>Стул полубарный Sheffilton SHT-ST29-C4/S29-1 СТ-469 графит/черный муар</v>
          </cell>
          <cell r="C1644">
            <v>2720</v>
          </cell>
          <cell r="E1644">
            <v>179</v>
          </cell>
          <cell r="F1644">
            <v>233</v>
          </cell>
        </row>
        <row r="1645">
          <cell r="A1645">
            <v>192000</v>
          </cell>
          <cell r="B1645" t="str">
            <v>Стул полубарный Sheffilton SHT-ST29-C4/S66-1 СТ-464 графит/черный муар</v>
          </cell>
          <cell r="C1645">
            <v>3513.33</v>
          </cell>
          <cell r="E1645">
            <v>231</v>
          </cell>
          <cell r="F1645">
            <v>300</v>
          </cell>
        </row>
        <row r="1646">
          <cell r="A1646">
            <v>182457</v>
          </cell>
          <cell r="B1646" t="str">
            <v>Стул полубарный Sheffilton SHT-ST29-C/S80-1  пепельный/прозрачный лак/черный муар</v>
          </cell>
          <cell r="C1646">
            <v>5013.33</v>
          </cell>
          <cell r="E1646">
            <v>330</v>
          </cell>
          <cell r="F1646">
            <v>429</v>
          </cell>
        </row>
        <row r="1647">
          <cell r="A1647">
            <v>182160</v>
          </cell>
          <cell r="B1647" t="str">
            <v>Стул полубарный Sheffilton SHT-ST29/S65-1  желтый/венге</v>
          </cell>
          <cell r="C1647">
            <v>4726.67</v>
          </cell>
          <cell r="E1647">
            <v>311</v>
          </cell>
          <cell r="F1647">
            <v>404</v>
          </cell>
        </row>
        <row r="1648">
          <cell r="A1648">
            <v>182114</v>
          </cell>
          <cell r="B1648" t="str">
            <v>Стул полубарный Sheffilton SHT-ST29/S65-1  зеленый/светлый орех</v>
          </cell>
          <cell r="C1648">
            <v>4333.33</v>
          </cell>
          <cell r="E1648">
            <v>285</v>
          </cell>
          <cell r="F1648">
            <v>371</v>
          </cell>
        </row>
        <row r="1649">
          <cell r="A1649">
            <v>182112</v>
          </cell>
          <cell r="B1649" t="str">
            <v>Стул полубарный Sheffilton SHT-ST29/S65-1 СТ-505 бежевый/светлый орех</v>
          </cell>
          <cell r="C1649">
            <v>4333.33</v>
          </cell>
          <cell r="E1649">
            <v>285</v>
          </cell>
          <cell r="F1649">
            <v>371</v>
          </cell>
        </row>
        <row r="1650">
          <cell r="A1650">
            <v>183151</v>
          </cell>
          <cell r="B1650" t="str">
            <v>Стул полубарный Sheffilton SHT-ST29/S80-1  бежевый/прозрачный лак/черный</v>
          </cell>
          <cell r="C1650">
            <v>4453.33</v>
          </cell>
          <cell r="E1650">
            <v>293</v>
          </cell>
          <cell r="F1650">
            <v>381</v>
          </cell>
        </row>
        <row r="1651">
          <cell r="A1651">
            <v>183176</v>
          </cell>
          <cell r="B1651" t="str">
            <v>Стул полубарный Sheffilton SHT-ST29/S80-1  желтый/темный орех/черный</v>
          </cell>
          <cell r="C1651">
            <v>4486.67</v>
          </cell>
          <cell r="E1651">
            <v>296</v>
          </cell>
          <cell r="F1651">
            <v>385</v>
          </cell>
        </row>
        <row r="1652">
          <cell r="A1652">
            <v>183148</v>
          </cell>
          <cell r="B1652" t="str">
            <v>Стул полубарный Sheffilton SHT-ST29/S80-1  черный/прозрачный лак/черный</v>
          </cell>
          <cell r="C1652">
            <v>4453.33</v>
          </cell>
          <cell r="E1652">
            <v>293</v>
          </cell>
          <cell r="F1652">
            <v>381</v>
          </cell>
        </row>
        <row r="1653">
          <cell r="A1653">
            <v>181895</v>
          </cell>
          <cell r="B1653" t="str">
            <v>Стул полубарный Sheffilton SHT-ST29-С12/S65-1  коричневый сахар/венгe</v>
          </cell>
          <cell r="C1653">
            <v>5373.33</v>
          </cell>
          <cell r="E1653">
            <v>354</v>
          </cell>
          <cell r="F1653">
            <v>460</v>
          </cell>
        </row>
        <row r="1654">
          <cell r="A1654">
            <v>181645</v>
          </cell>
          <cell r="B1654" t="str">
            <v>Стул полубарный Sheffilton SHT-ST29-С1/S65-1 СТ-428 лунный камень/венгe</v>
          </cell>
          <cell r="C1654">
            <v>5440</v>
          </cell>
          <cell r="E1654">
            <v>358</v>
          </cell>
          <cell r="F1654">
            <v>465</v>
          </cell>
        </row>
        <row r="1655">
          <cell r="A1655">
            <v>182124</v>
          </cell>
          <cell r="B1655" t="str">
            <v>Стул полубарный Sheffilton SHT-ST29-С1/S65-1 СТ-428 морская глубина/светлый орех</v>
          </cell>
          <cell r="C1655">
            <v>5046.67</v>
          </cell>
          <cell r="E1655">
            <v>332</v>
          </cell>
          <cell r="F1655">
            <v>432</v>
          </cell>
        </row>
        <row r="1656">
          <cell r="A1656">
            <v>181894</v>
          </cell>
          <cell r="B1656" t="str">
            <v>Стул полубарный Sheffilton SHT-ST29-С20/S65-1 СТ-377 серый туман/венгe</v>
          </cell>
          <cell r="C1656">
            <v>5513.33</v>
          </cell>
          <cell r="E1656">
            <v>363</v>
          </cell>
          <cell r="F1656">
            <v>472</v>
          </cell>
        </row>
        <row r="1657">
          <cell r="A1657">
            <v>208252</v>
          </cell>
          <cell r="B1657" t="str">
            <v>Стул полубарный Sheffilton SHT-ST29-С/S65-1  жемчужный/прозрачный лак</v>
          </cell>
          <cell r="C1657">
            <v>4973.33</v>
          </cell>
          <cell r="E1657">
            <v>328</v>
          </cell>
          <cell r="F1657">
            <v>426</v>
          </cell>
        </row>
        <row r="1658">
          <cell r="A1658">
            <v>182129</v>
          </cell>
          <cell r="B1658" t="str">
            <v>Стул полубарный Sheffilton SHT-ST29-С/S65-1 СТ-339 пепельный/светлый орех</v>
          </cell>
          <cell r="C1658">
            <v>4893.33</v>
          </cell>
          <cell r="E1658">
            <v>322</v>
          </cell>
          <cell r="F1658">
            <v>419</v>
          </cell>
        </row>
        <row r="1659">
          <cell r="A1659">
            <v>182156</v>
          </cell>
          <cell r="B1659" t="str">
            <v>Стул полубарный Sheffilton SHT-ST31-C1/S65-1 СТ-356 пепельный/венге</v>
          </cell>
          <cell r="C1659">
            <v>6380</v>
          </cell>
          <cell r="E1659">
            <v>420</v>
          </cell>
          <cell r="F1659">
            <v>546</v>
          </cell>
        </row>
        <row r="1660">
          <cell r="A1660">
            <v>182159</v>
          </cell>
          <cell r="B1660" t="str">
            <v>Стул полубарный Sheffilton SHT-ST31-C2/S65-1  аквамарин/венге</v>
          </cell>
          <cell r="C1660">
            <v>6533.33</v>
          </cell>
          <cell r="E1660">
            <v>430</v>
          </cell>
          <cell r="F1660">
            <v>559</v>
          </cell>
        </row>
        <row r="1661">
          <cell r="A1661">
            <v>208250</v>
          </cell>
          <cell r="B1661" t="str">
            <v>Стул полубарный Sheffilton SHT-ST31-C2/S65-1  кремовый/прозрачный лак</v>
          </cell>
          <cell r="C1661">
            <v>6093.33</v>
          </cell>
          <cell r="E1661">
            <v>401</v>
          </cell>
          <cell r="F1661">
            <v>521</v>
          </cell>
        </row>
        <row r="1662">
          <cell r="A1662">
            <v>182109</v>
          </cell>
          <cell r="B1662" t="str">
            <v>Стул полубарный Sheffilton SHT-ST31-C2/S65-1 СТ-482 кремовый/светлый орех</v>
          </cell>
          <cell r="C1662">
            <v>6166.67</v>
          </cell>
          <cell r="E1662">
            <v>406</v>
          </cell>
          <cell r="F1662">
            <v>528</v>
          </cell>
        </row>
        <row r="1663">
          <cell r="A1663">
            <v>183181</v>
          </cell>
          <cell r="B1663" t="str">
            <v>Стул полубарный Sheffilton SHT-ST31-C2/S80-1  аквамарин/темный орех/черный</v>
          </cell>
          <cell r="C1663">
            <v>6293.33</v>
          </cell>
          <cell r="E1663">
            <v>415</v>
          </cell>
          <cell r="F1663">
            <v>540</v>
          </cell>
        </row>
        <row r="1664">
          <cell r="A1664">
            <v>182454</v>
          </cell>
          <cell r="B1664" t="str">
            <v>Стул полубарный Sheffilton SHT-ST31-C2/S80-1  кремовый/прозрачный лак/черный муар</v>
          </cell>
          <cell r="C1664">
            <v>6286.67</v>
          </cell>
          <cell r="E1664">
            <v>414</v>
          </cell>
          <cell r="F1664">
            <v>538</v>
          </cell>
        </row>
        <row r="1665">
          <cell r="A1665">
            <v>149657</v>
          </cell>
          <cell r="B1665" t="str">
            <v>Стул полубарный Sheffilton SHT-ST31/S29-1  красный/черный муар</v>
          </cell>
          <cell r="C1665">
            <v>2323.33</v>
          </cell>
          <cell r="E1665">
            <v>153</v>
          </cell>
          <cell r="F1665">
            <v>199</v>
          </cell>
        </row>
        <row r="1666">
          <cell r="A1666">
            <v>182108</v>
          </cell>
          <cell r="B1666" t="str">
            <v>Стул полубарный Sheffilton SHT-ST31/S65-1  белый/светлый орех</v>
          </cell>
          <cell r="C1666">
            <v>4656.67</v>
          </cell>
          <cell r="E1666">
            <v>307</v>
          </cell>
          <cell r="F1666">
            <v>399</v>
          </cell>
        </row>
        <row r="1667">
          <cell r="A1667">
            <v>183179</v>
          </cell>
          <cell r="B1667" t="str">
            <v>Стул полубарный Sheffilton SHT-ST31/S80-1  бежевый/темный орех/черный</v>
          </cell>
          <cell r="C1667">
            <v>4810</v>
          </cell>
          <cell r="E1667">
            <v>317</v>
          </cell>
          <cell r="F1667">
            <v>412</v>
          </cell>
        </row>
        <row r="1668">
          <cell r="A1668">
            <v>183152</v>
          </cell>
          <cell r="B1668" t="str">
            <v>Стул полубарный Sheffilton SHT-ST31/S80-1  белый/прозрачный лак/черный</v>
          </cell>
          <cell r="C1668">
            <v>4776.67</v>
          </cell>
          <cell r="E1668">
            <v>315</v>
          </cell>
          <cell r="F1668">
            <v>410</v>
          </cell>
        </row>
        <row r="1669">
          <cell r="A1669">
            <v>198593</v>
          </cell>
          <cell r="B1669" t="str">
            <v>Стул полубарный Sheffilton SHT-ST31/S94-1  белый/прозрачный лак/черный муар</v>
          </cell>
          <cell r="C1669">
            <v>4603.33</v>
          </cell>
          <cell r="E1669">
            <v>303</v>
          </cell>
          <cell r="F1669">
            <v>394</v>
          </cell>
        </row>
        <row r="1670">
          <cell r="A1670">
            <v>198594</v>
          </cell>
          <cell r="B1670" t="str">
            <v>Стул полубарный Sheffilton SHT-ST31/S94-1  черный/прозрачный лак/чёрный муар</v>
          </cell>
          <cell r="C1670">
            <v>4626.67</v>
          </cell>
          <cell r="E1670">
            <v>305</v>
          </cell>
          <cell r="F1670">
            <v>397</v>
          </cell>
        </row>
        <row r="1671">
          <cell r="A1671">
            <v>198600</v>
          </cell>
          <cell r="B1671" t="str">
            <v>Стул полубарный Sheffilton SHT-ST31-С1/S94-1  ледяная лаванда/прозр. лак/черный муар</v>
          </cell>
          <cell r="C1671">
            <v>6033.33</v>
          </cell>
          <cell r="E1671">
            <v>397</v>
          </cell>
          <cell r="F1671">
            <v>516</v>
          </cell>
        </row>
        <row r="1672">
          <cell r="A1672">
            <v>198601</v>
          </cell>
          <cell r="B1672" t="str">
            <v>Стул полубарный Sheffilton SHT-ST31-С1/S94-1  пепельный/прозр. лак/черный муар</v>
          </cell>
          <cell r="C1672">
            <v>5933.33</v>
          </cell>
          <cell r="E1672">
            <v>391</v>
          </cell>
          <cell r="F1672">
            <v>508</v>
          </cell>
        </row>
        <row r="1673">
          <cell r="A1673">
            <v>198599</v>
          </cell>
          <cell r="B1673" t="str">
            <v>Стул полубарный Sheffilton SHT-ST31-С2/S94-1  кремовый/прозр. лак/черный муар</v>
          </cell>
          <cell r="C1673">
            <v>6113.33</v>
          </cell>
          <cell r="E1673">
            <v>403</v>
          </cell>
          <cell r="F1673">
            <v>524</v>
          </cell>
        </row>
        <row r="1674">
          <cell r="A1674">
            <v>198598</v>
          </cell>
          <cell r="B1674" t="str">
            <v>Стул полубарный Sheffilton SHT-ST31-С3/S94-1  лунный камень/прозр. лак/черный муар</v>
          </cell>
          <cell r="C1674">
            <v>6093.33</v>
          </cell>
          <cell r="E1674">
            <v>401</v>
          </cell>
          <cell r="F1674">
            <v>521</v>
          </cell>
        </row>
        <row r="1675">
          <cell r="A1675">
            <v>206788</v>
          </cell>
          <cell r="B1675" t="str">
            <v>Стул полубарный Sheffilton SHT-ST33-1/S65-1  альпийский бирюзовый/венге</v>
          </cell>
          <cell r="C1675">
            <v>7586.67</v>
          </cell>
          <cell r="E1675">
            <v>500</v>
          </cell>
          <cell r="F1675">
            <v>650</v>
          </cell>
        </row>
        <row r="1676">
          <cell r="A1676">
            <v>206791</v>
          </cell>
          <cell r="B1676" t="str">
            <v>Стул полубарный Sheffilton SHT-ST33-1/S66-1  альпийский бирюзовый/черный муар</v>
          </cell>
          <cell r="C1676">
            <v>5653.33</v>
          </cell>
          <cell r="E1676">
            <v>372</v>
          </cell>
          <cell r="F1676">
            <v>484</v>
          </cell>
        </row>
        <row r="1677">
          <cell r="A1677">
            <v>206783</v>
          </cell>
          <cell r="B1677" t="str">
            <v>Стул полубарный Sheffilton SHT-ST33-1/S80-1  альпийский бирюзовый/прозрачный лак/черн</v>
          </cell>
          <cell r="C1677">
            <v>7313.33</v>
          </cell>
          <cell r="E1677">
            <v>482</v>
          </cell>
          <cell r="F1677">
            <v>627</v>
          </cell>
        </row>
        <row r="1678">
          <cell r="A1678">
            <v>211164</v>
          </cell>
          <cell r="B1678" t="str">
            <v>Стул полубарный Sheffilton SHT-ST33/S131-1  синий лед/черный муар</v>
          </cell>
          <cell r="C1678">
            <v>4733.33</v>
          </cell>
          <cell r="E1678">
            <v>312</v>
          </cell>
          <cell r="F1678">
            <v>406</v>
          </cell>
        </row>
        <row r="1679">
          <cell r="A1679">
            <v>211165</v>
          </cell>
          <cell r="B1679" t="str">
            <v>Стул полубарный Sheffilton SHT-ST33/S131-1  сиреневая орхидея/черный муар</v>
          </cell>
          <cell r="C1679">
            <v>4660</v>
          </cell>
          <cell r="E1679">
            <v>307</v>
          </cell>
          <cell r="F1679">
            <v>399</v>
          </cell>
        </row>
        <row r="1680">
          <cell r="A1680">
            <v>206745</v>
          </cell>
          <cell r="B1680" t="str">
            <v>Стул полубарный Sheffilton SHT-ST33/S65-1  сиреневая орхидея/венге</v>
          </cell>
          <cell r="C1680">
            <v>7000</v>
          </cell>
          <cell r="E1680">
            <v>461</v>
          </cell>
          <cell r="F1680">
            <v>599</v>
          </cell>
        </row>
        <row r="1681">
          <cell r="A1681">
            <v>206389</v>
          </cell>
          <cell r="B1681" t="str">
            <v>Стул полубарный Sheffilton SHT-ST33/S65-1 СТ-490 синий лед/венге</v>
          </cell>
          <cell r="C1681">
            <v>7073.33</v>
          </cell>
          <cell r="E1681">
            <v>466</v>
          </cell>
          <cell r="F1681">
            <v>606</v>
          </cell>
        </row>
        <row r="1682">
          <cell r="A1682">
            <v>206386</v>
          </cell>
          <cell r="B1682" t="str">
            <v>Стул полубарный Sheffilton SHT-ST33/S66-1  синий лед/хром лак</v>
          </cell>
          <cell r="C1682">
            <v>5253.33</v>
          </cell>
          <cell r="E1682">
            <v>346</v>
          </cell>
          <cell r="F1682">
            <v>450</v>
          </cell>
        </row>
        <row r="1683">
          <cell r="A1683">
            <v>206742</v>
          </cell>
          <cell r="B1683" t="str">
            <v>Стул полубарный Sheffilton SHT-ST33/S66-1  сиреневая орхидея/хром лак</v>
          </cell>
          <cell r="C1683">
            <v>5180</v>
          </cell>
          <cell r="E1683">
            <v>341</v>
          </cell>
          <cell r="F1683">
            <v>443</v>
          </cell>
        </row>
        <row r="1684">
          <cell r="A1684">
            <v>206391</v>
          </cell>
          <cell r="B1684" t="str">
            <v>Стул полубарный Sheffilton SHT-ST33/S80-1  синий лед/темный орех/черный</v>
          </cell>
          <cell r="C1684">
            <v>6833.33</v>
          </cell>
          <cell r="E1684">
            <v>450</v>
          </cell>
          <cell r="F1684">
            <v>585</v>
          </cell>
        </row>
        <row r="1685">
          <cell r="A1685">
            <v>206748</v>
          </cell>
          <cell r="B1685" t="str">
            <v>Стул полубарный Sheffilton SHT-ST33/S80-1  сиреневая орхидея/прозрачный лак/черный</v>
          </cell>
          <cell r="C1685">
            <v>6726.67</v>
          </cell>
          <cell r="E1685">
            <v>443</v>
          </cell>
          <cell r="F1685">
            <v>576</v>
          </cell>
        </row>
        <row r="1686">
          <cell r="A1686">
            <v>206749</v>
          </cell>
          <cell r="B1686" t="str">
            <v>Стул полубарный Sheffilton SHT-ST33/S94-1  сиреневая орхидея/прозр.лак/черн.муар</v>
          </cell>
          <cell r="C1686">
            <v>6553.33</v>
          </cell>
          <cell r="E1686">
            <v>432</v>
          </cell>
          <cell r="F1686">
            <v>562</v>
          </cell>
        </row>
        <row r="1687">
          <cell r="A1687">
            <v>211162</v>
          </cell>
          <cell r="B1687" t="str">
            <v>Стул полубарный Sheffilton SHT-ST34-1/S131-1  голубая пастель/черный муар</v>
          </cell>
          <cell r="C1687">
            <v>4340</v>
          </cell>
          <cell r="E1687">
            <v>286</v>
          </cell>
          <cell r="F1687">
            <v>372</v>
          </cell>
        </row>
        <row r="1688">
          <cell r="A1688">
            <v>191755</v>
          </cell>
          <cell r="B1688" t="str">
            <v>Стул полубарный Sheffilton SHT-ST34-1/S29-1  латте/черный муар</v>
          </cell>
          <cell r="C1688">
            <v>3913.33</v>
          </cell>
          <cell r="E1688">
            <v>258</v>
          </cell>
          <cell r="F1688">
            <v>335</v>
          </cell>
        </row>
        <row r="1689">
          <cell r="A1689">
            <v>194123</v>
          </cell>
          <cell r="B1689" t="str">
            <v>Стул полубарный Sheffilton SHT-ST34-1/S29-1 СТ-430 голубая пастель/черный муар</v>
          </cell>
          <cell r="C1689">
            <v>3953.33</v>
          </cell>
          <cell r="E1689">
            <v>260</v>
          </cell>
          <cell r="F1689">
            <v>338</v>
          </cell>
        </row>
        <row r="1690">
          <cell r="A1690">
            <v>191761</v>
          </cell>
          <cell r="B1690" t="str">
            <v>Стул полубарный Sheffilton SHT-ST34-1/S66-1  латте/черный муар</v>
          </cell>
          <cell r="C1690">
            <v>4706.67</v>
          </cell>
          <cell r="E1690">
            <v>310</v>
          </cell>
          <cell r="F1690">
            <v>403</v>
          </cell>
        </row>
        <row r="1691">
          <cell r="A1691">
            <v>191763</v>
          </cell>
          <cell r="B1691" t="str">
            <v>Стул полубарный Sheffilton SHT-ST34-1/S80-1  латте/прозрачный лак/черный</v>
          </cell>
          <cell r="C1691">
            <v>6366.67</v>
          </cell>
          <cell r="E1691">
            <v>419</v>
          </cell>
          <cell r="F1691">
            <v>545</v>
          </cell>
        </row>
        <row r="1692">
          <cell r="A1692">
            <v>194128</v>
          </cell>
          <cell r="B1692" t="str">
            <v>Стул полубарный Sheffilton SHT-ST34-1/S93  голубая пастель/дуб коричн.браш./черны</v>
          </cell>
          <cell r="C1692">
            <v>7706.67</v>
          </cell>
          <cell r="E1692">
            <v>508</v>
          </cell>
          <cell r="F1692">
            <v>660</v>
          </cell>
        </row>
        <row r="1693">
          <cell r="A1693">
            <v>199134</v>
          </cell>
          <cell r="B1693" t="str">
            <v>Стул полубарный Sheffilton SHT-ST34-1/S94-1  латте/прозр. лак/черный муар</v>
          </cell>
          <cell r="C1693">
            <v>6193.33</v>
          </cell>
          <cell r="E1693">
            <v>408</v>
          </cell>
          <cell r="F1693">
            <v>530</v>
          </cell>
        </row>
        <row r="1694">
          <cell r="A1694">
            <v>182154</v>
          </cell>
          <cell r="B1694" t="str">
            <v>Стул полубарный Sheffilton SHT-ST34/S65-1 СТ-361 платиново-серый/светлый орех</v>
          </cell>
          <cell r="C1694">
            <v>5986.67</v>
          </cell>
          <cell r="E1694">
            <v>394</v>
          </cell>
          <cell r="F1694">
            <v>512</v>
          </cell>
        </row>
        <row r="1695">
          <cell r="A1695">
            <v>194435</v>
          </cell>
          <cell r="B1695" t="str">
            <v>Стул полубарный  Sheffilton SHT-ST34/S66-1  синий мираж/хром лак</v>
          </cell>
          <cell r="C1695">
            <v>4940</v>
          </cell>
          <cell r="E1695">
            <v>325</v>
          </cell>
          <cell r="F1695">
            <v>423</v>
          </cell>
        </row>
        <row r="1696">
          <cell r="A1696">
            <v>189684</v>
          </cell>
          <cell r="B1696" t="str">
            <v>Стул полубарный Sheffilton SHT-ST34/S66-1 СТ-439 платиново-серый/черный муар</v>
          </cell>
          <cell r="C1696">
            <v>4446.67</v>
          </cell>
          <cell r="E1696">
            <v>293</v>
          </cell>
          <cell r="F1696">
            <v>381</v>
          </cell>
        </row>
        <row r="1697">
          <cell r="A1697">
            <v>183146</v>
          </cell>
          <cell r="B1697" t="str">
            <v>Стул полубарный Sheffilton SHT-ST34/S80-1  платиново-серый/прозрачный лак</v>
          </cell>
          <cell r="C1697">
            <v>6106.67</v>
          </cell>
          <cell r="E1697">
            <v>402</v>
          </cell>
          <cell r="F1697">
            <v>523</v>
          </cell>
        </row>
        <row r="1698">
          <cell r="A1698">
            <v>199133</v>
          </cell>
          <cell r="B1698" t="str">
            <v>Стул полубарный Sheffilton SHT-ST34/S94-1  синий мираж/прозр. лак/черный муар</v>
          </cell>
          <cell r="C1698">
            <v>6313.33</v>
          </cell>
          <cell r="E1698">
            <v>416</v>
          </cell>
          <cell r="F1698">
            <v>541</v>
          </cell>
        </row>
        <row r="1699">
          <cell r="A1699">
            <v>199136</v>
          </cell>
          <cell r="B1699" t="str">
            <v>Стул полубарный Sheffilton SHT-ST34/S94-1 СТ-424 платиново-серый/прозр. лак/черный муар</v>
          </cell>
          <cell r="C1699">
            <v>5933.33</v>
          </cell>
          <cell r="E1699">
            <v>391</v>
          </cell>
          <cell r="F1699">
            <v>508</v>
          </cell>
        </row>
        <row r="1700">
          <cell r="A1700">
            <v>211160</v>
          </cell>
          <cell r="B1700" t="str">
            <v>Стул полубарный Sheffilton SHT-ST35-1/S131-1  имперский желтый/черный муар</v>
          </cell>
          <cell r="C1700">
            <v>4133.33</v>
          </cell>
          <cell r="E1700">
            <v>272</v>
          </cell>
          <cell r="F1700">
            <v>354</v>
          </cell>
        </row>
        <row r="1701">
          <cell r="A1701">
            <v>190063</v>
          </cell>
          <cell r="B1701" t="str">
            <v>Стул полубарный Sheffilton SHT-ST35-1/S65-1  имперский желтый/светлый орех</v>
          </cell>
          <cell r="C1701">
            <v>6080</v>
          </cell>
          <cell r="E1701">
            <v>401</v>
          </cell>
          <cell r="F1701">
            <v>521</v>
          </cell>
        </row>
        <row r="1702">
          <cell r="A1702">
            <v>209256</v>
          </cell>
          <cell r="B1702" t="str">
            <v>Стул полубарный Sheffilton SHT-ST35-1/S65-1  угольно-серый/прозрачный лак</v>
          </cell>
          <cell r="C1702">
            <v>6006.67</v>
          </cell>
          <cell r="E1702">
            <v>396</v>
          </cell>
          <cell r="F1702">
            <v>515</v>
          </cell>
        </row>
        <row r="1703">
          <cell r="A1703">
            <v>209254</v>
          </cell>
          <cell r="B1703" t="str">
            <v>Стул полубарный Sheffilton SHT-ST35-1/S66-1  угольно-серый/хром лак</v>
          </cell>
          <cell r="C1703">
            <v>4653.33</v>
          </cell>
          <cell r="E1703">
            <v>307</v>
          </cell>
          <cell r="F1703">
            <v>399</v>
          </cell>
        </row>
        <row r="1704">
          <cell r="A1704">
            <v>209258</v>
          </cell>
          <cell r="B1704" t="str">
            <v>Стул полубарный Sheffilton SHT-ST35-1/S80-1  угольно-серый/темный орех/черный</v>
          </cell>
          <cell r="C1704">
            <v>6233.33</v>
          </cell>
          <cell r="E1704">
            <v>411</v>
          </cell>
          <cell r="F1704">
            <v>534</v>
          </cell>
        </row>
        <row r="1705">
          <cell r="A1705">
            <v>190064</v>
          </cell>
          <cell r="B1705" t="str">
            <v>Стул полубарный Sheffilton SHT-ST35-1/S93  имперский желтый/браш. кор./черн. муар</v>
          </cell>
          <cell r="C1705">
            <v>7500</v>
          </cell>
          <cell r="E1705">
            <v>494</v>
          </cell>
          <cell r="F1705">
            <v>642</v>
          </cell>
        </row>
        <row r="1706">
          <cell r="A1706">
            <v>199135</v>
          </cell>
          <cell r="B1706" t="str">
            <v>Стул полубарный Sheffilton SHT-ST35-1/S94-1  имперский желтый/прозр. лак/черный муар</v>
          </cell>
          <cell r="C1706">
            <v>6026.67</v>
          </cell>
          <cell r="E1706">
            <v>397</v>
          </cell>
          <cell r="F1706">
            <v>516</v>
          </cell>
        </row>
        <row r="1707">
          <cell r="A1707">
            <v>181045</v>
          </cell>
          <cell r="B1707" t="str">
            <v>Стул полубарный Sheffilton SHT-ST35-2/S65-1 СТ-345 лиственно-зеленый/венге</v>
          </cell>
          <cell r="C1707">
            <v>6553.33</v>
          </cell>
          <cell r="E1707">
            <v>432</v>
          </cell>
          <cell r="F1707">
            <v>562</v>
          </cell>
        </row>
        <row r="1708">
          <cell r="A1708">
            <v>181044</v>
          </cell>
          <cell r="B1708" t="str">
            <v>Стул полубарный Sheffilton SHT-ST35-2/S66-1 СТ-332 лиственно-зеленый/черный муар</v>
          </cell>
          <cell r="C1708">
            <v>4620</v>
          </cell>
          <cell r="E1708">
            <v>304</v>
          </cell>
          <cell r="F1708">
            <v>395</v>
          </cell>
        </row>
        <row r="1709">
          <cell r="A1709">
            <v>211161</v>
          </cell>
          <cell r="B1709" t="str">
            <v>Стул полубарный Sheffilton SHT-ST35/S131-1  ягодное варенье/черный муар</v>
          </cell>
          <cell r="C1709">
            <v>3873.33</v>
          </cell>
          <cell r="E1709">
            <v>255</v>
          </cell>
          <cell r="F1709">
            <v>332</v>
          </cell>
        </row>
        <row r="1710">
          <cell r="A1710">
            <v>209714</v>
          </cell>
          <cell r="B1710" t="str">
            <v>Стул полубарный Sheffilton SHT-ST35/S65-1  горчичный/прозрачный лак</v>
          </cell>
          <cell r="C1710">
            <v>5793.33</v>
          </cell>
          <cell r="E1710">
            <v>382</v>
          </cell>
          <cell r="F1710">
            <v>497</v>
          </cell>
        </row>
        <row r="1711">
          <cell r="A1711">
            <v>209039</v>
          </cell>
          <cell r="B1711" t="str">
            <v>Стул полубарный Sheffilton SHT-ST35/S65-1  тихий океан/венге</v>
          </cell>
          <cell r="C1711">
            <v>6220</v>
          </cell>
          <cell r="E1711">
            <v>410</v>
          </cell>
          <cell r="F1711">
            <v>533</v>
          </cell>
        </row>
        <row r="1712">
          <cell r="A1712">
            <v>182150</v>
          </cell>
          <cell r="B1712" t="str">
            <v>Стул полубарный Sheffilton SHT-ST35/S65-1 СТ-398 розовый десерт /светлый орех</v>
          </cell>
          <cell r="C1712">
            <v>5853.33</v>
          </cell>
          <cell r="E1712">
            <v>386</v>
          </cell>
          <cell r="F1712">
            <v>502</v>
          </cell>
        </row>
        <row r="1713">
          <cell r="A1713">
            <v>182155</v>
          </cell>
          <cell r="B1713" t="str">
            <v>Стул полубарный Sheffilton SHT-ST35/S65-1 СТ-398 ягодное варенье/венге</v>
          </cell>
          <cell r="C1713">
            <v>6213.33</v>
          </cell>
          <cell r="E1713">
            <v>409</v>
          </cell>
          <cell r="F1713">
            <v>532</v>
          </cell>
        </row>
        <row r="1714">
          <cell r="A1714">
            <v>209041</v>
          </cell>
          <cell r="B1714" t="str">
            <v>Стул полубарный Sheffilton SHT-ST35/S66-1 СТ-503 тихий океан/черный муар</v>
          </cell>
          <cell r="C1714">
            <v>4286.67</v>
          </cell>
          <cell r="E1714">
            <v>282</v>
          </cell>
          <cell r="F1714">
            <v>367</v>
          </cell>
        </row>
        <row r="1715">
          <cell r="A1715">
            <v>183170</v>
          </cell>
          <cell r="B1715" t="str">
            <v>Стул полубарный Sheffilton SHT-ST35/S80-1  кофейный ликер/темный орех/черный</v>
          </cell>
          <cell r="C1715">
            <v>5980</v>
          </cell>
          <cell r="E1715">
            <v>394</v>
          </cell>
          <cell r="F1715">
            <v>512</v>
          </cell>
        </row>
        <row r="1716">
          <cell r="A1716">
            <v>209720</v>
          </cell>
          <cell r="B1716" t="str">
            <v>Стул полубарный Sheffilton SHT-ST35/S94-1  горчичный/прозрачный лак/черный муар</v>
          </cell>
          <cell r="C1716">
            <v>5813.33</v>
          </cell>
          <cell r="E1716">
            <v>383</v>
          </cell>
          <cell r="F1716">
            <v>498</v>
          </cell>
        </row>
        <row r="1717">
          <cell r="A1717">
            <v>208247</v>
          </cell>
          <cell r="B1717" t="str">
            <v>Стул полубарный Sheffilton SHT-ST36-1/S65-1  песчаная буря/прозрачный лак</v>
          </cell>
          <cell r="C1717">
            <v>6486.67</v>
          </cell>
          <cell r="E1717">
            <v>427</v>
          </cell>
          <cell r="F1717">
            <v>555</v>
          </cell>
        </row>
        <row r="1718">
          <cell r="A1718">
            <v>188498</v>
          </cell>
          <cell r="B1718" t="str">
            <v>Стул полубарный Sheffilton SHT-ST36-1/S65-1  тихий океан/венге</v>
          </cell>
          <cell r="C1718">
            <v>6920</v>
          </cell>
          <cell r="E1718">
            <v>456</v>
          </cell>
          <cell r="F1718">
            <v>593</v>
          </cell>
        </row>
        <row r="1719">
          <cell r="A1719">
            <v>196804</v>
          </cell>
          <cell r="B1719" t="str">
            <v>Стул полубарный Sheffilton  SHT-ST36-1/S80-1  песчаная буря/прозрачный лак/черный муар</v>
          </cell>
          <cell r="C1719">
            <v>6680</v>
          </cell>
          <cell r="E1719">
            <v>440</v>
          </cell>
          <cell r="F1719">
            <v>572</v>
          </cell>
        </row>
        <row r="1720">
          <cell r="A1720">
            <v>188422</v>
          </cell>
          <cell r="B1720" t="str">
            <v>Стул полубарный Sheffilton SHT-ST36-1/S80-1  тихий океан/темный орех/черный муар</v>
          </cell>
          <cell r="C1720">
            <v>6680</v>
          </cell>
          <cell r="E1720">
            <v>440</v>
          </cell>
          <cell r="F1720">
            <v>572</v>
          </cell>
        </row>
        <row r="1721">
          <cell r="A1721">
            <v>196806</v>
          </cell>
          <cell r="B1721" t="str">
            <v>Стул полубарный Sheffilton SHT-ST36-1/S93  песчаная буря/браш.коричневый/черн. муар</v>
          </cell>
          <cell r="C1721">
            <v>7980</v>
          </cell>
          <cell r="E1721">
            <v>526</v>
          </cell>
          <cell r="F1721">
            <v>684</v>
          </cell>
        </row>
        <row r="1722">
          <cell r="A1722">
            <v>199137</v>
          </cell>
          <cell r="B1722" t="str">
            <v>Стул полубарный Sheffilton SHT-ST36-1/S94-1  тихий океан/прозр. лак/черный муар</v>
          </cell>
          <cell r="C1722">
            <v>6473.33</v>
          </cell>
          <cell r="E1722">
            <v>426</v>
          </cell>
          <cell r="F1722">
            <v>554</v>
          </cell>
        </row>
        <row r="1723">
          <cell r="A1723">
            <v>205003</v>
          </cell>
          <cell r="B1723" t="str">
            <v>Стул полубарный Sheffilton SHT-ST36-3/S65-1  нежная мята/венге</v>
          </cell>
          <cell r="C1723">
            <v>6920</v>
          </cell>
          <cell r="E1723">
            <v>456</v>
          </cell>
          <cell r="F1723">
            <v>593</v>
          </cell>
        </row>
        <row r="1724">
          <cell r="A1724">
            <v>208251</v>
          </cell>
          <cell r="B1724" t="str">
            <v>Стул полубарный Sheffilton SHT-ST36-3/S65-1  нежная мята/прозрачный лак</v>
          </cell>
          <cell r="C1724">
            <v>6453.33</v>
          </cell>
          <cell r="E1724">
            <v>425</v>
          </cell>
          <cell r="F1724">
            <v>553</v>
          </cell>
        </row>
        <row r="1725">
          <cell r="A1725">
            <v>185166</v>
          </cell>
          <cell r="B1725" t="str">
            <v>Стул полубарный Sheffilton SHT-ST36-3/S66 СТ-385 нейтральный серый/хром/лак</v>
          </cell>
          <cell r="C1725">
            <v>5000</v>
          </cell>
          <cell r="E1725">
            <v>329</v>
          </cell>
          <cell r="F1725">
            <v>428</v>
          </cell>
        </row>
        <row r="1726">
          <cell r="A1726">
            <v>205000</v>
          </cell>
          <cell r="B1726" t="str">
            <v>Стул полубарный Sheffilton SHT-ST36-3/S66-1  нежная мята/хром лак</v>
          </cell>
          <cell r="C1726">
            <v>5100</v>
          </cell>
          <cell r="E1726">
            <v>336</v>
          </cell>
          <cell r="F1726">
            <v>437</v>
          </cell>
        </row>
        <row r="1727">
          <cell r="A1727">
            <v>205005</v>
          </cell>
          <cell r="B1727" t="str">
            <v>Стул полубарный Sheffilton SHT-ST36-3/S80-1  нежная мята/темный орех/черный</v>
          </cell>
          <cell r="C1727">
            <v>6680</v>
          </cell>
          <cell r="E1727">
            <v>440</v>
          </cell>
          <cell r="F1727">
            <v>572</v>
          </cell>
        </row>
        <row r="1728">
          <cell r="A1728">
            <v>188368</v>
          </cell>
          <cell r="B1728" t="str">
            <v>Стул полубарный Sheffilton SHT-ST36-3/S80-1  нейтральный серый/прозрачный лак/черный</v>
          </cell>
          <cell r="C1728">
            <v>6546.67</v>
          </cell>
          <cell r="E1728">
            <v>431</v>
          </cell>
          <cell r="F1728">
            <v>560</v>
          </cell>
        </row>
        <row r="1729">
          <cell r="A1729">
            <v>199138</v>
          </cell>
          <cell r="B1729" t="str">
            <v>Стул полубарный Sheffilton SHT-ST36-3/S94-1  нейтральный серый/прозр. лак/черный муар</v>
          </cell>
          <cell r="C1729">
            <v>6373.33</v>
          </cell>
          <cell r="E1729">
            <v>420</v>
          </cell>
          <cell r="F1729">
            <v>546</v>
          </cell>
        </row>
        <row r="1730">
          <cell r="A1730">
            <v>211158</v>
          </cell>
          <cell r="B1730" t="str">
            <v>Стул полубарный Sheffilton SHT-ST36-4/S131-1  сумеречная орхидея/черный муар</v>
          </cell>
          <cell r="C1730">
            <v>4606.67</v>
          </cell>
          <cell r="E1730">
            <v>303</v>
          </cell>
          <cell r="F1730">
            <v>394</v>
          </cell>
        </row>
        <row r="1731">
          <cell r="A1731">
            <v>205285</v>
          </cell>
          <cell r="B1731" t="str">
            <v>Стул полубарный Sheffilton SHT-ST36-4/S65-1  сумеречная орхидея/светлый орех</v>
          </cell>
          <cell r="C1731">
            <v>6553.33</v>
          </cell>
          <cell r="E1731">
            <v>432</v>
          </cell>
          <cell r="F1731">
            <v>562</v>
          </cell>
        </row>
        <row r="1732">
          <cell r="A1732">
            <v>205279</v>
          </cell>
          <cell r="B1732" t="str">
            <v>Стул полубарный Sheffilton SHT-ST36-4/S66-1  сумеречная орхидея/хром лак</v>
          </cell>
          <cell r="C1732">
            <v>5126.67</v>
          </cell>
          <cell r="E1732">
            <v>338</v>
          </cell>
          <cell r="F1732">
            <v>439</v>
          </cell>
        </row>
        <row r="1733">
          <cell r="A1733">
            <v>211159</v>
          </cell>
          <cell r="B1733" t="str">
            <v>Стул полубарный Sheffilton SHT-ST36/S131-1  ночное затмение/черный муар</v>
          </cell>
          <cell r="C1733">
            <v>4513.33</v>
          </cell>
          <cell r="E1733">
            <v>297</v>
          </cell>
          <cell r="F1733">
            <v>386</v>
          </cell>
        </row>
        <row r="1734">
          <cell r="A1734">
            <v>209520</v>
          </cell>
          <cell r="B1734" t="str">
            <v>Стул полубарный Sheffilton SHT-ST36/S65-1  ванильный лак/светлый орех</v>
          </cell>
          <cell r="C1734">
            <v>6460</v>
          </cell>
          <cell r="E1734">
            <v>426</v>
          </cell>
          <cell r="F1734">
            <v>554</v>
          </cell>
        </row>
        <row r="1735">
          <cell r="A1735">
            <v>209639</v>
          </cell>
          <cell r="B1735" t="str">
            <v>Стул полубарный Sheffilton SHT-ST36/S65-1  ночное затмение/светлый орех</v>
          </cell>
          <cell r="C1735">
            <v>6460</v>
          </cell>
          <cell r="E1735">
            <v>426</v>
          </cell>
          <cell r="F1735">
            <v>554</v>
          </cell>
        </row>
        <row r="1736">
          <cell r="A1736">
            <v>209643</v>
          </cell>
          <cell r="B1736" t="str">
            <v>Стул полубарный Sheffilton SHT-ST36/S80-1  ночное затмение/темный орех/черный</v>
          </cell>
          <cell r="C1736">
            <v>6613.33</v>
          </cell>
          <cell r="E1736">
            <v>436</v>
          </cell>
          <cell r="F1736">
            <v>567</v>
          </cell>
        </row>
        <row r="1737">
          <cell r="A1737">
            <v>211157</v>
          </cell>
          <cell r="B1737" t="str">
            <v>Стул полубарный Sheffilton SHT-ST37/S131-1  рубиновое вино/черный муар</v>
          </cell>
          <cell r="C1737">
            <v>4520</v>
          </cell>
          <cell r="E1737">
            <v>298</v>
          </cell>
          <cell r="F1737">
            <v>387</v>
          </cell>
        </row>
        <row r="1738">
          <cell r="A1738">
            <v>211156</v>
          </cell>
          <cell r="B1738" t="str">
            <v>Стул полубарный Sheffilton SHT-ST37/S131-1  серое облако/черный муар</v>
          </cell>
          <cell r="C1738">
            <v>4520</v>
          </cell>
          <cell r="E1738">
            <v>298</v>
          </cell>
          <cell r="F1738">
            <v>387</v>
          </cell>
        </row>
        <row r="1739">
          <cell r="A1739">
            <v>212270</v>
          </cell>
          <cell r="B1739" t="str">
            <v>Стул полубарный Sheffilton SHT-ST37/S66-1  горчичный/черный муар</v>
          </cell>
          <cell r="C1739">
            <v>5013.33</v>
          </cell>
          <cell r="E1739">
            <v>330</v>
          </cell>
          <cell r="F1739">
            <v>429</v>
          </cell>
        </row>
        <row r="1740">
          <cell r="A1740">
            <v>180804</v>
          </cell>
          <cell r="B1740" t="str">
            <v>Стул полубарный Sheffilton SHT-ST37/S66-1 СТ-349 серое облако/черный муар</v>
          </cell>
          <cell r="C1740">
            <v>4926.67</v>
          </cell>
          <cell r="E1740">
            <v>325</v>
          </cell>
          <cell r="F1740">
            <v>423</v>
          </cell>
        </row>
        <row r="1741">
          <cell r="A1741">
            <v>212266</v>
          </cell>
          <cell r="B1741" t="str">
            <v>Стул полубарный Sheffilton SHT-ST37/S80-1  горчичный/темный орех/черный</v>
          </cell>
          <cell r="C1741">
            <v>6706.67</v>
          </cell>
          <cell r="E1741">
            <v>442</v>
          </cell>
          <cell r="F1741">
            <v>575</v>
          </cell>
        </row>
        <row r="1742">
          <cell r="A1742">
            <v>183192</v>
          </cell>
          <cell r="B1742" t="str">
            <v>Стул полубарный Sheffilton SHT-ST37/S80-1  рубиновое вино/темный орех/черный</v>
          </cell>
          <cell r="C1742">
            <v>6620</v>
          </cell>
          <cell r="E1742">
            <v>436</v>
          </cell>
          <cell r="F1742">
            <v>567</v>
          </cell>
        </row>
        <row r="1743">
          <cell r="A1743">
            <v>199140</v>
          </cell>
          <cell r="B1743" t="str">
            <v>Стул полубарный Sheffilton SHT-ST37/S94-1  серое облако/прозрачный лак/черный муар</v>
          </cell>
          <cell r="C1743">
            <v>6413.33</v>
          </cell>
          <cell r="E1743">
            <v>423</v>
          </cell>
          <cell r="F1743">
            <v>550</v>
          </cell>
        </row>
        <row r="1744">
          <cell r="A1744">
            <v>199139</v>
          </cell>
          <cell r="B1744" t="str">
            <v>Стул полубарный Sheffilton SHT-ST37/S94-1 СТ-451 рубиновое вино/прозр. лак/черный муар</v>
          </cell>
          <cell r="C1744">
            <v>6413.33</v>
          </cell>
          <cell r="E1744">
            <v>423</v>
          </cell>
          <cell r="F1744">
            <v>550</v>
          </cell>
        </row>
        <row r="1745">
          <cell r="A1745">
            <v>191840</v>
          </cell>
          <cell r="B1745" t="str">
            <v>Стул полубарный Sheffilton SHT-ST38-1/S65-1  лунный мрамор/венге</v>
          </cell>
          <cell r="C1745">
            <v>7260</v>
          </cell>
          <cell r="E1745">
            <v>478</v>
          </cell>
          <cell r="F1745">
            <v>621</v>
          </cell>
        </row>
        <row r="1746">
          <cell r="A1746">
            <v>208248</v>
          </cell>
          <cell r="B1746" t="str">
            <v>Стул полубарный Sheffilton SHT-ST38-1/S65-1  лунный мрамор/прозрачный лак</v>
          </cell>
          <cell r="C1746">
            <v>6793.33</v>
          </cell>
          <cell r="E1746">
            <v>448</v>
          </cell>
          <cell r="F1746">
            <v>582</v>
          </cell>
        </row>
        <row r="1747">
          <cell r="A1747">
            <v>191857</v>
          </cell>
          <cell r="B1747" t="str">
            <v>Стул полубарный Sheffilton SHT-ST38-1/S80-1 СТ-470 лунный мрамор/темный орех/черный</v>
          </cell>
          <cell r="C1747">
            <v>7020</v>
          </cell>
          <cell r="E1747">
            <v>462</v>
          </cell>
          <cell r="F1747">
            <v>601</v>
          </cell>
        </row>
        <row r="1748">
          <cell r="A1748">
            <v>198596</v>
          </cell>
          <cell r="B1748" t="str">
            <v>Стул полубарный Sheffilton SHT-ST38-1/S94-1  лунный мрамор/прозрачный лак/черный муар</v>
          </cell>
          <cell r="C1748">
            <v>6813.33</v>
          </cell>
          <cell r="E1748">
            <v>449</v>
          </cell>
          <cell r="F1748">
            <v>584</v>
          </cell>
        </row>
        <row r="1749">
          <cell r="A1749">
            <v>211163</v>
          </cell>
          <cell r="B1749" t="str">
            <v>Стул полубарный Sheffilton SHT-ST38/S131-1  синий пепел/черный муар</v>
          </cell>
          <cell r="C1749">
            <v>4893.33</v>
          </cell>
          <cell r="E1749">
            <v>322</v>
          </cell>
          <cell r="F1749">
            <v>419</v>
          </cell>
        </row>
        <row r="1750">
          <cell r="A1750">
            <v>211605</v>
          </cell>
          <cell r="B1750" t="str">
            <v>Стул полубарный Sheffilton SHT-ST38/S65-1  альпийский бирюзовый/светлый орех</v>
          </cell>
          <cell r="C1750">
            <v>6840</v>
          </cell>
          <cell r="E1750">
            <v>451</v>
          </cell>
          <cell r="F1750">
            <v>586</v>
          </cell>
        </row>
        <row r="1751">
          <cell r="A1751">
            <v>198375</v>
          </cell>
          <cell r="B1751" t="str">
            <v>Стул полубарный Sheffilton SHT-ST38/S65-1  зефирный/светлый орех</v>
          </cell>
          <cell r="C1751">
            <v>7080</v>
          </cell>
          <cell r="E1751">
            <v>466</v>
          </cell>
          <cell r="F1751">
            <v>606</v>
          </cell>
        </row>
        <row r="1752">
          <cell r="A1752">
            <v>206856</v>
          </cell>
          <cell r="B1752" t="str">
            <v>Стул полубарный Sheffilton SHT-ST38/S65-1  синий пепел/светлый орех</v>
          </cell>
          <cell r="C1752">
            <v>6840</v>
          </cell>
          <cell r="E1752">
            <v>451</v>
          </cell>
          <cell r="F1752">
            <v>586</v>
          </cell>
        </row>
        <row r="1753">
          <cell r="A1753">
            <v>190067</v>
          </cell>
          <cell r="B1753" t="str">
            <v>Стул полубарный Sheffilton SHT-ST38/S65-1  угольно-серый/венге</v>
          </cell>
          <cell r="C1753">
            <v>7233.33</v>
          </cell>
          <cell r="E1753">
            <v>477</v>
          </cell>
          <cell r="F1753">
            <v>620</v>
          </cell>
        </row>
        <row r="1754">
          <cell r="A1754">
            <v>211606</v>
          </cell>
          <cell r="B1754" t="str">
            <v>Стул полубарный Sheffilton SHT-ST38/S66-1  альпийский бирюзовый/черный муар</v>
          </cell>
          <cell r="C1754">
            <v>5300</v>
          </cell>
          <cell r="E1754">
            <v>349</v>
          </cell>
          <cell r="F1754">
            <v>454</v>
          </cell>
        </row>
        <row r="1755">
          <cell r="A1755">
            <v>198369</v>
          </cell>
          <cell r="B1755" t="str">
            <v>Стул полубарный Sheffilton SHT-ST38/S66-1 СТ-408 зефирный/хром лак</v>
          </cell>
          <cell r="C1755">
            <v>5653.33</v>
          </cell>
          <cell r="E1755">
            <v>372</v>
          </cell>
          <cell r="F1755">
            <v>484</v>
          </cell>
        </row>
        <row r="1756">
          <cell r="A1756">
            <v>206854</v>
          </cell>
          <cell r="B1756" t="str">
            <v>Стул полубарный Sheffilton SHT-ST38/S66-1 СТ-408 синий пепел/черный муар</v>
          </cell>
          <cell r="C1756">
            <v>5300</v>
          </cell>
          <cell r="E1756">
            <v>349</v>
          </cell>
          <cell r="F1756">
            <v>454</v>
          </cell>
        </row>
        <row r="1757">
          <cell r="A1757">
            <v>190070</v>
          </cell>
          <cell r="B1757" t="str">
            <v>Стул полубарный Sheffilton SHT-ST38/S66-1 СТ-408 угольно-серый/черный муар</v>
          </cell>
          <cell r="C1757">
            <v>5300</v>
          </cell>
          <cell r="E1757">
            <v>349</v>
          </cell>
          <cell r="F1757">
            <v>454</v>
          </cell>
        </row>
        <row r="1758">
          <cell r="A1758">
            <v>211608</v>
          </cell>
          <cell r="B1758" t="str">
            <v>Стул полубарный Sheffilton SHT-ST38/S80-1  альпийский бирюзовый/прозр. лак/черный</v>
          </cell>
          <cell r="C1758">
            <v>6960</v>
          </cell>
          <cell r="E1758">
            <v>459</v>
          </cell>
          <cell r="F1758">
            <v>597</v>
          </cell>
        </row>
        <row r="1759">
          <cell r="A1759">
            <v>198376</v>
          </cell>
          <cell r="B1759" t="str">
            <v>Стул полубарный Sheffilton SHT-ST38/S80-1  зефирный/темный орех/черный</v>
          </cell>
          <cell r="C1759">
            <v>7233.33</v>
          </cell>
          <cell r="E1759">
            <v>477</v>
          </cell>
          <cell r="F1759">
            <v>620</v>
          </cell>
        </row>
        <row r="1760">
          <cell r="A1760">
            <v>198597</v>
          </cell>
          <cell r="B1760" t="str">
            <v>Стул полубарный Sheffilton SHT-ST38/S94-1 СТ-523 угольно-серый/прозрачный лак/черный муар</v>
          </cell>
          <cell r="C1760">
            <v>6786.67</v>
          </cell>
          <cell r="E1760">
            <v>447</v>
          </cell>
          <cell r="F1760">
            <v>581</v>
          </cell>
        </row>
        <row r="1761">
          <cell r="A1761">
            <v>151489</v>
          </cell>
          <cell r="B1761" t="str">
            <v>Стул полубарный Sheffilton SHT-ST9/S93  браш.коричневый/черный муар</v>
          </cell>
          <cell r="C1761">
            <v>6366.67</v>
          </cell>
          <cell r="E1761">
            <v>419</v>
          </cell>
          <cell r="F1761">
            <v>545</v>
          </cell>
        </row>
        <row r="1762">
          <cell r="A1762">
            <v>192020</v>
          </cell>
          <cell r="B1762" t="str">
            <v>Стул полубарный SHT-ST19-SF1/S65-1 СТ-435 горький шоколад/венге</v>
          </cell>
          <cell r="C1762">
            <v>5480</v>
          </cell>
          <cell r="E1762">
            <v>361</v>
          </cell>
          <cell r="F1762">
            <v>469</v>
          </cell>
        </row>
        <row r="1763">
          <cell r="A1763">
            <v>192022</v>
          </cell>
          <cell r="B1763" t="str">
            <v>Стул полубарный SHT-ST19-SF1/S80-1 СТ-402 горький шоколад/темный орех/черный</v>
          </cell>
          <cell r="C1763">
            <v>5240</v>
          </cell>
          <cell r="E1763">
            <v>345</v>
          </cell>
          <cell r="F1763">
            <v>449</v>
          </cell>
        </row>
        <row r="1764">
          <cell r="A1764">
            <v>191997</v>
          </cell>
          <cell r="B1764" t="str">
            <v>Стул полубарный SHT-ST29-C4/S65-1  графит/венге</v>
          </cell>
          <cell r="C1764">
            <v>5446.67</v>
          </cell>
          <cell r="E1764">
            <v>359</v>
          </cell>
          <cell r="F1764">
            <v>467</v>
          </cell>
        </row>
        <row r="1765">
          <cell r="A1765">
            <v>191998</v>
          </cell>
          <cell r="B1765" t="str">
            <v>Стул полубарный SHT-ST29-C4/S65-1  графит/светлый орех</v>
          </cell>
          <cell r="C1765">
            <v>5053.33</v>
          </cell>
          <cell r="E1765">
            <v>333</v>
          </cell>
          <cell r="F1765">
            <v>433</v>
          </cell>
        </row>
        <row r="1766">
          <cell r="A1766">
            <v>192002</v>
          </cell>
          <cell r="B1766" t="str">
            <v>Стул полубарный SHT-ST29-C4/S80-1  графит/прозрачный лак/чёрный</v>
          </cell>
          <cell r="C1766">
            <v>5173.33</v>
          </cell>
          <cell r="E1766">
            <v>341</v>
          </cell>
          <cell r="F1766">
            <v>443</v>
          </cell>
        </row>
        <row r="1767">
          <cell r="A1767">
            <v>194120</v>
          </cell>
          <cell r="B1767" t="str">
            <v>Стул полубарный SHT-ST34-1/S65-1  голубая пастель/венге</v>
          </cell>
          <cell r="C1767">
            <v>6680</v>
          </cell>
          <cell r="E1767">
            <v>440</v>
          </cell>
          <cell r="F1767">
            <v>572</v>
          </cell>
        </row>
        <row r="1768">
          <cell r="A1768">
            <v>191759</v>
          </cell>
          <cell r="B1768" t="str">
            <v>Стул полубарный SHT-ST34-1/S65-1  латте/венге</v>
          </cell>
          <cell r="C1768">
            <v>6640</v>
          </cell>
          <cell r="E1768">
            <v>437</v>
          </cell>
          <cell r="F1768">
            <v>568</v>
          </cell>
        </row>
        <row r="1769">
          <cell r="A1769">
            <v>208249</v>
          </cell>
          <cell r="B1769" t="str">
            <v>Стул полубарный SHT-ST34-1/S65-1  латте/прозрачный лак</v>
          </cell>
          <cell r="C1769">
            <v>6173.33</v>
          </cell>
          <cell r="E1769">
            <v>407</v>
          </cell>
          <cell r="F1769">
            <v>529</v>
          </cell>
        </row>
        <row r="1770">
          <cell r="A1770">
            <v>194121</v>
          </cell>
          <cell r="B1770" t="str">
            <v>Стул полубарный SHT-ST34-1/S65-1 СТ-419 голубая пастель/светлый орех</v>
          </cell>
          <cell r="C1770">
            <v>6286.67</v>
          </cell>
          <cell r="E1770">
            <v>414</v>
          </cell>
          <cell r="F1770">
            <v>538</v>
          </cell>
        </row>
        <row r="1771">
          <cell r="A1771">
            <v>191758</v>
          </cell>
          <cell r="B1771" t="str">
            <v>Стул полубарный SHT-ST34-1/S65-1 СТ-419 латте/светлый орех</v>
          </cell>
          <cell r="C1771">
            <v>6246.67</v>
          </cell>
          <cell r="E1771">
            <v>412</v>
          </cell>
          <cell r="F1771">
            <v>536</v>
          </cell>
        </row>
        <row r="1772">
          <cell r="A1772">
            <v>194126</v>
          </cell>
          <cell r="B1772" t="str">
            <v>Стул полубарный SHT-ST34-1/S80-1  голубая пастель/темный орех/черный</v>
          </cell>
          <cell r="C1772">
            <v>6440</v>
          </cell>
          <cell r="E1772">
            <v>424</v>
          </cell>
          <cell r="F1772">
            <v>551</v>
          </cell>
        </row>
        <row r="1773">
          <cell r="A1773">
            <v>190062</v>
          </cell>
          <cell r="B1773" t="str">
            <v>Стул полубарный SHT-ST35-1/S66-1 СТ-357 имперский желтый/черный муар</v>
          </cell>
          <cell r="C1773">
            <v>4540</v>
          </cell>
          <cell r="E1773">
            <v>299</v>
          </cell>
          <cell r="F1773">
            <v>389</v>
          </cell>
        </row>
        <row r="1774">
          <cell r="A1774">
            <v>190061</v>
          </cell>
          <cell r="B1774" t="str">
            <v>Стул полубарный SHT-ST35-1/S80-1  имперский желтый/темный орех/черный</v>
          </cell>
          <cell r="C1774">
            <v>6233.33</v>
          </cell>
          <cell r="E1774">
            <v>411</v>
          </cell>
          <cell r="F1774">
            <v>534</v>
          </cell>
        </row>
        <row r="1775">
          <cell r="A1775">
            <v>183325</v>
          </cell>
          <cell r="B1775" t="str">
            <v>Стул полубарный SHT-ST35-2/S80-1 СТ-389 лиственно-зеленый/прозрачный лак/черный</v>
          </cell>
          <cell r="C1775">
            <v>6280</v>
          </cell>
          <cell r="E1775">
            <v>414</v>
          </cell>
          <cell r="F1775">
            <v>538</v>
          </cell>
        </row>
        <row r="1776">
          <cell r="A1776">
            <v>183303</v>
          </cell>
          <cell r="B1776" t="str">
            <v>Стул полубарный SHT-ST35/S80-1 СТ-378 розовый десерт/темный орех/черный</v>
          </cell>
          <cell r="C1776">
            <v>6006.67</v>
          </cell>
          <cell r="E1776">
            <v>396</v>
          </cell>
          <cell r="F1776">
            <v>515</v>
          </cell>
        </row>
        <row r="1777">
          <cell r="A1777">
            <v>196800</v>
          </cell>
          <cell r="B1777" t="str">
            <v>Стул полубарный SHT-ST36-1/S65  песчаная буря/венге</v>
          </cell>
          <cell r="C1777">
            <v>6953.33</v>
          </cell>
          <cell r="E1777">
            <v>458</v>
          </cell>
          <cell r="F1777">
            <v>595</v>
          </cell>
        </row>
        <row r="1778">
          <cell r="A1778">
            <v>196803</v>
          </cell>
          <cell r="B1778" t="str">
            <v>Стул полубарный SHT-ST36-1/S80-1  песчаная буря/темный орех/черный муар</v>
          </cell>
          <cell r="C1778">
            <v>6713.33</v>
          </cell>
          <cell r="E1778">
            <v>442</v>
          </cell>
          <cell r="F1778">
            <v>575</v>
          </cell>
        </row>
        <row r="1779">
          <cell r="A1779">
            <v>833698</v>
          </cell>
          <cell r="B1779" t="str">
            <v>Табурет Sheffilton SHT-S36 Т-36 гранит/черный муар</v>
          </cell>
          <cell r="C1779">
            <v>550</v>
          </cell>
          <cell r="E1779">
            <v>36</v>
          </cell>
          <cell r="F1779">
            <v>47</v>
          </cell>
        </row>
        <row r="1780">
          <cell r="A1780">
            <v>883096</v>
          </cell>
          <cell r="B1780" t="str">
            <v>Табурет Sheffilton SHT-S36 Т-36 желтый/черный</v>
          </cell>
          <cell r="C1780">
            <v>550</v>
          </cell>
          <cell r="E1780">
            <v>36</v>
          </cell>
          <cell r="F1780">
            <v>47</v>
          </cell>
        </row>
        <row r="1781">
          <cell r="A1781">
            <v>197671</v>
          </cell>
          <cell r="B1781" t="str">
            <v>Табурет Sheffilton SHT-S36 Т-36 оранжевый/черный</v>
          </cell>
          <cell r="C1781">
            <v>550</v>
          </cell>
          <cell r="E1781">
            <v>36</v>
          </cell>
          <cell r="F1781">
            <v>47</v>
          </cell>
        </row>
        <row r="1782">
          <cell r="A1782">
            <v>843780</v>
          </cell>
          <cell r="B1782" t="str">
            <v>Табурет Sheffilton SHT-S36 Т-36 синий/хром</v>
          </cell>
          <cell r="C1782">
            <v>570</v>
          </cell>
          <cell r="E1782">
            <v>38</v>
          </cell>
          <cell r="F1782">
            <v>49</v>
          </cell>
        </row>
        <row r="1783">
          <cell r="A1783">
            <v>833372</v>
          </cell>
          <cell r="B1783" t="str">
            <v>Табурет Sheffilton SHT-S36 Т-36 фиолетовый/серый</v>
          </cell>
          <cell r="C1783">
            <v>550</v>
          </cell>
          <cell r="E1783">
            <v>36</v>
          </cell>
          <cell r="F1783">
            <v>47</v>
          </cell>
        </row>
        <row r="1784">
          <cell r="A1784">
            <v>883098</v>
          </cell>
          <cell r="B1784" t="str">
            <v>Табурет Sheffilton SHT-S36 Т-36 черный/черный</v>
          </cell>
          <cell r="C1784">
            <v>523.33000000000004</v>
          </cell>
          <cell r="E1784">
            <v>34</v>
          </cell>
          <cell r="F1784">
            <v>44</v>
          </cell>
        </row>
        <row r="1785">
          <cell r="A1785">
            <v>833696</v>
          </cell>
          <cell r="B1785" t="str">
            <v>Табурет Sheffilton SHT-S36 Т-36 шоколадный/ваниль</v>
          </cell>
          <cell r="C1785">
            <v>550</v>
          </cell>
          <cell r="E1785">
            <v>36</v>
          </cell>
          <cell r="F1785">
            <v>47</v>
          </cell>
        </row>
        <row r="1786">
          <cell r="A1786">
            <v>818958</v>
          </cell>
          <cell r="B1786" t="str">
            <v>Табурет складной Sheffilton SHT-S6 Т-6 хром/бук (+)</v>
          </cell>
          <cell r="C1786">
            <v>840</v>
          </cell>
          <cell r="E1786">
            <v>55</v>
          </cell>
          <cell r="F1786">
            <v>72</v>
          </cell>
        </row>
        <row r="1787">
          <cell r="A1787">
            <v>818960</v>
          </cell>
          <cell r="B1787" t="str">
            <v>Табурет складной Sheffilton SHT-S6 Т-6 хром/венге</v>
          </cell>
          <cell r="C1787">
            <v>840</v>
          </cell>
          <cell r="E1787">
            <v>55</v>
          </cell>
          <cell r="F1787">
            <v>72</v>
          </cell>
        </row>
        <row r="1788">
          <cell r="A1788">
            <v>139372</v>
          </cell>
          <cell r="B1788" t="str">
            <v>Основание для стола Sheffilton SHT-TU10 TU14 белый</v>
          </cell>
          <cell r="C1788">
            <v>526.66999999999996</v>
          </cell>
          <cell r="E1788">
            <v>35</v>
          </cell>
          <cell r="F1788">
            <v>46</v>
          </cell>
        </row>
        <row r="1789">
          <cell r="A1789">
            <v>929727</v>
          </cell>
          <cell r="B1789" t="str">
            <v>Основание для стола Sheffilton SHT-TU10 TU14 хром лак</v>
          </cell>
          <cell r="C1789">
            <v>613.33000000000004</v>
          </cell>
          <cell r="E1789">
            <v>40</v>
          </cell>
          <cell r="F1789">
            <v>52</v>
          </cell>
        </row>
        <row r="1790">
          <cell r="A1790">
            <v>918973</v>
          </cell>
          <cell r="B1790" t="str">
            <v>Основание для стола Sheffilton SHT-TU10 TU14 черный</v>
          </cell>
          <cell r="C1790">
            <v>526.66999999999996</v>
          </cell>
          <cell r="E1790">
            <v>35</v>
          </cell>
          <cell r="F1790">
            <v>46</v>
          </cell>
        </row>
        <row r="1791">
          <cell r="A1791">
            <v>920084</v>
          </cell>
          <cell r="B1791" t="str">
            <v>Основание для стола Sheffilton SHT-TU11 TU17 черный/зол.патина</v>
          </cell>
          <cell r="C1791">
            <v>10000</v>
          </cell>
          <cell r="E1791">
            <v>659</v>
          </cell>
          <cell r="F1791">
            <v>857</v>
          </cell>
        </row>
        <row r="1792">
          <cell r="A1792">
            <v>923716</v>
          </cell>
          <cell r="B1792" t="str">
            <v>Основание для стола Sheffilton SHT-TU12 TU15 черный/темный орех</v>
          </cell>
          <cell r="C1792">
            <v>780</v>
          </cell>
          <cell r="E1792">
            <v>51</v>
          </cell>
          <cell r="F1792">
            <v>66</v>
          </cell>
        </row>
        <row r="1793">
          <cell r="A1793">
            <v>944219</v>
          </cell>
          <cell r="B1793" t="str">
            <v>Основание для стола Sheffilton SHT-TU13 TU26 черный муар</v>
          </cell>
          <cell r="C1793">
            <v>2053.33</v>
          </cell>
          <cell r="E1793">
            <v>135</v>
          </cell>
          <cell r="F1793">
            <v>176</v>
          </cell>
        </row>
        <row r="1794">
          <cell r="A1794">
            <v>950564</v>
          </cell>
          <cell r="B1794" t="str">
            <v>Основание для стола Sheffilton SHT-TU13/H110 TU27 черный муар</v>
          </cell>
          <cell r="C1794">
            <v>2340</v>
          </cell>
          <cell r="E1794">
            <v>154</v>
          </cell>
          <cell r="F1794">
            <v>200</v>
          </cell>
        </row>
        <row r="1795">
          <cell r="A1795">
            <v>203264</v>
          </cell>
          <cell r="B1795" t="str">
            <v>Основание для стола Sheffilton SHT-TU14 TU20 белый муар</v>
          </cell>
          <cell r="C1795">
            <v>580</v>
          </cell>
          <cell r="E1795">
            <v>38</v>
          </cell>
          <cell r="F1795">
            <v>49</v>
          </cell>
        </row>
        <row r="1796">
          <cell r="A1796">
            <v>203286</v>
          </cell>
          <cell r="B1796" t="str">
            <v>Основание для стола Sheffilton SHT-TU14 TU20 белый муар/золото</v>
          </cell>
          <cell r="C1796">
            <v>620</v>
          </cell>
          <cell r="E1796">
            <v>41</v>
          </cell>
          <cell r="F1796">
            <v>53</v>
          </cell>
        </row>
        <row r="1797">
          <cell r="A1797">
            <v>986118</v>
          </cell>
          <cell r="B1797" t="str">
            <v>Основание для стола Sheffilton SHT-TU14 TU20 ваниль</v>
          </cell>
          <cell r="C1797">
            <v>586.66999999999996</v>
          </cell>
          <cell r="E1797">
            <v>39</v>
          </cell>
          <cell r="F1797">
            <v>51</v>
          </cell>
        </row>
        <row r="1798">
          <cell r="A1798">
            <v>944220</v>
          </cell>
          <cell r="B1798" t="str">
            <v>Основание для стола Sheffilton SHT-TU14 TU20 черный муар</v>
          </cell>
          <cell r="C1798">
            <v>553.33000000000004</v>
          </cell>
          <cell r="E1798">
            <v>36</v>
          </cell>
          <cell r="F1798">
            <v>47</v>
          </cell>
        </row>
        <row r="1799">
          <cell r="A1799">
            <v>189657</v>
          </cell>
          <cell r="B1799" t="str">
            <v>Основание для стола Sheffilton SHT-TU14 TU20 черный муар/золото</v>
          </cell>
          <cell r="C1799">
            <v>593.33000000000004</v>
          </cell>
          <cell r="E1799">
            <v>39</v>
          </cell>
          <cell r="F1799">
            <v>51</v>
          </cell>
        </row>
        <row r="1800">
          <cell r="A1800">
            <v>944221</v>
          </cell>
          <cell r="B1800" t="str">
            <v>Основание для стола Sheffilton SHT-TU15 TU21 медный металлик</v>
          </cell>
          <cell r="C1800">
            <v>640</v>
          </cell>
          <cell r="E1800">
            <v>42</v>
          </cell>
          <cell r="F1800">
            <v>55</v>
          </cell>
        </row>
        <row r="1801">
          <cell r="A1801">
            <v>944223</v>
          </cell>
          <cell r="B1801" t="str">
            <v>Основание для стола Sheffilton SHT-TU16 TU23 венге</v>
          </cell>
          <cell r="C1801">
            <v>973.33</v>
          </cell>
          <cell r="E1801">
            <v>64</v>
          </cell>
          <cell r="F1801">
            <v>83</v>
          </cell>
        </row>
        <row r="1802">
          <cell r="A1802">
            <v>974182</v>
          </cell>
          <cell r="B1802" t="str">
            <v>Основание для стола Sheffilton SHT-TU16 TU23 прозрачный лак</v>
          </cell>
          <cell r="C1802">
            <v>1093.33</v>
          </cell>
          <cell r="E1802">
            <v>72</v>
          </cell>
          <cell r="F1802">
            <v>94</v>
          </cell>
        </row>
        <row r="1803">
          <cell r="A1803">
            <v>974181</v>
          </cell>
          <cell r="B1803" t="str">
            <v>Основание для стола Sheffilton SHT-TU16 TU23 темный орех</v>
          </cell>
          <cell r="C1803">
            <v>993.33</v>
          </cell>
          <cell r="E1803">
            <v>65</v>
          </cell>
          <cell r="F1803">
            <v>85</v>
          </cell>
        </row>
        <row r="1804">
          <cell r="A1804">
            <v>945188</v>
          </cell>
          <cell r="B1804" t="str">
            <v>Основание для стола Sheffilton SHT-TU17 TU19 черный муар</v>
          </cell>
          <cell r="C1804">
            <v>673.33</v>
          </cell>
          <cell r="E1804">
            <v>44</v>
          </cell>
          <cell r="F1804">
            <v>57</v>
          </cell>
        </row>
        <row r="1805">
          <cell r="A1805">
            <v>986840</v>
          </cell>
          <cell r="B1805" t="str">
            <v>Основание для стола Sheffilton SHT-TU20 TU32 черный муар</v>
          </cell>
          <cell r="C1805">
            <v>3093.33</v>
          </cell>
          <cell r="E1805">
            <v>204</v>
          </cell>
          <cell r="F1805">
            <v>265</v>
          </cell>
        </row>
        <row r="1806">
          <cell r="A1806">
            <v>182940</v>
          </cell>
          <cell r="B1806" t="str">
            <v>Основание для стола Sheffilton SHT-TU2-1 TU24 золото</v>
          </cell>
          <cell r="C1806">
            <v>1526.67</v>
          </cell>
          <cell r="E1806">
            <v>101</v>
          </cell>
          <cell r="F1806">
            <v>131</v>
          </cell>
        </row>
        <row r="1807">
          <cell r="A1807">
            <v>954622</v>
          </cell>
          <cell r="B1807" t="str">
            <v>Основание для стола Sheffilton SHT-TU2-1 TU24 медный металлик (+)</v>
          </cell>
          <cell r="C1807">
            <v>1466.67</v>
          </cell>
          <cell r="E1807">
            <v>97</v>
          </cell>
          <cell r="F1807">
            <v>126</v>
          </cell>
        </row>
        <row r="1808">
          <cell r="A1808">
            <v>954623</v>
          </cell>
          <cell r="B1808" t="str">
            <v>Основание для стола Sheffilton SHT-TU2-1 TU24 хром лак (+)</v>
          </cell>
          <cell r="C1808">
            <v>1586.67</v>
          </cell>
          <cell r="E1808">
            <v>105</v>
          </cell>
          <cell r="F1808">
            <v>137</v>
          </cell>
        </row>
        <row r="1809">
          <cell r="A1809">
            <v>954624</v>
          </cell>
          <cell r="B1809" t="str">
            <v>Основание для стола Sheffilton SHT-TU2-1 TU24 черный муар (+)</v>
          </cell>
          <cell r="C1809">
            <v>1420</v>
          </cell>
          <cell r="E1809">
            <v>94</v>
          </cell>
          <cell r="F1809">
            <v>122</v>
          </cell>
        </row>
        <row r="1810">
          <cell r="A1810">
            <v>986740</v>
          </cell>
          <cell r="B1810" t="str">
            <v>Основание для стола Sheffilton SHT-TU22 TU34 дуб брашированный корич/черный муар (+)</v>
          </cell>
          <cell r="C1810">
            <v>7480</v>
          </cell>
          <cell r="E1810">
            <v>493</v>
          </cell>
          <cell r="F1810">
            <v>641</v>
          </cell>
        </row>
        <row r="1811">
          <cell r="A1811">
            <v>980328</v>
          </cell>
          <cell r="B1811" t="str">
            <v>Основание для стола Sheffilton SHT-TU23/H51 TU35 темно-серый RAL7021</v>
          </cell>
          <cell r="C1811">
            <v>2513.33</v>
          </cell>
          <cell r="E1811">
            <v>166</v>
          </cell>
          <cell r="F1811">
            <v>216</v>
          </cell>
        </row>
        <row r="1812">
          <cell r="A1812">
            <v>980329</v>
          </cell>
          <cell r="B1812" t="str">
            <v>Основание для стола Sheffilton SHT-TU23/H71 TU36 темно-серый RAL7021</v>
          </cell>
          <cell r="C1812">
            <v>2726.67</v>
          </cell>
          <cell r="E1812">
            <v>180</v>
          </cell>
          <cell r="F1812">
            <v>234</v>
          </cell>
        </row>
        <row r="1813">
          <cell r="A1813">
            <v>146483</v>
          </cell>
          <cell r="B1813" t="str">
            <v>Основание для стола Sheffilton SHT-TU25 TU44 черный муар</v>
          </cell>
          <cell r="C1813">
            <v>2513.33</v>
          </cell>
          <cell r="E1813">
            <v>166</v>
          </cell>
          <cell r="F1813">
            <v>216</v>
          </cell>
        </row>
        <row r="1814">
          <cell r="A1814">
            <v>146486</v>
          </cell>
          <cell r="B1814" t="str">
            <v>Основание для стола Sheffilton SHT-TU28 TU43 черный муар</v>
          </cell>
          <cell r="C1814">
            <v>3213.33</v>
          </cell>
          <cell r="E1814">
            <v>212</v>
          </cell>
          <cell r="F1814">
            <v>276</v>
          </cell>
        </row>
        <row r="1815">
          <cell r="A1815">
            <v>155094</v>
          </cell>
          <cell r="B1815" t="str">
            <v>Основание для стола Sheffilton SHT-TU29/H36 TU45 черный муар</v>
          </cell>
          <cell r="C1815">
            <v>386.67</v>
          </cell>
          <cell r="E1815">
            <v>25</v>
          </cell>
          <cell r="F1815">
            <v>33</v>
          </cell>
        </row>
        <row r="1816">
          <cell r="A1816">
            <v>186493</v>
          </cell>
          <cell r="B1816" t="str">
            <v>Основание для стола Sheffilton SHT-TU30 TU50 антрацит</v>
          </cell>
          <cell r="C1816">
            <v>1840</v>
          </cell>
          <cell r="E1816">
            <v>121</v>
          </cell>
          <cell r="F1816">
            <v>157</v>
          </cell>
        </row>
        <row r="1817">
          <cell r="A1817">
            <v>180141</v>
          </cell>
          <cell r="B1817" t="str">
            <v>Основание для стола Sheffilton SHT-TU30 TU50 бежевый RAL1013</v>
          </cell>
          <cell r="C1817">
            <v>1840</v>
          </cell>
          <cell r="E1817">
            <v>121</v>
          </cell>
          <cell r="F1817">
            <v>157</v>
          </cell>
        </row>
        <row r="1818">
          <cell r="A1818">
            <v>180140</v>
          </cell>
          <cell r="B1818" t="str">
            <v>Основание для стола Sheffilton SHT-TU30 TU50 белый</v>
          </cell>
          <cell r="C1818">
            <v>1840</v>
          </cell>
          <cell r="E1818">
            <v>121</v>
          </cell>
          <cell r="F1818">
            <v>157</v>
          </cell>
        </row>
        <row r="1819">
          <cell r="A1819">
            <v>186499</v>
          </cell>
          <cell r="B1819" t="str">
            <v>Основание для стола Sheffilton SHT-TU30 TU50 бук</v>
          </cell>
          <cell r="C1819">
            <v>1840</v>
          </cell>
          <cell r="E1819">
            <v>121</v>
          </cell>
          <cell r="F1819">
            <v>157</v>
          </cell>
        </row>
        <row r="1820">
          <cell r="A1820">
            <v>180139</v>
          </cell>
          <cell r="B1820" t="str">
            <v>Основание для стола Sheffilton SHT-TU30 TU50 коричневый</v>
          </cell>
          <cell r="C1820">
            <v>1840</v>
          </cell>
          <cell r="E1820">
            <v>121</v>
          </cell>
          <cell r="F1820">
            <v>157</v>
          </cell>
        </row>
        <row r="1821">
          <cell r="A1821">
            <v>186503</v>
          </cell>
          <cell r="B1821" t="str">
            <v>Основание для стола Sheffilton SHT-TU30 TU50 лаванда</v>
          </cell>
          <cell r="C1821">
            <v>1840</v>
          </cell>
          <cell r="E1821">
            <v>121</v>
          </cell>
          <cell r="F1821">
            <v>157</v>
          </cell>
        </row>
        <row r="1822">
          <cell r="A1822">
            <v>186446</v>
          </cell>
          <cell r="B1822" t="str">
            <v>Основание для стола Sheffilton SHT-TU30 TU50 мятный</v>
          </cell>
          <cell r="C1822">
            <v>1840</v>
          </cell>
          <cell r="E1822">
            <v>121</v>
          </cell>
          <cell r="F1822">
            <v>157</v>
          </cell>
        </row>
        <row r="1823">
          <cell r="A1823">
            <v>186466</v>
          </cell>
          <cell r="B1823" t="str">
            <v>Основание для стола Sheffilton SHT-TU30 TU50 серый</v>
          </cell>
          <cell r="C1823">
            <v>1840</v>
          </cell>
          <cell r="E1823">
            <v>121</v>
          </cell>
          <cell r="F1823">
            <v>157</v>
          </cell>
        </row>
        <row r="1824">
          <cell r="A1824">
            <v>179861</v>
          </cell>
          <cell r="B1824" t="str">
            <v>Основание для стола Sheffilton SHT-TU30 TU50 черный</v>
          </cell>
          <cell r="C1824">
            <v>1840</v>
          </cell>
          <cell r="E1824">
            <v>121</v>
          </cell>
          <cell r="F1824">
            <v>157</v>
          </cell>
        </row>
        <row r="1825">
          <cell r="A1825">
            <v>186497</v>
          </cell>
          <cell r="B1825" t="str">
            <v>Основание для стола Sheffilton SHT-TU30-2  антрацит</v>
          </cell>
          <cell r="C1825">
            <v>2166.67</v>
          </cell>
          <cell r="E1825">
            <v>143</v>
          </cell>
          <cell r="F1825">
            <v>186</v>
          </cell>
        </row>
        <row r="1826">
          <cell r="A1826">
            <v>182760</v>
          </cell>
          <cell r="B1826" t="str">
            <v>Основание для стола Sheffilton SHT-TU30-2  бежевый RAL1013</v>
          </cell>
          <cell r="C1826">
            <v>2166.67</v>
          </cell>
          <cell r="E1826">
            <v>143</v>
          </cell>
          <cell r="F1826">
            <v>186</v>
          </cell>
        </row>
        <row r="1827">
          <cell r="A1827">
            <v>182768</v>
          </cell>
          <cell r="B1827" t="str">
            <v>Основание для стола Sheffilton SHT-TU30-2  белый</v>
          </cell>
          <cell r="C1827">
            <v>2166.67</v>
          </cell>
          <cell r="E1827">
            <v>143</v>
          </cell>
          <cell r="F1827">
            <v>186</v>
          </cell>
        </row>
        <row r="1828">
          <cell r="A1828">
            <v>186500</v>
          </cell>
          <cell r="B1828" t="str">
            <v>Основание для стола Sheffilton SHT-TU30-2  бук</v>
          </cell>
          <cell r="C1828">
            <v>2166.67</v>
          </cell>
          <cell r="E1828">
            <v>143</v>
          </cell>
          <cell r="F1828">
            <v>186</v>
          </cell>
        </row>
        <row r="1829">
          <cell r="A1829">
            <v>182769</v>
          </cell>
          <cell r="B1829" t="str">
            <v>Основание для стола Sheffilton SHT-TU30-2  коричневый</v>
          </cell>
          <cell r="C1829">
            <v>2166.67</v>
          </cell>
          <cell r="E1829">
            <v>143</v>
          </cell>
          <cell r="F1829">
            <v>186</v>
          </cell>
        </row>
        <row r="1830">
          <cell r="A1830">
            <v>186505</v>
          </cell>
          <cell r="B1830" t="str">
            <v>Основание для стола Sheffilton SHT-TU30-2  лаванда</v>
          </cell>
          <cell r="C1830">
            <v>2166.67</v>
          </cell>
          <cell r="E1830">
            <v>143</v>
          </cell>
          <cell r="F1830">
            <v>186</v>
          </cell>
        </row>
        <row r="1831">
          <cell r="A1831">
            <v>186507</v>
          </cell>
          <cell r="B1831" t="str">
            <v>Основание для стола Sheffilton SHT-TU30-2  мятный</v>
          </cell>
          <cell r="C1831">
            <v>2166.67</v>
          </cell>
          <cell r="E1831">
            <v>143</v>
          </cell>
          <cell r="F1831">
            <v>186</v>
          </cell>
        </row>
        <row r="1832">
          <cell r="A1832">
            <v>187394</v>
          </cell>
          <cell r="B1832" t="str">
            <v>Основание для стола Sheffilton SHT-TU30-2  серый</v>
          </cell>
          <cell r="C1832">
            <v>2166.67</v>
          </cell>
          <cell r="E1832">
            <v>143</v>
          </cell>
          <cell r="F1832">
            <v>186</v>
          </cell>
        </row>
        <row r="1833">
          <cell r="A1833">
            <v>180136</v>
          </cell>
          <cell r="B1833" t="str">
            <v>Основание для стола Sheffilton SHT-TU30-2  черный</v>
          </cell>
          <cell r="C1833">
            <v>2166.67</v>
          </cell>
          <cell r="E1833">
            <v>143</v>
          </cell>
          <cell r="F1833">
            <v>186</v>
          </cell>
        </row>
        <row r="1834">
          <cell r="A1834">
            <v>958945</v>
          </cell>
          <cell r="B1834" t="str">
            <v>Основание для стола Sheffilton SHT-TU3-1 TU29 медный металлик (+)</v>
          </cell>
          <cell r="C1834">
            <v>4466.67</v>
          </cell>
          <cell r="E1834">
            <v>294</v>
          </cell>
          <cell r="F1834">
            <v>382</v>
          </cell>
        </row>
        <row r="1835">
          <cell r="A1835">
            <v>958946</v>
          </cell>
          <cell r="B1835" t="str">
            <v>Основание для стола Sheffilton SHT-TU3-1 TU29 черный муар (+)</v>
          </cell>
          <cell r="C1835">
            <v>4466.67</v>
          </cell>
          <cell r="E1835">
            <v>294</v>
          </cell>
          <cell r="F1835">
            <v>382</v>
          </cell>
        </row>
        <row r="1836">
          <cell r="A1836">
            <v>163509</v>
          </cell>
          <cell r="B1836" t="str">
            <v>Основание для стола Sheffilton SHT-TU34-P TU47 черный муар</v>
          </cell>
          <cell r="C1836">
            <v>1733.33</v>
          </cell>
          <cell r="E1836">
            <v>114</v>
          </cell>
          <cell r="F1836">
            <v>148</v>
          </cell>
        </row>
        <row r="1837">
          <cell r="A1837">
            <v>187585</v>
          </cell>
          <cell r="B1837" t="str">
            <v>Основание для стола Sheffilton SHT-TU37 TU51 золото</v>
          </cell>
          <cell r="C1837">
            <v>846.67</v>
          </cell>
          <cell r="E1837">
            <v>56</v>
          </cell>
          <cell r="F1837">
            <v>73</v>
          </cell>
        </row>
        <row r="1838">
          <cell r="A1838">
            <v>187584</v>
          </cell>
          <cell r="B1838" t="str">
            <v>Основание для стола Sheffilton SHT-TU37 TU51 черный муар</v>
          </cell>
          <cell r="C1838">
            <v>806.67</v>
          </cell>
          <cell r="E1838">
            <v>53</v>
          </cell>
          <cell r="F1838">
            <v>69</v>
          </cell>
        </row>
        <row r="1839">
          <cell r="A1839">
            <v>969694</v>
          </cell>
          <cell r="B1839" t="str">
            <v>Основание для стола Sheffilton SHT-TU3/H110 TU31 медный металлик</v>
          </cell>
          <cell r="C1839">
            <v>4696.67</v>
          </cell>
          <cell r="E1839">
            <v>309</v>
          </cell>
          <cell r="F1839">
            <v>402</v>
          </cell>
        </row>
        <row r="1840">
          <cell r="A1840">
            <v>986116</v>
          </cell>
          <cell r="B1840" t="str">
            <v>Основание для стола Sheffilton SHT-TU4-1 TU28 медный металлик</v>
          </cell>
          <cell r="C1840">
            <v>2806.67</v>
          </cell>
          <cell r="E1840">
            <v>185</v>
          </cell>
          <cell r="F1840">
            <v>241</v>
          </cell>
        </row>
        <row r="1841">
          <cell r="A1841">
            <v>951758</v>
          </cell>
          <cell r="B1841" t="str">
            <v>Основание для стола Sheffilton SHT-TU4-1 TU28 черный муар (+)</v>
          </cell>
          <cell r="C1841">
            <v>2446.67</v>
          </cell>
          <cell r="E1841">
            <v>161</v>
          </cell>
          <cell r="F1841">
            <v>209</v>
          </cell>
        </row>
        <row r="1842">
          <cell r="A1842">
            <v>931690</v>
          </cell>
          <cell r="B1842" t="str">
            <v>Основание для стола Sheffilton SHT-TU5-BS1 TU54 черный</v>
          </cell>
          <cell r="C1842">
            <v>5213.33</v>
          </cell>
          <cell r="E1842">
            <v>343</v>
          </cell>
          <cell r="F1842">
            <v>446</v>
          </cell>
        </row>
        <row r="1843">
          <cell r="A1843">
            <v>957558</v>
          </cell>
          <cell r="B1843" t="str">
            <v>Основание для стола Sheffilton SHT-TU5-BS1/H110  черный</v>
          </cell>
          <cell r="C1843">
            <v>5626.67</v>
          </cell>
          <cell r="E1843">
            <v>371</v>
          </cell>
          <cell r="F1843">
            <v>482</v>
          </cell>
        </row>
        <row r="1844">
          <cell r="A1844">
            <v>931691</v>
          </cell>
          <cell r="B1844" t="str">
            <v>Основание для стола Sheffilton SHT-TU5-BS2  черный</v>
          </cell>
          <cell r="C1844">
            <v>4486.67</v>
          </cell>
          <cell r="E1844">
            <v>296</v>
          </cell>
          <cell r="F1844">
            <v>385</v>
          </cell>
        </row>
        <row r="1845">
          <cell r="A1845">
            <v>957559</v>
          </cell>
          <cell r="B1845" t="str">
            <v>Основание для стола Sheffilton SHT-TU5-BS2/H110  черный</v>
          </cell>
          <cell r="C1845">
            <v>4900</v>
          </cell>
          <cell r="E1845">
            <v>323</v>
          </cell>
          <cell r="F1845">
            <v>420</v>
          </cell>
        </row>
        <row r="1846">
          <cell r="A1846">
            <v>931692</v>
          </cell>
          <cell r="B1846" t="str">
            <v>Основание для стола Sheffilton SHT-TU6-BS1  черный</v>
          </cell>
          <cell r="C1846">
            <v>6033.33</v>
          </cell>
          <cell r="E1846">
            <v>397</v>
          </cell>
          <cell r="F1846">
            <v>516</v>
          </cell>
        </row>
        <row r="1847">
          <cell r="A1847">
            <v>957560</v>
          </cell>
          <cell r="B1847" t="str">
            <v>Основание для стола Sheffilton SHT-TU6-BS1/H110 TU42 черный</v>
          </cell>
          <cell r="C1847">
            <v>6313.33</v>
          </cell>
          <cell r="E1847">
            <v>416</v>
          </cell>
          <cell r="F1847">
            <v>541</v>
          </cell>
        </row>
        <row r="1848">
          <cell r="A1848">
            <v>931693</v>
          </cell>
          <cell r="B1848" t="str">
            <v>Основание для стола Sheffilton SHT-TU6-BS2  черный</v>
          </cell>
          <cell r="C1848">
            <v>5306.67</v>
          </cell>
          <cell r="E1848">
            <v>350</v>
          </cell>
          <cell r="F1848">
            <v>455</v>
          </cell>
        </row>
        <row r="1849">
          <cell r="A1849">
            <v>957561</v>
          </cell>
          <cell r="B1849" t="str">
            <v>Основание для стола Sheffilton SHT-TU6-BS2/H110  черный</v>
          </cell>
          <cell r="C1849">
            <v>5586.67</v>
          </cell>
          <cell r="E1849">
            <v>368</v>
          </cell>
          <cell r="F1849">
            <v>478</v>
          </cell>
        </row>
        <row r="1850">
          <cell r="A1850">
            <v>876210</v>
          </cell>
          <cell r="B1850" t="str">
            <v>Основание для стола Sheffilton SHT-TU7 TU7 черный/черный</v>
          </cell>
          <cell r="C1850">
            <v>1246.67</v>
          </cell>
          <cell r="E1850">
            <v>82</v>
          </cell>
          <cell r="F1850">
            <v>107</v>
          </cell>
        </row>
        <row r="1851">
          <cell r="A1851">
            <v>981929</v>
          </cell>
          <cell r="B1851" t="str">
            <v>Основание для стола Sheffilton SHT-TU7-1 TU37 ваниль (цинк)/черный</v>
          </cell>
          <cell r="C1851">
            <v>2786.67</v>
          </cell>
          <cell r="E1851">
            <v>184</v>
          </cell>
          <cell r="F1851">
            <v>239</v>
          </cell>
        </row>
        <row r="1852">
          <cell r="A1852">
            <v>981930</v>
          </cell>
          <cell r="B1852" t="str">
            <v>Основание для стола Sheffilton SHT-TU7-1 TU37 ваниль/черный</v>
          </cell>
          <cell r="C1852">
            <v>1300</v>
          </cell>
          <cell r="E1852">
            <v>86</v>
          </cell>
          <cell r="F1852">
            <v>112</v>
          </cell>
        </row>
        <row r="1853">
          <cell r="A1853">
            <v>981931</v>
          </cell>
          <cell r="B1853" t="str">
            <v>Основание для стола Sheffilton SHT-TU7-1 TU37 коричневый муар (цинк)/черный</v>
          </cell>
          <cell r="C1853">
            <v>2753.33</v>
          </cell>
          <cell r="E1853">
            <v>181</v>
          </cell>
          <cell r="F1853">
            <v>235</v>
          </cell>
        </row>
        <row r="1854">
          <cell r="A1854">
            <v>981932</v>
          </cell>
          <cell r="B1854" t="str">
            <v>Основание для стола Sheffilton SHT-TU7-1 TU37 коричневый муар/черный</v>
          </cell>
          <cell r="C1854">
            <v>1280</v>
          </cell>
          <cell r="E1854">
            <v>84</v>
          </cell>
          <cell r="F1854">
            <v>109</v>
          </cell>
        </row>
        <row r="1855">
          <cell r="A1855">
            <v>981933</v>
          </cell>
          <cell r="B1855" t="str">
            <v>Основание для стола Sheffilton SHT-TU7-1 TU37 хром лак/черный</v>
          </cell>
          <cell r="C1855">
            <v>1520</v>
          </cell>
          <cell r="E1855">
            <v>100</v>
          </cell>
          <cell r="F1855">
            <v>130</v>
          </cell>
        </row>
        <row r="1856">
          <cell r="A1856">
            <v>981934</v>
          </cell>
          <cell r="B1856" t="str">
            <v>Основание для стола Sheffilton SHT-TU7-1 TU37 черный (цинк)/черный</v>
          </cell>
          <cell r="C1856">
            <v>2740</v>
          </cell>
          <cell r="E1856">
            <v>181</v>
          </cell>
          <cell r="F1856">
            <v>235</v>
          </cell>
        </row>
        <row r="1857">
          <cell r="A1857">
            <v>981935</v>
          </cell>
          <cell r="B1857" t="str">
            <v>Основание для стола Sheffilton SHT-TU7-1 TU37 черный/черный</v>
          </cell>
          <cell r="C1857">
            <v>1260</v>
          </cell>
          <cell r="E1857">
            <v>83</v>
          </cell>
          <cell r="F1857">
            <v>108</v>
          </cell>
        </row>
        <row r="1858">
          <cell r="A1858">
            <v>883690</v>
          </cell>
          <cell r="B1858" t="str">
            <v>Основание для стола Sheffilton SHT-TU9 TU9 венге (+)</v>
          </cell>
          <cell r="C1858">
            <v>3700</v>
          </cell>
          <cell r="E1858">
            <v>244</v>
          </cell>
          <cell r="F1858">
            <v>317</v>
          </cell>
        </row>
        <row r="1859">
          <cell r="A1859">
            <v>926442</v>
          </cell>
          <cell r="B1859" t="str">
            <v>Основание для стола Sheffilton SHT-TU9 TU9 выбеленый</v>
          </cell>
          <cell r="C1859">
            <v>3793.33</v>
          </cell>
          <cell r="E1859">
            <v>250</v>
          </cell>
          <cell r="F1859">
            <v>325</v>
          </cell>
        </row>
        <row r="1860">
          <cell r="A1860">
            <v>964680</v>
          </cell>
          <cell r="B1860" t="str">
            <v>Основание для стола Sheffilton SHT-TU9 TU9 прозрачный лак (+)</v>
          </cell>
          <cell r="C1860">
            <v>3600</v>
          </cell>
          <cell r="E1860">
            <v>237</v>
          </cell>
          <cell r="F1860">
            <v>308</v>
          </cell>
        </row>
        <row r="1861">
          <cell r="A1861">
            <v>876204</v>
          </cell>
          <cell r="B1861" t="str">
            <v>Основание для стола Sheffilton SHT-TU9 TU9 светл. орех (+)</v>
          </cell>
          <cell r="C1861">
            <v>3720</v>
          </cell>
          <cell r="E1861">
            <v>245</v>
          </cell>
          <cell r="F1861">
            <v>319</v>
          </cell>
        </row>
        <row r="1862">
          <cell r="A1862">
            <v>870502</v>
          </cell>
          <cell r="B1862" t="str">
            <v>Основание для стола Sheffilton SHT-TU9 TU9 темн. орех (+)</v>
          </cell>
          <cell r="C1862">
            <v>3700</v>
          </cell>
          <cell r="E1862">
            <v>244</v>
          </cell>
          <cell r="F1862">
            <v>317</v>
          </cell>
        </row>
        <row r="1863">
          <cell r="A1863">
            <v>876206</v>
          </cell>
          <cell r="B1863" t="str">
            <v>Основание для стола Sheffilton SHT-TU9-2 TU10 венг (+)</v>
          </cell>
          <cell r="C1863">
            <v>4180</v>
          </cell>
          <cell r="E1863">
            <v>275</v>
          </cell>
          <cell r="F1863">
            <v>358</v>
          </cell>
        </row>
        <row r="1864">
          <cell r="A1864">
            <v>964679</v>
          </cell>
          <cell r="B1864" t="str">
            <v>Основание для стола Sheffilton SHT-TU9-2 TU10 выбеленый (+)</v>
          </cell>
          <cell r="C1864">
            <v>3413.33</v>
          </cell>
          <cell r="E1864">
            <v>225</v>
          </cell>
          <cell r="F1864">
            <v>293</v>
          </cell>
        </row>
        <row r="1865">
          <cell r="A1865">
            <v>985270</v>
          </cell>
          <cell r="B1865" t="str">
            <v>Основание для стола Sheffilton SHT-TU9-2 TU10 прозрачный лак</v>
          </cell>
          <cell r="C1865">
            <v>4053.33</v>
          </cell>
          <cell r="E1865">
            <v>267</v>
          </cell>
          <cell r="F1865">
            <v>347</v>
          </cell>
        </row>
        <row r="1866">
          <cell r="A1866">
            <v>870504</v>
          </cell>
          <cell r="B1866" t="str">
            <v>Основание для стола Sheffilton SHT-TU9-2 TU10 светл. орех (+)</v>
          </cell>
          <cell r="C1866">
            <v>4133.33</v>
          </cell>
          <cell r="E1866">
            <v>272</v>
          </cell>
          <cell r="F1866">
            <v>354</v>
          </cell>
        </row>
        <row r="1867">
          <cell r="A1867">
            <v>894754</v>
          </cell>
          <cell r="B1867" t="str">
            <v>Основание для стола Sheffilton SHT-TU9-2 TU10 темн орех (+)</v>
          </cell>
          <cell r="C1867">
            <v>4120</v>
          </cell>
          <cell r="E1867">
            <v>271</v>
          </cell>
          <cell r="F1867">
            <v>352</v>
          </cell>
        </row>
        <row r="1868">
          <cell r="A1868">
            <v>924084</v>
          </cell>
          <cell r="B1868" t="str">
            <v>Основание к стойке Sheffilton SHT-BS1 BS1 черный муар</v>
          </cell>
          <cell r="C1868">
            <v>4073.33</v>
          </cell>
          <cell r="E1868">
            <v>268</v>
          </cell>
          <cell r="F1868">
            <v>348</v>
          </cell>
        </row>
        <row r="1869">
          <cell r="A1869">
            <v>924088</v>
          </cell>
          <cell r="B1869" t="str">
            <v>Основание к стойке Sheffilton SHT-BS2 BS2 черный муар</v>
          </cell>
          <cell r="C1869">
            <v>3346.67</v>
          </cell>
          <cell r="E1869">
            <v>220</v>
          </cell>
          <cell r="F1869">
            <v>286</v>
          </cell>
        </row>
        <row r="1870">
          <cell r="A1870">
            <v>186498</v>
          </cell>
          <cell r="B1870" t="str">
            <v>Переходник Sheffilton SHT-A30 П-002 антрацит</v>
          </cell>
          <cell r="C1870">
            <v>326.67</v>
          </cell>
          <cell r="E1870">
            <v>22</v>
          </cell>
          <cell r="F1870">
            <v>29</v>
          </cell>
        </row>
        <row r="1871">
          <cell r="A1871">
            <v>180144</v>
          </cell>
          <cell r="B1871" t="str">
            <v>Переходник Sheffilton SHT-A30 П-002 бежевый RAL1013</v>
          </cell>
          <cell r="C1871">
            <v>326.67</v>
          </cell>
          <cell r="E1871">
            <v>22</v>
          </cell>
          <cell r="F1871">
            <v>29</v>
          </cell>
        </row>
        <row r="1872">
          <cell r="A1872">
            <v>180143</v>
          </cell>
          <cell r="B1872" t="str">
            <v>Переходник Sheffilton SHT-A30 П-002 белый</v>
          </cell>
          <cell r="C1872">
            <v>326.67</v>
          </cell>
          <cell r="E1872">
            <v>22</v>
          </cell>
          <cell r="F1872">
            <v>29</v>
          </cell>
        </row>
        <row r="1873">
          <cell r="A1873">
            <v>186502</v>
          </cell>
          <cell r="B1873" t="str">
            <v>Переходник Sheffilton SHT-A30 П-002 бук</v>
          </cell>
          <cell r="C1873">
            <v>326.67</v>
          </cell>
          <cell r="E1873">
            <v>22</v>
          </cell>
          <cell r="F1873">
            <v>29</v>
          </cell>
        </row>
        <row r="1874">
          <cell r="A1874">
            <v>180142</v>
          </cell>
          <cell r="B1874" t="str">
            <v>Переходник Sheffilton SHT-A30 П-002 коричневый</v>
          </cell>
          <cell r="C1874">
            <v>326.67</v>
          </cell>
          <cell r="E1874">
            <v>22</v>
          </cell>
          <cell r="F1874">
            <v>29</v>
          </cell>
        </row>
        <row r="1875">
          <cell r="A1875">
            <v>186506</v>
          </cell>
          <cell r="B1875" t="str">
            <v>Переходник Sheffilton SHT-A30 П-002 лаванда</v>
          </cell>
          <cell r="C1875">
            <v>326.67</v>
          </cell>
          <cell r="E1875">
            <v>22</v>
          </cell>
          <cell r="F1875">
            <v>29</v>
          </cell>
        </row>
        <row r="1876">
          <cell r="A1876">
            <v>186509</v>
          </cell>
          <cell r="B1876" t="str">
            <v>Переходник Sheffilton SHT-A30 П-002 мятный</v>
          </cell>
          <cell r="C1876">
            <v>326.67</v>
          </cell>
          <cell r="E1876">
            <v>22</v>
          </cell>
          <cell r="F1876">
            <v>29</v>
          </cell>
        </row>
        <row r="1877">
          <cell r="A1877">
            <v>187399</v>
          </cell>
          <cell r="B1877" t="str">
            <v>Переходник Sheffilton SHT-A30 П-002 серый</v>
          </cell>
          <cell r="C1877">
            <v>326.67</v>
          </cell>
          <cell r="E1877">
            <v>22</v>
          </cell>
          <cell r="F1877">
            <v>29</v>
          </cell>
        </row>
        <row r="1878">
          <cell r="A1878">
            <v>180135</v>
          </cell>
          <cell r="B1878" t="str">
            <v>Переходник Sheffilton SHT-A30 П-002 черный</v>
          </cell>
          <cell r="C1878">
            <v>326.67</v>
          </cell>
          <cell r="E1878">
            <v>22</v>
          </cell>
          <cell r="F1878">
            <v>29</v>
          </cell>
        </row>
        <row r="1879">
          <cell r="A1879">
            <v>1180</v>
          </cell>
          <cell r="B1879" t="str">
            <v>Стойка Sheffilton SHT-TU22 SHT-TU22 коричневый брашированный</v>
          </cell>
          <cell r="C1879">
            <v>2266.67</v>
          </cell>
          <cell r="E1879">
            <v>149</v>
          </cell>
          <cell r="F1879">
            <v>194</v>
          </cell>
        </row>
        <row r="1880">
          <cell r="A1880">
            <v>924089</v>
          </cell>
          <cell r="B1880" t="str">
            <v>Стойка Sheffilton SHT-TU5 SHT-TU5 черный муар</v>
          </cell>
          <cell r="C1880">
            <v>1140</v>
          </cell>
          <cell r="E1880">
            <v>75</v>
          </cell>
          <cell r="F1880">
            <v>98</v>
          </cell>
        </row>
        <row r="1881">
          <cell r="A1881">
            <v>924090</v>
          </cell>
          <cell r="B1881" t="str">
            <v>Стойка Sheffilton SHT-TU6 SHT-TU6 черный муар</v>
          </cell>
          <cell r="C1881">
            <v>1960</v>
          </cell>
          <cell r="E1881">
            <v>129</v>
          </cell>
          <cell r="F1881">
            <v>168</v>
          </cell>
        </row>
        <row r="1882">
          <cell r="A1882">
            <v>924091</v>
          </cell>
          <cell r="B1882" t="str">
            <v>Стойка барная Sheffilton SHT-TU5/H110 SHT-TU5/H110 черный муар</v>
          </cell>
          <cell r="C1882">
            <v>1553.33</v>
          </cell>
          <cell r="E1882">
            <v>102</v>
          </cell>
          <cell r="F1882">
            <v>133</v>
          </cell>
        </row>
        <row r="1883">
          <cell r="A1883">
            <v>924092</v>
          </cell>
          <cell r="B1883" t="str">
            <v>Стойка барная Sheffilton SHT-TU6/H110 SHT-TU6/H110 черный муар</v>
          </cell>
          <cell r="C1883">
            <v>2240</v>
          </cell>
          <cell r="E1883">
            <v>148</v>
          </cell>
          <cell r="F1883">
            <v>192</v>
          </cell>
        </row>
        <row r="1884">
          <cell r="A1884">
            <v>906263</v>
          </cell>
          <cell r="B1884" t="str">
            <v>Сидение Sheffilton SHT-S36 S-36 гранит</v>
          </cell>
          <cell r="C1884">
            <v>330</v>
          </cell>
          <cell r="E1884">
            <v>22</v>
          </cell>
          <cell r="F1884">
            <v>29</v>
          </cell>
        </row>
        <row r="1885">
          <cell r="A1885">
            <v>917981</v>
          </cell>
          <cell r="B1885" t="str">
            <v>Сидение Sheffilton SHT-S36 S-36 желтый</v>
          </cell>
          <cell r="C1885">
            <v>330</v>
          </cell>
          <cell r="E1885">
            <v>22</v>
          </cell>
          <cell r="F1885">
            <v>29</v>
          </cell>
        </row>
        <row r="1886">
          <cell r="A1886">
            <v>201299</v>
          </cell>
          <cell r="B1886" t="str">
            <v>Сидение Sheffilton SHT-S36 S-36 оранжевый</v>
          </cell>
          <cell r="C1886">
            <v>330</v>
          </cell>
          <cell r="E1886">
            <v>22</v>
          </cell>
          <cell r="F1886">
            <v>29</v>
          </cell>
        </row>
        <row r="1887">
          <cell r="A1887">
            <v>922603</v>
          </cell>
          <cell r="B1887" t="str">
            <v>Сидение Sheffilton SHT-S36 S-36 синий</v>
          </cell>
          <cell r="C1887">
            <v>330</v>
          </cell>
          <cell r="E1887">
            <v>22</v>
          </cell>
          <cell r="F1887">
            <v>29</v>
          </cell>
        </row>
        <row r="1888">
          <cell r="A1888">
            <v>166943</v>
          </cell>
          <cell r="B1888" t="str">
            <v>Сидение Sheffilton SHT-S36 S-36 фиолетовый</v>
          </cell>
          <cell r="C1888">
            <v>330</v>
          </cell>
          <cell r="E1888">
            <v>22</v>
          </cell>
          <cell r="F1888">
            <v>29</v>
          </cell>
        </row>
        <row r="1889">
          <cell r="A1889">
            <v>906262</v>
          </cell>
          <cell r="B1889" t="str">
            <v>Сидение Sheffilton SHT-S36 S-36 черный</v>
          </cell>
          <cell r="C1889">
            <v>330</v>
          </cell>
          <cell r="E1889">
            <v>22</v>
          </cell>
          <cell r="F1889">
            <v>29</v>
          </cell>
        </row>
        <row r="1890">
          <cell r="A1890">
            <v>906264</v>
          </cell>
          <cell r="B1890" t="str">
            <v>Сидение Sheffilton SHT-S36 S-36 шоколадный</v>
          </cell>
          <cell r="C1890">
            <v>330</v>
          </cell>
          <cell r="E1890">
            <v>22</v>
          </cell>
          <cell r="F1890">
            <v>29</v>
          </cell>
        </row>
        <row r="1891">
          <cell r="A1891">
            <v>953505</v>
          </cell>
          <cell r="B1891" t="str">
            <v>Сидение Sheffilton SHT-ST18-1 S-18-1 темный янтарь</v>
          </cell>
          <cell r="C1891">
            <v>4306.67</v>
          </cell>
          <cell r="E1891">
            <v>284</v>
          </cell>
          <cell r="F1891">
            <v>369</v>
          </cell>
        </row>
        <row r="1892">
          <cell r="A1892">
            <v>985620</v>
          </cell>
          <cell r="B1892" t="str">
            <v>Сидение Sheffilton SHT-ST19 S-177 бежевый</v>
          </cell>
          <cell r="C1892">
            <v>606.66999999999996</v>
          </cell>
          <cell r="E1892">
            <v>40</v>
          </cell>
          <cell r="F1892">
            <v>52</v>
          </cell>
        </row>
        <row r="1893">
          <cell r="A1893">
            <v>973457</v>
          </cell>
          <cell r="B1893" t="str">
            <v>Сидение Sheffilton SHT-ST19 S-177 белый</v>
          </cell>
          <cell r="C1893">
            <v>606.66999999999996</v>
          </cell>
          <cell r="E1893">
            <v>40</v>
          </cell>
          <cell r="F1893">
            <v>52</v>
          </cell>
        </row>
        <row r="1894">
          <cell r="A1894">
            <v>985624</v>
          </cell>
          <cell r="B1894" t="str">
            <v>Сидение Sheffilton SHT-ST19 S-177 желтый</v>
          </cell>
          <cell r="C1894">
            <v>606.66999999999996</v>
          </cell>
          <cell r="E1894">
            <v>40</v>
          </cell>
          <cell r="F1894">
            <v>52</v>
          </cell>
        </row>
        <row r="1895">
          <cell r="A1895">
            <v>985626</v>
          </cell>
          <cell r="B1895" t="str">
            <v>Сидение Sheffilton SHT-ST19 S-177 зеленый</v>
          </cell>
          <cell r="C1895">
            <v>606.66999999999996</v>
          </cell>
          <cell r="E1895">
            <v>40</v>
          </cell>
          <cell r="F1895">
            <v>52</v>
          </cell>
        </row>
        <row r="1896">
          <cell r="A1896">
            <v>985639</v>
          </cell>
          <cell r="B1896" t="str">
            <v>Сидение Sheffilton SHT-ST19 S-177 коричневый</v>
          </cell>
          <cell r="C1896">
            <v>606.66999999999996</v>
          </cell>
          <cell r="E1896">
            <v>40</v>
          </cell>
          <cell r="F1896">
            <v>52</v>
          </cell>
        </row>
        <row r="1897">
          <cell r="A1897">
            <v>985640</v>
          </cell>
          <cell r="B1897" t="str">
            <v>Сидение Sheffilton SHT-ST19 S-177 красный</v>
          </cell>
          <cell r="C1897">
            <v>606.66999999999996</v>
          </cell>
          <cell r="E1897">
            <v>40</v>
          </cell>
          <cell r="F1897">
            <v>52</v>
          </cell>
        </row>
        <row r="1898">
          <cell r="A1898">
            <v>169605</v>
          </cell>
          <cell r="B1898" t="str">
            <v>Сидение Sheffilton SHT-ST19 S-177 мятный RAL6019</v>
          </cell>
          <cell r="C1898">
            <v>606.66999999999996</v>
          </cell>
          <cell r="E1898">
            <v>40</v>
          </cell>
          <cell r="F1898">
            <v>52</v>
          </cell>
        </row>
        <row r="1899">
          <cell r="A1899">
            <v>985641</v>
          </cell>
          <cell r="B1899" t="str">
            <v>Сидение Sheffilton SHT-ST19 S-177 оранжевый</v>
          </cell>
          <cell r="C1899">
            <v>606.66999999999996</v>
          </cell>
          <cell r="E1899">
            <v>40</v>
          </cell>
          <cell r="F1899">
            <v>52</v>
          </cell>
        </row>
        <row r="1900">
          <cell r="A1900">
            <v>173420</v>
          </cell>
          <cell r="B1900" t="str">
            <v>Сидение Sheffilton SHT-ST19 S-177 серый RAL7040</v>
          </cell>
          <cell r="C1900">
            <v>606.66999999999996</v>
          </cell>
          <cell r="E1900">
            <v>40</v>
          </cell>
          <cell r="F1900">
            <v>52</v>
          </cell>
        </row>
        <row r="1901">
          <cell r="A1901">
            <v>981827</v>
          </cell>
          <cell r="B1901" t="str">
            <v>Сидение Sheffilton SHT-ST19 S-177 черный</v>
          </cell>
          <cell r="C1901">
            <v>606.66999999999996</v>
          </cell>
          <cell r="E1901">
            <v>40</v>
          </cell>
          <cell r="F1901">
            <v>52</v>
          </cell>
        </row>
        <row r="1902">
          <cell r="A1902">
            <v>205475</v>
          </cell>
          <cell r="B1902" t="str">
            <v>Сидение Sheffilton SHT-ST19-SF1 S-180 горький шоколад (+)</v>
          </cell>
          <cell r="C1902">
            <v>1640</v>
          </cell>
          <cell r="E1902">
            <v>108</v>
          </cell>
          <cell r="F1902">
            <v>140</v>
          </cell>
        </row>
        <row r="1903">
          <cell r="A1903">
            <v>178516</v>
          </cell>
          <cell r="B1903" t="str">
            <v>Сидение Sheffilton SHT-ST19-SF1 S-180 дымный</v>
          </cell>
          <cell r="C1903">
            <v>1780</v>
          </cell>
          <cell r="E1903">
            <v>117</v>
          </cell>
          <cell r="F1903">
            <v>152</v>
          </cell>
        </row>
        <row r="1904">
          <cell r="A1904">
            <v>178511</v>
          </cell>
          <cell r="B1904" t="str">
            <v>Сидение Sheffilton SHT-ST19-SF1 S-180 коричневый сахар</v>
          </cell>
          <cell r="C1904">
            <v>1706.67</v>
          </cell>
          <cell r="E1904">
            <v>112</v>
          </cell>
          <cell r="F1904">
            <v>146</v>
          </cell>
        </row>
        <row r="1905">
          <cell r="A1905">
            <v>205195</v>
          </cell>
          <cell r="B1905" t="str">
            <v>Сидение Sheffilton SHT-ST19-SF2 S-54 ванильный крем</v>
          </cell>
          <cell r="C1905">
            <v>1746.67</v>
          </cell>
          <cell r="E1905">
            <v>115</v>
          </cell>
          <cell r="F1905">
            <v>150</v>
          </cell>
        </row>
        <row r="1906">
          <cell r="A1906">
            <v>148348</v>
          </cell>
          <cell r="B1906" t="str">
            <v>Сидение Sheffilton SHT-ST27-С1 S-194 кремовое облако (+)</v>
          </cell>
          <cell r="C1906">
            <v>1130</v>
          </cell>
          <cell r="E1906">
            <v>74</v>
          </cell>
          <cell r="F1906">
            <v>96</v>
          </cell>
        </row>
        <row r="1907">
          <cell r="A1907">
            <v>148164</v>
          </cell>
          <cell r="B1907" t="str">
            <v>Сидение Sheffilton SHT-ST29 S-193 бежевый RAL1013</v>
          </cell>
          <cell r="C1907">
            <v>886.67</v>
          </cell>
          <cell r="E1907">
            <v>58</v>
          </cell>
          <cell r="F1907">
            <v>75</v>
          </cell>
        </row>
        <row r="1908">
          <cell r="A1908">
            <v>148165</v>
          </cell>
          <cell r="B1908" t="str">
            <v>Сидение Sheffilton SHT-ST29 S-193 белый</v>
          </cell>
          <cell r="C1908">
            <v>886.67</v>
          </cell>
          <cell r="E1908">
            <v>58</v>
          </cell>
          <cell r="F1908">
            <v>75</v>
          </cell>
        </row>
        <row r="1909">
          <cell r="A1909">
            <v>148166</v>
          </cell>
          <cell r="B1909" t="str">
            <v>Сидение Sheffilton SHT-ST29 S-193 голубой Pan278</v>
          </cell>
          <cell r="C1909">
            <v>886.67</v>
          </cell>
          <cell r="E1909">
            <v>58</v>
          </cell>
          <cell r="F1909">
            <v>75</v>
          </cell>
        </row>
        <row r="1910">
          <cell r="A1910">
            <v>148167</v>
          </cell>
          <cell r="B1910" t="str">
            <v>Сидение Sheffilton SHT-ST29 S-193 желтый RAL1021</v>
          </cell>
          <cell r="C1910">
            <v>886.67</v>
          </cell>
          <cell r="E1910">
            <v>58</v>
          </cell>
          <cell r="F1910">
            <v>75</v>
          </cell>
        </row>
        <row r="1911">
          <cell r="A1911">
            <v>148168</v>
          </cell>
          <cell r="B1911" t="str">
            <v>Сидение Sheffilton SHT-ST29 S-193 зеленый RAL6018</v>
          </cell>
          <cell r="C1911">
            <v>886.67</v>
          </cell>
          <cell r="E1911">
            <v>58</v>
          </cell>
          <cell r="F1911">
            <v>75</v>
          </cell>
        </row>
        <row r="1912">
          <cell r="A1912">
            <v>148169</v>
          </cell>
          <cell r="B1912" t="str">
            <v>Сидение Sheffilton SHT-ST29 S-193 коричневый RAL8014</v>
          </cell>
          <cell r="C1912">
            <v>886.67</v>
          </cell>
          <cell r="E1912">
            <v>58</v>
          </cell>
          <cell r="F1912">
            <v>75</v>
          </cell>
        </row>
        <row r="1913">
          <cell r="A1913">
            <v>148170</v>
          </cell>
          <cell r="B1913" t="str">
            <v>Сидение Sheffilton SHT-ST29 S-193 красный RAL3020</v>
          </cell>
          <cell r="C1913">
            <v>886.67</v>
          </cell>
          <cell r="E1913">
            <v>58</v>
          </cell>
          <cell r="F1913">
            <v>75</v>
          </cell>
        </row>
        <row r="1914">
          <cell r="A1914">
            <v>169604</v>
          </cell>
          <cell r="B1914" t="str">
            <v>Сидение Sheffilton SHT-ST29 S-193 мятный RAL6019</v>
          </cell>
          <cell r="C1914">
            <v>886.67</v>
          </cell>
          <cell r="E1914">
            <v>58</v>
          </cell>
          <cell r="F1914">
            <v>75</v>
          </cell>
        </row>
        <row r="1915">
          <cell r="A1915">
            <v>148171</v>
          </cell>
          <cell r="B1915" t="str">
            <v>Сидение Sheffilton SHT-ST29 S-193 оранжевый RAL2003</v>
          </cell>
          <cell r="C1915">
            <v>886.67</v>
          </cell>
          <cell r="E1915">
            <v>58</v>
          </cell>
          <cell r="F1915">
            <v>75</v>
          </cell>
        </row>
        <row r="1916">
          <cell r="A1916">
            <v>148172</v>
          </cell>
          <cell r="B1916" t="str">
            <v>Сидение Sheffilton SHT-ST29 S-193 пастельно-голубой</v>
          </cell>
          <cell r="C1916">
            <v>900</v>
          </cell>
          <cell r="E1916">
            <v>59</v>
          </cell>
          <cell r="F1916">
            <v>77</v>
          </cell>
        </row>
        <row r="1917">
          <cell r="A1917">
            <v>148173</v>
          </cell>
          <cell r="B1917" t="str">
            <v>Сидение Sheffilton SHT-ST29 S-193 пастельно-розовый</v>
          </cell>
          <cell r="C1917">
            <v>900</v>
          </cell>
          <cell r="E1917">
            <v>59</v>
          </cell>
          <cell r="F1917">
            <v>77</v>
          </cell>
        </row>
        <row r="1918">
          <cell r="A1918">
            <v>165624</v>
          </cell>
          <cell r="B1918" t="str">
            <v>Сидение Sheffilton SHT-ST29 S-193 серый RAL 7040</v>
          </cell>
          <cell r="C1918">
            <v>886.67</v>
          </cell>
          <cell r="E1918">
            <v>58</v>
          </cell>
          <cell r="F1918">
            <v>75</v>
          </cell>
        </row>
        <row r="1919">
          <cell r="A1919">
            <v>148174</v>
          </cell>
          <cell r="B1919" t="str">
            <v>Сидение Sheffilton SHT-ST29 S-193 черный</v>
          </cell>
          <cell r="C1919">
            <v>886.67</v>
          </cell>
          <cell r="E1919">
            <v>58</v>
          </cell>
          <cell r="F1919">
            <v>75</v>
          </cell>
        </row>
        <row r="1920">
          <cell r="A1920">
            <v>148331</v>
          </cell>
          <cell r="B1920" t="str">
            <v>Сидение Sheffilton SHT-ST29-С S-196 жемчужный (+)</v>
          </cell>
          <cell r="C1920">
            <v>1600</v>
          </cell>
          <cell r="E1920">
            <v>105</v>
          </cell>
          <cell r="F1920">
            <v>137</v>
          </cell>
        </row>
        <row r="1921">
          <cell r="A1921">
            <v>148329</v>
          </cell>
          <cell r="B1921" t="str">
            <v>Сидение Sheffilton SHT-ST29-С S-196 пепельный (+)</v>
          </cell>
          <cell r="C1921">
            <v>1446.67</v>
          </cell>
          <cell r="E1921">
            <v>95</v>
          </cell>
          <cell r="F1921">
            <v>124</v>
          </cell>
        </row>
        <row r="1922">
          <cell r="A1922">
            <v>148334</v>
          </cell>
          <cell r="B1922" t="str">
            <v>Сидение Sheffilton SHT-ST29-С1 S-197 лунный камень (+)</v>
          </cell>
          <cell r="C1922">
            <v>1600</v>
          </cell>
          <cell r="E1922">
            <v>105</v>
          </cell>
          <cell r="F1922">
            <v>137</v>
          </cell>
        </row>
        <row r="1923">
          <cell r="A1923">
            <v>148338</v>
          </cell>
          <cell r="B1923" t="str">
            <v>Сидение Sheffilton SHT-ST29-С1 S-197 морская глубина (+)</v>
          </cell>
          <cell r="C1923">
            <v>1600</v>
          </cell>
          <cell r="E1923">
            <v>105</v>
          </cell>
          <cell r="F1923">
            <v>137</v>
          </cell>
        </row>
        <row r="1924">
          <cell r="A1924">
            <v>148335</v>
          </cell>
          <cell r="B1924" t="str">
            <v>Сидение Sheffilton SHT-ST29-С1 S-197 оливковый (+)</v>
          </cell>
          <cell r="C1924">
            <v>1606.67</v>
          </cell>
          <cell r="E1924">
            <v>106</v>
          </cell>
          <cell r="F1924">
            <v>138</v>
          </cell>
        </row>
        <row r="1925">
          <cell r="A1925">
            <v>148344</v>
          </cell>
          <cell r="B1925" t="str">
            <v>Сидение Sheffilton SHT-ST29-С12 S-198 голубая лагуна (+)</v>
          </cell>
          <cell r="C1925">
            <v>1673.33</v>
          </cell>
          <cell r="E1925">
            <v>110</v>
          </cell>
          <cell r="F1925">
            <v>143</v>
          </cell>
        </row>
        <row r="1926">
          <cell r="A1926">
            <v>148343</v>
          </cell>
          <cell r="B1926" t="str">
            <v>Сидение Sheffilton SHT-ST29-С12 S-198 ежевичное вино (+)</v>
          </cell>
          <cell r="C1926">
            <v>1673.33</v>
          </cell>
          <cell r="E1926">
            <v>110</v>
          </cell>
          <cell r="F1926">
            <v>143</v>
          </cell>
        </row>
        <row r="1927">
          <cell r="A1927">
            <v>148339</v>
          </cell>
          <cell r="B1927" t="str">
            <v>Сидение Sheffilton SHT-ST29-С12 S-198 коричневый сахар (+)</v>
          </cell>
          <cell r="C1927">
            <v>1533.33</v>
          </cell>
          <cell r="E1927">
            <v>101</v>
          </cell>
          <cell r="F1927">
            <v>131</v>
          </cell>
        </row>
        <row r="1928">
          <cell r="A1928">
            <v>163534</v>
          </cell>
          <cell r="B1928" t="str">
            <v>Сидение Sheffilton SHT-ST29-С20 S-207 серый туман</v>
          </cell>
          <cell r="C1928">
            <v>1673.33</v>
          </cell>
          <cell r="E1928">
            <v>110</v>
          </cell>
          <cell r="F1928">
            <v>143</v>
          </cell>
        </row>
        <row r="1929">
          <cell r="A1929">
            <v>190266</v>
          </cell>
          <cell r="B1929" t="str">
            <v>Сидение Sheffilton SHT-ST29-С22 S-45 розовый зефир</v>
          </cell>
          <cell r="C1929">
            <v>2060</v>
          </cell>
          <cell r="E1929">
            <v>136</v>
          </cell>
          <cell r="F1929">
            <v>177</v>
          </cell>
        </row>
        <row r="1930">
          <cell r="A1930">
            <v>150866</v>
          </cell>
          <cell r="B1930" t="str">
            <v>Сидение Sheffilton SHT-ST29-С4 S-47 графит</v>
          </cell>
          <cell r="C1930">
            <v>1606.67</v>
          </cell>
          <cell r="E1930">
            <v>106</v>
          </cell>
          <cell r="F1930">
            <v>138</v>
          </cell>
        </row>
        <row r="1931">
          <cell r="A1931">
            <v>147946</v>
          </cell>
          <cell r="B1931" t="str">
            <v>Сидение Sheffilton SHT-ST31 S-191 бежевый</v>
          </cell>
          <cell r="C1931">
            <v>1210</v>
          </cell>
          <cell r="E1931">
            <v>80</v>
          </cell>
          <cell r="F1931">
            <v>104</v>
          </cell>
        </row>
        <row r="1932">
          <cell r="A1932">
            <v>147948</v>
          </cell>
          <cell r="B1932" t="str">
            <v>Сидение Sheffilton SHT-ST31 S-191 белый</v>
          </cell>
          <cell r="C1932">
            <v>1210</v>
          </cell>
          <cell r="E1932">
            <v>80</v>
          </cell>
          <cell r="F1932">
            <v>104</v>
          </cell>
        </row>
        <row r="1933">
          <cell r="A1933">
            <v>147949</v>
          </cell>
          <cell r="B1933" t="str">
            <v>Сидение Sheffilton SHT-ST31 S-191 красный</v>
          </cell>
          <cell r="C1933">
            <v>1210</v>
          </cell>
          <cell r="E1933">
            <v>80</v>
          </cell>
          <cell r="F1933">
            <v>104</v>
          </cell>
        </row>
        <row r="1934">
          <cell r="A1934">
            <v>150148</v>
          </cell>
          <cell r="B1934" t="str">
            <v>Сидение Sheffilton SHT-ST31 S-191 черный</v>
          </cell>
          <cell r="C1934">
            <v>1233.33</v>
          </cell>
          <cell r="E1934">
            <v>81</v>
          </cell>
          <cell r="F1934">
            <v>105</v>
          </cell>
        </row>
        <row r="1935">
          <cell r="A1935">
            <v>163876</v>
          </cell>
          <cell r="B1935" t="str">
            <v>Сидение Sheffilton SHT-ST31-С1 S-199 ледяная лаванда (+)</v>
          </cell>
          <cell r="C1935">
            <v>2640</v>
          </cell>
          <cell r="E1935">
            <v>174</v>
          </cell>
          <cell r="F1935">
            <v>226</v>
          </cell>
        </row>
        <row r="1936">
          <cell r="A1936">
            <v>163879</v>
          </cell>
          <cell r="B1936" t="str">
            <v>Сидение Sheffilton SHT-ST31-С1 S-199 пепельный (+)</v>
          </cell>
          <cell r="C1936">
            <v>2540</v>
          </cell>
          <cell r="E1936">
            <v>167</v>
          </cell>
          <cell r="F1936">
            <v>217</v>
          </cell>
        </row>
        <row r="1937">
          <cell r="A1937">
            <v>212628</v>
          </cell>
          <cell r="B1937" t="str">
            <v>Сидение Sheffilton SHT-ST31-С1 S-199 темный пепел</v>
          </cell>
          <cell r="C1937">
            <v>2360</v>
          </cell>
          <cell r="E1937">
            <v>155</v>
          </cell>
          <cell r="F1937">
            <v>202</v>
          </cell>
        </row>
        <row r="1938">
          <cell r="A1938">
            <v>163880</v>
          </cell>
          <cell r="B1938" t="str">
            <v>Сидение Sheffilton SHT-ST31-С2 S-200 аквамарин (+)</v>
          </cell>
          <cell r="C1938">
            <v>2693.33</v>
          </cell>
          <cell r="E1938">
            <v>177</v>
          </cell>
          <cell r="F1938">
            <v>230</v>
          </cell>
        </row>
        <row r="1939">
          <cell r="A1939">
            <v>163881</v>
          </cell>
          <cell r="B1939" t="str">
            <v>Сидение Sheffilton SHT-ST31-С2 S-200 кремовый (+)</v>
          </cell>
          <cell r="C1939">
            <v>2720</v>
          </cell>
          <cell r="E1939">
            <v>179</v>
          </cell>
          <cell r="F1939">
            <v>233</v>
          </cell>
        </row>
        <row r="1940">
          <cell r="A1940">
            <v>163885</v>
          </cell>
          <cell r="B1940" t="str">
            <v>Сидение Sheffilton SHT-ST31-С2 S-200 лунный камень (+)</v>
          </cell>
          <cell r="C1940">
            <v>2700</v>
          </cell>
          <cell r="E1940">
            <v>178</v>
          </cell>
          <cell r="F1940">
            <v>231</v>
          </cell>
        </row>
        <row r="1941">
          <cell r="A1941">
            <v>199056</v>
          </cell>
          <cell r="B1941" t="str">
            <v>Сидение Sheffilton SHT-ST33 S-33 синий лед</v>
          </cell>
          <cell r="C1941">
            <v>3233.33</v>
          </cell>
          <cell r="E1941">
            <v>213</v>
          </cell>
          <cell r="F1941">
            <v>277</v>
          </cell>
        </row>
        <row r="1942">
          <cell r="A1942">
            <v>199055</v>
          </cell>
          <cell r="B1942" t="str">
            <v>Сидение Sheffilton SHT-ST33 S-33 сиреневая орхидея</v>
          </cell>
          <cell r="C1942">
            <v>3160</v>
          </cell>
          <cell r="E1942">
            <v>208</v>
          </cell>
          <cell r="F1942">
            <v>270</v>
          </cell>
        </row>
        <row r="1943">
          <cell r="A1943">
            <v>199057</v>
          </cell>
          <cell r="B1943" t="str">
            <v>Сидение Sheffilton SHT-ST33-1 S-52 альпийский бирюзовый</v>
          </cell>
          <cell r="C1943">
            <v>3746.67</v>
          </cell>
          <cell r="E1943">
            <v>247</v>
          </cell>
          <cell r="F1943">
            <v>321</v>
          </cell>
        </row>
        <row r="1944">
          <cell r="A1944">
            <v>167410</v>
          </cell>
          <cell r="B1944" t="str">
            <v>Сидение Sheffilton SHT-ST34 S-210 платиново-серый</v>
          </cell>
          <cell r="C1944">
            <v>2540</v>
          </cell>
          <cell r="E1944">
            <v>167</v>
          </cell>
          <cell r="F1944">
            <v>217</v>
          </cell>
        </row>
        <row r="1945">
          <cell r="A1945">
            <v>190299</v>
          </cell>
          <cell r="B1945" t="str">
            <v>Сидение Sheffilton SHT-ST34 S-210 синий мираж</v>
          </cell>
          <cell r="C1945">
            <v>2920</v>
          </cell>
          <cell r="E1945">
            <v>192</v>
          </cell>
          <cell r="F1945">
            <v>250</v>
          </cell>
        </row>
        <row r="1946">
          <cell r="A1946">
            <v>190270</v>
          </cell>
          <cell r="B1946" t="str">
            <v>Сидение Sheffilton SHT-ST34-1 S-44 голубая пастель</v>
          </cell>
          <cell r="C1946">
            <v>2840</v>
          </cell>
          <cell r="E1946">
            <v>187</v>
          </cell>
          <cell r="F1946">
            <v>243</v>
          </cell>
        </row>
        <row r="1947">
          <cell r="A1947">
            <v>186074</v>
          </cell>
          <cell r="B1947" t="str">
            <v>Сидение Sheffilton SHT-ST34-1 S-44 латте</v>
          </cell>
          <cell r="C1947">
            <v>2800</v>
          </cell>
          <cell r="E1947">
            <v>184</v>
          </cell>
          <cell r="F1947">
            <v>239</v>
          </cell>
        </row>
        <row r="1948">
          <cell r="A1948">
            <v>205170</v>
          </cell>
          <cell r="B1948" t="str">
            <v>Сидение Sheffilton SHT-ST35 S-211 горчичный</v>
          </cell>
          <cell r="C1948">
            <v>2420</v>
          </cell>
          <cell r="E1948">
            <v>159</v>
          </cell>
          <cell r="F1948">
            <v>207</v>
          </cell>
        </row>
        <row r="1949">
          <cell r="A1949">
            <v>167402</v>
          </cell>
          <cell r="B1949" t="str">
            <v>Сидение Sheffilton SHT-ST35 S-211 кофейный ликер</v>
          </cell>
          <cell r="C1949">
            <v>2380</v>
          </cell>
          <cell r="E1949">
            <v>157</v>
          </cell>
          <cell r="F1949">
            <v>204</v>
          </cell>
        </row>
        <row r="1950">
          <cell r="A1950">
            <v>167408</v>
          </cell>
          <cell r="B1950" t="str">
            <v>Сидение Sheffilton SHT-ST35 S-211 розовый десерт</v>
          </cell>
          <cell r="C1950">
            <v>2406.67</v>
          </cell>
          <cell r="E1950">
            <v>159</v>
          </cell>
          <cell r="F1950">
            <v>207</v>
          </cell>
        </row>
        <row r="1951">
          <cell r="A1951">
            <v>205173</v>
          </cell>
          <cell r="B1951" t="str">
            <v>Сидение Sheffilton SHT-ST35 S-211 тихий океан</v>
          </cell>
          <cell r="C1951">
            <v>2380</v>
          </cell>
          <cell r="E1951">
            <v>157</v>
          </cell>
          <cell r="F1951">
            <v>204</v>
          </cell>
        </row>
        <row r="1952">
          <cell r="A1952">
            <v>167409</v>
          </cell>
          <cell r="B1952" t="str">
            <v>Сидение Sheffilton SHT-ST35 S-211 ягодное варенье</v>
          </cell>
          <cell r="C1952">
            <v>2373.33</v>
          </cell>
          <cell r="E1952">
            <v>156</v>
          </cell>
          <cell r="F1952">
            <v>203</v>
          </cell>
        </row>
        <row r="1953">
          <cell r="A1953">
            <v>174822</v>
          </cell>
          <cell r="B1953" t="str">
            <v>Сидение Sheffilton SHT-ST35-1 S-40 имперский желтый</v>
          </cell>
          <cell r="C1953">
            <v>2633.33</v>
          </cell>
          <cell r="E1953">
            <v>173</v>
          </cell>
          <cell r="F1953">
            <v>225</v>
          </cell>
        </row>
        <row r="1954">
          <cell r="A1954">
            <v>205171</v>
          </cell>
          <cell r="B1954" t="str">
            <v>Сидение Sheffilton SHT-ST35-1 S-40 угольно-серый</v>
          </cell>
          <cell r="C1954">
            <v>2633.33</v>
          </cell>
          <cell r="E1954">
            <v>173</v>
          </cell>
          <cell r="F1954">
            <v>225</v>
          </cell>
        </row>
        <row r="1955">
          <cell r="A1955">
            <v>174833</v>
          </cell>
          <cell r="B1955" t="str">
            <v>Сидение Sheffilton SHT-ST35-2 S-35 лиственно-зеленый</v>
          </cell>
          <cell r="C1955">
            <v>2713.33</v>
          </cell>
          <cell r="E1955">
            <v>179</v>
          </cell>
          <cell r="F1955">
            <v>233</v>
          </cell>
        </row>
        <row r="1956">
          <cell r="A1956">
            <v>205176</v>
          </cell>
          <cell r="B1956" t="str">
            <v>Сидение Sheffilton SHT-ST36 S-53 ванильный крем</v>
          </cell>
          <cell r="C1956">
            <v>3013.33</v>
          </cell>
          <cell r="E1956">
            <v>199</v>
          </cell>
          <cell r="F1956">
            <v>259</v>
          </cell>
        </row>
        <row r="1957">
          <cell r="A1957">
            <v>205177</v>
          </cell>
          <cell r="B1957" t="str">
            <v>Сидение Sheffilton SHT-ST36 S-53 ночное затмение</v>
          </cell>
          <cell r="C1957">
            <v>3013.33</v>
          </cell>
          <cell r="E1957">
            <v>199</v>
          </cell>
          <cell r="F1957">
            <v>259</v>
          </cell>
        </row>
        <row r="1958">
          <cell r="A1958">
            <v>190272</v>
          </cell>
          <cell r="B1958" t="str">
            <v>Сидение Sheffilton SHT-ST36-1 S-38 песчаная буря</v>
          </cell>
          <cell r="C1958">
            <v>3113.33</v>
          </cell>
          <cell r="E1958">
            <v>205</v>
          </cell>
          <cell r="F1958">
            <v>267</v>
          </cell>
        </row>
        <row r="1959">
          <cell r="A1959">
            <v>174815</v>
          </cell>
          <cell r="B1959" t="str">
            <v>Сидение Sheffilton SHT-ST36-1 S-38 тихий океан</v>
          </cell>
          <cell r="C1959">
            <v>3080</v>
          </cell>
          <cell r="E1959">
            <v>203</v>
          </cell>
          <cell r="F1959">
            <v>264</v>
          </cell>
        </row>
        <row r="1960">
          <cell r="A1960">
            <v>199053</v>
          </cell>
          <cell r="B1960" t="str">
            <v>Сидение Sheffilton SHT-ST36-3 S-39 нежная мята</v>
          </cell>
          <cell r="C1960">
            <v>3080</v>
          </cell>
          <cell r="E1960">
            <v>203</v>
          </cell>
          <cell r="F1960">
            <v>264</v>
          </cell>
        </row>
        <row r="1961">
          <cell r="A1961">
            <v>174814</v>
          </cell>
          <cell r="B1961" t="str">
            <v>Сидение Sheffilton SHT-ST36-3 S-39 нейтральный серый</v>
          </cell>
          <cell r="C1961">
            <v>2980</v>
          </cell>
          <cell r="E1961">
            <v>196</v>
          </cell>
          <cell r="F1961">
            <v>255</v>
          </cell>
        </row>
        <row r="1962">
          <cell r="A1962">
            <v>190275</v>
          </cell>
          <cell r="B1962" t="str">
            <v>Сидение Sheffilton SHT-ST36-4 S-50 сумеречная орхидея</v>
          </cell>
          <cell r="C1962">
            <v>3106.67</v>
          </cell>
          <cell r="E1962">
            <v>205</v>
          </cell>
          <cell r="F1962">
            <v>267</v>
          </cell>
        </row>
        <row r="1963">
          <cell r="A1963">
            <v>205180</v>
          </cell>
          <cell r="B1963" t="str">
            <v>Сидение Sheffilton SHT-ST37 S-37 горчичный</v>
          </cell>
          <cell r="C1963">
            <v>3106.67</v>
          </cell>
          <cell r="E1963">
            <v>205</v>
          </cell>
          <cell r="F1963">
            <v>267</v>
          </cell>
        </row>
        <row r="1964">
          <cell r="A1964">
            <v>167412</v>
          </cell>
          <cell r="B1964" t="str">
            <v>Сидение Sheffilton SHT-ST37 S-37 рубиновое вино</v>
          </cell>
          <cell r="C1964">
            <v>3020</v>
          </cell>
          <cell r="E1964">
            <v>199</v>
          </cell>
          <cell r="F1964">
            <v>259</v>
          </cell>
        </row>
        <row r="1965">
          <cell r="A1965">
            <v>167411</v>
          </cell>
          <cell r="B1965" t="str">
            <v>Сидение Sheffilton SHT-ST37 S-37 серое облако</v>
          </cell>
          <cell r="C1965">
            <v>3020</v>
          </cell>
          <cell r="E1965">
            <v>199</v>
          </cell>
          <cell r="F1965">
            <v>259</v>
          </cell>
        </row>
        <row r="1966">
          <cell r="A1966">
            <v>190274</v>
          </cell>
          <cell r="B1966" t="str">
            <v>Сидение Sheffilton SHT-ST38 S-42 альпийский бирюзовый</v>
          </cell>
          <cell r="C1966">
            <v>3393.33</v>
          </cell>
          <cell r="E1966">
            <v>224</v>
          </cell>
          <cell r="F1966">
            <v>291</v>
          </cell>
        </row>
        <row r="1967">
          <cell r="A1967">
            <v>190568</v>
          </cell>
          <cell r="B1967" t="str">
            <v>Сидение Sheffilton SHT-ST38 S-42 зефирный</v>
          </cell>
          <cell r="C1967">
            <v>3633.33</v>
          </cell>
          <cell r="E1967">
            <v>239</v>
          </cell>
          <cell r="F1967">
            <v>311</v>
          </cell>
        </row>
        <row r="1968">
          <cell r="A1968">
            <v>199052</v>
          </cell>
          <cell r="B1968" t="str">
            <v>Сидение Sheffilton SHT-ST38 S-42 синий пепел</v>
          </cell>
          <cell r="C1968">
            <v>3393.33</v>
          </cell>
          <cell r="E1968">
            <v>224</v>
          </cell>
          <cell r="F1968">
            <v>291</v>
          </cell>
        </row>
        <row r="1969">
          <cell r="A1969">
            <v>186073</v>
          </cell>
          <cell r="B1969" t="str">
            <v>Сидение Sheffilton SHT-ST38 S-42 угольно-серый</v>
          </cell>
          <cell r="C1969">
            <v>3393.33</v>
          </cell>
          <cell r="E1969">
            <v>224</v>
          </cell>
          <cell r="F1969">
            <v>291</v>
          </cell>
        </row>
        <row r="1970">
          <cell r="A1970">
            <v>186072</v>
          </cell>
          <cell r="B1970" t="str">
            <v>Сидение Sheffilton SHT-ST38-1 S-43 лунный мрамор</v>
          </cell>
          <cell r="C1970">
            <v>3420</v>
          </cell>
          <cell r="E1970">
            <v>225</v>
          </cell>
          <cell r="F1970">
            <v>293</v>
          </cell>
        </row>
        <row r="1971">
          <cell r="A1971">
            <v>208955</v>
          </cell>
          <cell r="B1971" t="str">
            <v>Сидение Sheffilton SHT-ST39 S-214 латте</v>
          </cell>
          <cell r="C1971">
            <v>3060</v>
          </cell>
          <cell r="E1971">
            <v>202</v>
          </cell>
          <cell r="F1971">
            <v>263</v>
          </cell>
        </row>
        <row r="1972">
          <cell r="A1972">
            <v>208954</v>
          </cell>
          <cell r="B1972" t="str">
            <v>Сидение Sheffilton SHT-ST39 S-214 пыльная роза</v>
          </cell>
          <cell r="C1972">
            <v>3173.33</v>
          </cell>
          <cell r="E1972">
            <v>209</v>
          </cell>
          <cell r="F1972">
            <v>272</v>
          </cell>
        </row>
        <row r="1973">
          <cell r="A1973">
            <v>982334</v>
          </cell>
          <cell r="B1973" t="str">
            <v>Сидение Sheffilton SHT-ST63 S-63 прозрачный лак</v>
          </cell>
          <cell r="C1973">
            <v>1936.67</v>
          </cell>
          <cell r="E1973">
            <v>128</v>
          </cell>
          <cell r="F1973">
            <v>166</v>
          </cell>
        </row>
        <row r="1974">
          <cell r="A1974">
            <v>987509</v>
          </cell>
          <cell r="B1974" t="str">
            <v>Сидение Sheffilton SHT-ST63 S-63 прозрачный лак</v>
          </cell>
          <cell r="C1974">
            <v>1633.33</v>
          </cell>
          <cell r="E1974">
            <v>108</v>
          </cell>
          <cell r="F1974">
            <v>140</v>
          </cell>
        </row>
        <row r="1975">
          <cell r="A1975">
            <v>986735</v>
          </cell>
          <cell r="B1975" t="str">
            <v>Сидение Sheffilton SHT-ST63-CN1 S-21 кедровый</v>
          </cell>
          <cell r="C1975">
            <v>666.67</v>
          </cell>
          <cell r="E1975">
            <v>44</v>
          </cell>
          <cell r="F1975">
            <v>57</v>
          </cell>
        </row>
        <row r="1976">
          <cell r="A1976">
            <v>987521</v>
          </cell>
          <cell r="B1976" t="str">
            <v>Сидение Sheffilton SHT-ST63-CN1 S-21 черный</v>
          </cell>
          <cell r="C1976">
            <v>680</v>
          </cell>
          <cell r="E1976">
            <v>45</v>
          </cell>
          <cell r="F1976">
            <v>59</v>
          </cell>
        </row>
        <row r="1977">
          <cell r="A1977">
            <v>988283</v>
          </cell>
          <cell r="B1977" t="str">
            <v>Сидение Sheffilton SHT-ST68 S-13 бежевый RAL1013 (+)</v>
          </cell>
          <cell r="C1977">
            <v>1166.67</v>
          </cell>
          <cell r="E1977">
            <v>77</v>
          </cell>
          <cell r="F1977">
            <v>100</v>
          </cell>
        </row>
        <row r="1978">
          <cell r="A1978">
            <v>988284</v>
          </cell>
          <cell r="B1978" t="str">
            <v>Сидение Sheffilton SHT-ST68 S-13 коричневый (+)</v>
          </cell>
          <cell r="C1978">
            <v>1166.67</v>
          </cell>
          <cell r="E1978">
            <v>77</v>
          </cell>
          <cell r="F1978">
            <v>100</v>
          </cell>
        </row>
        <row r="1979">
          <cell r="A1979">
            <v>988285</v>
          </cell>
          <cell r="B1979" t="str">
            <v>Сидение Sheffilton SHT-ST68 S-13 черно-коричневый (+)</v>
          </cell>
          <cell r="C1979">
            <v>1166.67</v>
          </cell>
          <cell r="E1979">
            <v>77</v>
          </cell>
          <cell r="F1979">
            <v>100</v>
          </cell>
        </row>
        <row r="1980">
          <cell r="A1980">
            <v>975055</v>
          </cell>
          <cell r="B1980" t="str">
            <v>Сидение Sheffilton SHT-ST75 S-12 бежевый RAL1013 (+)</v>
          </cell>
          <cell r="C1980">
            <v>1080</v>
          </cell>
          <cell r="E1980">
            <v>71</v>
          </cell>
          <cell r="F1980">
            <v>92</v>
          </cell>
        </row>
        <row r="1981">
          <cell r="A1981">
            <v>975056</v>
          </cell>
          <cell r="B1981" t="str">
            <v>Сидение Sheffilton SHT-ST75 S-12 белый (+)</v>
          </cell>
          <cell r="C1981">
            <v>1080</v>
          </cell>
          <cell r="E1981">
            <v>71</v>
          </cell>
          <cell r="F1981">
            <v>92</v>
          </cell>
        </row>
        <row r="1982">
          <cell r="A1982">
            <v>975057</v>
          </cell>
          <cell r="B1982" t="str">
            <v>Сидение Sheffilton SHT-ST75 S-12 голубой (+)</v>
          </cell>
          <cell r="C1982">
            <v>1080</v>
          </cell>
          <cell r="E1982">
            <v>71</v>
          </cell>
          <cell r="F1982">
            <v>92</v>
          </cell>
        </row>
        <row r="1983">
          <cell r="A1983">
            <v>975058</v>
          </cell>
          <cell r="B1983" t="str">
            <v>Сидение Sheffilton SHT-ST75 S-12 желтый RAL1021 (+)</v>
          </cell>
          <cell r="C1983">
            <v>1080</v>
          </cell>
          <cell r="E1983">
            <v>71</v>
          </cell>
          <cell r="F1983">
            <v>92</v>
          </cell>
        </row>
        <row r="1984">
          <cell r="A1984">
            <v>975059</v>
          </cell>
          <cell r="B1984" t="str">
            <v>Сидение Sheffilton SHT-ST75 S-12 зеленый (+)</v>
          </cell>
          <cell r="C1984">
            <v>1080</v>
          </cell>
          <cell r="E1984">
            <v>71</v>
          </cell>
          <cell r="F1984">
            <v>92</v>
          </cell>
        </row>
        <row r="1985">
          <cell r="A1985">
            <v>975060</v>
          </cell>
          <cell r="B1985" t="str">
            <v>Сидение Sheffilton SHT-ST75 S-12 коричневый (+)</v>
          </cell>
          <cell r="C1985">
            <v>1080</v>
          </cell>
          <cell r="E1985">
            <v>71</v>
          </cell>
          <cell r="F1985">
            <v>92</v>
          </cell>
        </row>
        <row r="1986">
          <cell r="A1986">
            <v>975061</v>
          </cell>
          <cell r="B1986" t="str">
            <v>Сидение Sheffilton SHT-ST75 S-12 красный (+)</v>
          </cell>
          <cell r="C1986">
            <v>1080</v>
          </cell>
          <cell r="E1986">
            <v>71</v>
          </cell>
          <cell r="F1986">
            <v>92</v>
          </cell>
        </row>
        <row r="1987">
          <cell r="A1987">
            <v>975062</v>
          </cell>
          <cell r="B1987" t="str">
            <v>Сидение Sheffilton SHT-ST75 S-12 мятный (+)</v>
          </cell>
          <cell r="C1987">
            <v>1080</v>
          </cell>
          <cell r="E1987">
            <v>71</v>
          </cell>
          <cell r="F1987">
            <v>92</v>
          </cell>
        </row>
        <row r="1988">
          <cell r="A1988">
            <v>975063</v>
          </cell>
          <cell r="B1988" t="str">
            <v>Сидение Sheffilton SHT-ST75 S-12 оранжевый RAL2003 (+)</v>
          </cell>
          <cell r="C1988">
            <v>1080</v>
          </cell>
          <cell r="E1988">
            <v>71</v>
          </cell>
          <cell r="F1988">
            <v>92</v>
          </cell>
        </row>
        <row r="1989">
          <cell r="A1989">
            <v>138993</v>
          </cell>
          <cell r="B1989" t="str">
            <v>Сидение Sheffilton SHT-ST75 S-12 серый RAL7040</v>
          </cell>
          <cell r="C1989">
            <v>1080</v>
          </cell>
          <cell r="E1989">
            <v>71</v>
          </cell>
          <cell r="F1989">
            <v>92</v>
          </cell>
        </row>
        <row r="1990">
          <cell r="A1990">
            <v>975064</v>
          </cell>
          <cell r="B1990" t="str">
            <v>Сидение Sheffilton SHT-ST75 S-12 черный (+)</v>
          </cell>
          <cell r="C1990">
            <v>1080</v>
          </cell>
          <cell r="E1990">
            <v>71</v>
          </cell>
          <cell r="F1990">
            <v>92</v>
          </cell>
        </row>
        <row r="1991">
          <cell r="A1991">
            <v>980662</v>
          </cell>
          <cell r="B1991" t="str">
            <v>Сидение Sheffilton SHT-ST76 S-11 бежевый RAL1013 (+)</v>
          </cell>
          <cell r="C1991">
            <v>1136.67</v>
          </cell>
          <cell r="E1991">
            <v>75</v>
          </cell>
          <cell r="F1991">
            <v>98</v>
          </cell>
        </row>
        <row r="1992">
          <cell r="A1992">
            <v>980663</v>
          </cell>
          <cell r="B1992" t="str">
            <v>Сидение Sheffilton SHT-ST76 S-11 белый (+)</v>
          </cell>
          <cell r="C1992">
            <v>1136.67</v>
          </cell>
          <cell r="E1992">
            <v>75</v>
          </cell>
          <cell r="F1992">
            <v>98</v>
          </cell>
        </row>
        <row r="1993">
          <cell r="A1993">
            <v>980664</v>
          </cell>
          <cell r="B1993" t="str">
            <v>Сидение Sheffilton SHT-ST76 S-11 голубой (+)</v>
          </cell>
          <cell r="C1993">
            <v>1136.67</v>
          </cell>
          <cell r="E1993">
            <v>75</v>
          </cell>
          <cell r="F1993">
            <v>98</v>
          </cell>
        </row>
        <row r="1994">
          <cell r="A1994">
            <v>980665</v>
          </cell>
          <cell r="B1994" t="str">
            <v>Сидение Sheffilton SHT-ST76 S-11 желтый RAL1021 (+)</v>
          </cell>
          <cell r="C1994">
            <v>1136.67</v>
          </cell>
          <cell r="E1994">
            <v>75</v>
          </cell>
          <cell r="F1994">
            <v>98</v>
          </cell>
        </row>
        <row r="1995">
          <cell r="A1995">
            <v>980666</v>
          </cell>
          <cell r="B1995" t="str">
            <v>Сидение Sheffilton SHT-ST76 S-11 зеленый (+)</v>
          </cell>
          <cell r="C1995">
            <v>1136.67</v>
          </cell>
          <cell r="E1995">
            <v>75</v>
          </cell>
          <cell r="F1995">
            <v>98</v>
          </cell>
        </row>
        <row r="1996">
          <cell r="A1996">
            <v>980667</v>
          </cell>
          <cell r="B1996" t="str">
            <v>Сидение Sheffilton SHT-ST76 S-11 коричневый (+)</v>
          </cell>
          <cell r="C1996">
            <v>1136.67</v>
          </cell>
          <cell r="E1996">
            <v>75</v>
          </cell>
          <cell r="F1996">
            <v>98</v>
          </cell>
        </row>
        <row r="1997">
          <cell r="A1997">
            <v>980668</v>
          </cell>
          <cell r="B1997" t="str">
            <v>Сидение Sheffilton SHT-ST76 S-11 красный (+)</v>
          </cell>
          <cell r="C1997">
            <v>1136.67</v>
          </cell>
          <cell r="E1997">
            <v>75</v>
          </cell>
          <cell r="F1997">
            <v>98</v>
          </cell>
        </row>
        <row r="1998">
          <cell r="A1998">
            <v>980669</v>
          </cell>
          <cell r="B1998" t="str">
            <v>Сидение Sheffilton SHT-ST76 S-11 мятный (+)</v>
          </cell>
          <cell r="C1998">
            <v>1136.67</v>
          </cell>
          <cell r="E1998">
            <v>75</v>
          </cell>
          <cell r="F1998">
            <v>98</v>
          </cell>
        </row>
        <row r="1999">
          <cell r="A1999">
            <v>980670</v>
          </cell>
          <cell r="B1999" t="str">
            <v>Сидение Sheffilton SHT-ST76 S-11 оранжевый RAL2003 (+)</v>
          </cell>
          <cell r="C1999">
            <v>1136.67</v>
          </cell>
          <cell r="E1999">
            <v>75</v>
          </cell>
          <cell r="F1999">
            <v>98</v>
          </cell>
        </row>
        <row r="2000">
          <cell r="A2000">
            <v>980671</v>
          </cell>
          <cell r="B2000" t="str">
            <v>Сидение Sheffilton SHT-ST76 S-11 черный (+)</v>
          </cell>
          <cell r="C2000">
            <v>1136.67</v>
          </cell>
          <cell r="E2000">
            <v>75</v>
          </cell>
          <cell r="F2000">
            <v>98</v>
          </cell>
        </row>
        <row r="2001">
          <cell r="A2001">
            <v>12746</v>
          </cell>
          <cell r="B2001" t="str">
            <v>Сидение Sheffilton SHT-ST85 S-85 бежевый RAL1013</v>
          </cell>
          <cell r="C2001">
            <v>526.66999999999996</v>
          </cell>
          <cell r="E2001">
            <v>35</v>
          </cell>
          <cell r="F2001">
            <v>46</v>
          </cell>
        </row>
        <row r="2002">
          <cell r="A2002">
            <v>12856</v>
          </cell>
          <cell r="B2002" t="str">
            <v>Сидение Sheffilton SHT-ST85 S-85 белый</v>
          </cell>
          <cell r="C2002">
            <v>526.66999999999996</v>
          </cell>
          <cell r="E2002">
            <v>35</v>
          </cell>
          <cell r="F2002">
            <v>46</v>
          </cell>
        </row>
        <row r="2003">
          <cell r="A2003">
            <v>377341</v>
          </cell>
          <cell r="B2003" t="str">
            <v>Сидение Sheffilton SHT-ST85 S-85 желтый RAL1021</v>
          </cell>
          <cell r="C2003">
            <v>526.66999999999996</v>
          </cell>
          <cell r="E2003">
            <v>35</v>
          </cell>
          <cell r="F2003">
            <v>46</v>
          </cell>
        </row>
        <row r="2004">
          <cell r="A2004">
            <v>162880</v>
          </cell>
          <cell r="B2004" t="str">
            <v>Сидение Sheffilton SHT-ST85 S-85 зеленый ral6018</v>
          </cell>
          <cell r="C2004">
            <v>526.66999999999996</v>
          </cell>
          <cell r="E2004">
            <v>35</v>
          </cell>
          <cell r="F2004">
            <v>46</v>
          </cell>
        </row>
        <row r="2005">
          <cell r="A2005">
            <v>164273</v>
          </cell>
          <cell r="B2005" t="str">
            <v>Сидение Sheffilton SHT-ST85 S-85 красный</v>
          </cell>
          <cell r="C2005">
            <v>526.66999999999996</v>
          </cell>
          <cell r="E2005">
            <v>35</v>
          </cell>
          <cell r="F2005">
            <v>46</v>
          </cell>
        </row>
        <row r="2006">
          <cell r="A2006">
            <v>170402</v>
          </cell>
          <cell r="B2006" t="str">
            <v>Сидение Sheffilton SHT-ST85 S-85 мятный</v>
          </cell>
          <cell r="C2006">
            <v>526.66999999999996</v>
          </cell>
          <cell r="E2006">
            <v>35</v>
          </cell>
          <cell r="F2006">
            <v>46</v>
          </cell>
        </row>
        <row r="2007">
          <cell r="A2007">
            <v>169997</v>
          </cell>
          <cell r="B2007" t="str">
            <v>Сидение Sheffilton SHT-ST85 S-85 оранжевый</v>
          </cell>
          <cell r="C2007">
            <v>526.66999999999996</v>
          </cell>
          <cell r="E2007">
            <v>35</v>
          </cell>
          <cell r="F2007">
            <v>46</v>
          </cell>
        </row>
        <row r="2008">
          <cell r="A2008">
            <v>175557</v>
          </cell>
          <cell r="B2008" t="str">
            <v>Сидение Sheffilton SHT-ST85 S-85 розовый</v>
          </cell>
          <cell r="C2008">
            <v>526.66999999999996</v>
          </cell>
          <cell r="E2008">
            <v>35</v>
          </cell>
          <cell r="F2008">
            <v>46</v>
          </cell>
        </row>
        <row r="2009">
          <cell r="A2009">
            <v>175838</v>
          </cell>
          <cell r="B2009" t="str">
            <v>Сидение Sheffilton SHT-ST85 S-85 серый RAL 7040</v>
          </cell>
          <cell r="C2009">
            <v>526.66999999999996</v>
          </cell>
          <cell r="E2009">
            <v>35</v>
          </cell>
          <cell r="F2009">
            <v>46</v>
          </cell>
        </row>
        <row r="2010">
          <cell r="A2010">
            <v>180318</v>
          </cell>
          <cell r="B2010" t="str">
            <v>Сидение Sheffilton SHT-ST85 S-85 синий Морена 1604559-Е</v>
          </cell>
          <cell r="C2010">
            <v>526.66999999999996</v>
          </cell>
          <cell r="E2010">
            <v>35</v>
          </cell>
          <cell r="F2010">
            <v>46</v>
          </cell>
        </row>
        <row r="2011">
          <cell r="A2011">
            <v>175837</v>
          </cell>
          <cell r="B2011" t="str">
            <v>Сидение Sheffilton SHT-ST85 S-85 фиолетовый PAN 2582</v>
          </cell>
          <cell r="C2011">
            <v>526.66999999999996</v>
          </cell>
          <cell r="E2011">
            <v>35</v>
          </cell>
          <cell r="F2011">
            <v>46</v>
          </cell>
        </row>
        <row r="2012">
          <cell r="A2012">
            <v>12686</v>
          </cell>
          <cell r="B2012" t="str">
            <v>Сидение Sheffilton SHT-ST85 S-85 черный</v>
          </cell>
          <cell r="C2012">
            <v>526.66999999999996</v>
          </cell>
          <cell r="E2012">
            <v>35</v>
          </cell>
          <cell r="F2012">
            <v>46</v>
          </cell>
        </row>
        <row r="2013">
          <cell r="A2013">
            <v>149928</v>
          </cell>
          <cell r="B2013" t="str">
            <v>Сидение Sheffilton SHT-ST85-1 S-164 прозрачный лак</v>
          </cell>
          <cell r="C2013">
            <v>2040</v>
          </cell>
          <cell r="E2013">
            <v>134</v>
          </cell>
          <cell r="F2013">
            <v>174</v>
          </cell>
        </row>
        <row r="2014">
          <cell r="A2014">
            <v>163203</v>
          </cell>
          <cell r="B2014" t="str">
            <v>Сидение Sheffilton SHT-ST85-2 S-208 бежевый</v>
          </cell>
          <cell r="C2014">
            <v>646.66999999999996</v>
          </cell>
          <cell r="E2014">
            <v>43</v>
          </cell>
          <cell r="F2014">
            <v>56</v>
          </cell>
        </row>
        <row r="2015">
          <cell r="A2015">
            <v>164615</v>
          </cell>
          <cell r="B2015" t="str">
            <v>Сидение Sheffilton SHT-ST85-2 S-208 белый</v>
          </cell>
          <cell r="C2015">
            <v>646.66999999999996</v>
          </cell>
          <cell r="E2015">
            <v>43</v>
          </cell>
          <cell r="F2015">
            <v>56</v>
          </cell>
        </row>
        <row r="2016">
          <cell r="A2016">
            <v>176890</v>
          </cell>
          <cell r="B2016" t="str">
            <v>Сидение Sheffilton SHT-ST85-2 S-208 голубой</v>
          </cell>
          <cell r="C2016">
            <v>646.66999999999996</v>
          </cell>
          <cell r="E2016">
            <v>43</v>
          </cell>
          <cell r="F2016">
            <v>56</v>
          </cell>
        </row>
        <row r="2017">
          <cell r="A2017">
            <v>176889</v>
          </cell>
          <cell r="B2017" t="str">
            <v>Сидение Sheffilton SHT-ST85-2 S-208 коричневый</v>
          </cell>
          <cell r="C2017">
            <v>646.66999999999996</v>
          </cell>
          <cell r="E2017">
            <v>43</v>
          </cell>
          <cell r="F2017">
            <v>56</v>
          </cell>
        </row>
        <row r="2018">
          <cell r="A2018">
            <v>163202</v>
          </cell>
          <cell r="B2018" t="str">
            <v>Сидение Sheffilton SHT-ST85-2 S-208 красный</v>
          </cell>
          <cell r="C2018">
            <v>646.66999999999996</v>
          </cell>
          <cell r="E2018">
            <v>43</v>
          </cell>
          <cell r="F2018">
            <v>56</v>
          </cell>
        </row>
        <row r="2019">
          <cell r="A2019">
            <v>163201</v>
          </cell>
          <cell r="B2019" t="str">
            <v>Сидение Sheffilton SHT-ST85-2 S-208 черный</v>
          </cell>
          <cell r="C2019">
            <v>646.66999999999996</v>
          </cell>
          <cell r="E2019">
            <v>43</v>
          </cell>
          <cell r="F2019">
            <v>56</v>
          </cell>
        </row>
        <row r="2020">
          <cell r="A2020">
            <v>148559</v>
          </cell>
          <cell r="B2020" t="str">
            <v>Сидение Sheffilton SHT-ST85-C12 S-202 кремовый (+)</v>
          </cell>
          <cell r="C2020">
            <v>1126.67</v>
          </cell>
          <cell r="E2020">
            <v>74</v>
          </cell>
          <cell r="F2020">
            <v>96</v>
          </cell>
        </row>
        <row r="2021">
          <cell r="A2021">
            <v>148558</v>
          </cell>
          <cell r="B2021" t="str">
            <v>Сидение Sheffilton SHT-ST85-C12 S-202 черный (+)</v>
          </cell>
          <cell r="C2021">
            <v>1166.67</v>
          </cell>
          <cell r="E2021">
            <v>77</v>
          </cell>
          <cell r="F2021">
            <v>100</v>
          </cell>
        </row>
        <row r="2022">
          <cell r="A2022">
            <v>966226</v>
          </cell>
          <cell r="B2022" t="str">
            <v>Сидение Sheffilton SHT-ST9 S-9 дуб брашированный коричневый (+)</v>
          </cell>
          <cell r="C2022">
            <v>1500</v>
          </cell>
          <cell r="E2022">
            <v>99</v>
          </cell>
          <cell r="F2022">
            <v>129</v>
          </cell>
        </row>
        <row r="2023">
          <cell r="A2023">
            <v>966334</v>
          </cell>
          <cell r="B2023" t="str">
            <v>Сидение Sheffilton SHT-ST9 S-9 прозрачный лак</v>
          </cell>
          <cell r="C2023">
            <v>1133.33</v>
          </cell>
          <cell r="E2023">
            <v>75</v>
          </cell>
          <cell r="F2023">
            <v>98</v>
          </cell>
        </row>
        <row r="2024">
          <cell r="A2024">
            <v>945194</v>
          </cell>
          <cell r="B2024" t="str">
            <v>Сидение Sheffilton круглое SHT-ST14  серый/декор.состаривание</v>
          </cell>
          <cell r="C2024">
            <v>846.67</v>
          </cell>
          <cell r="E2024">
            <v>56</v>
          </cell>
          <cell r="F2024">
            <v>73</v>
          </cell>
        </row>
        <row r="2025">
          <cell r="A2025">
            <v>149101</v>
          </cell>
          <cell r="B2025" t="str">
            <v>Сидение из гнутой фанеры Sheffilton SHT-ST10-1 S-203 дуб выбеленный</v>
          </cell>
          <cell r="C2025">
            <v>3866.67</v>
          </cell>
          <cell r="E2025">
            <v>255</v>
          </cell>
          <cell r="F2025">
            <v>332</v>
          </cell>
        </row>
        <row r="2026">
          <cell r="A2026">
            <v>149104</v>
          </cell>
          <cell r="B2026" t="str">
            <v>Сидение из гнутой фанеры Sheffilton SHT-ST10-1 S-203 ноче рубино</v>
          </cell>
          <cell r="C2026">
            <v>2633.33</v>
          </cell>
          <cell r="E2026">
            <v>173</v>
          </cell>
          <cell r="F2026">
            <v>225</v>
          </cell>
        </row>
        <row r="2027">
          <cell r="A2027">
            <v>155311</v>
          </cell>
          <cell r="B2027" t="str">
            <v>Сидение из гнутой фанеры Sheffilton SHT-ST10-2 S-205 дуб кера</v>
          </cell>
          <cell r="C2027">
            <v>2458.33</v>
          </cell>
          <cell r="E2027">
            <v>162</v>
          </cell>
          <cell r="F2027">
            <v>211</v>
          </cell>
        </row>
        <row r="2028">
          <cell r="A2028">
            <v>929849</v>
          </cell>
          <cell r="B2028" t="str">
            <v>Сидение из гнутой фанеры Sheffilton SHT-ST15 S-17 прозрачный лак (+)</v>
          </cell>
          <cell r="C2028">
            <v>3533.33</v>
          </cell>
          <cell r="E2028">
            <v>233</v>
          </cell>
          <cell r="F2028">
            <v>303</v>
          </cell>
        </row>
        <row r="2029">
          <cell r="A2029">
            <v>149096</v>
          </cell>
          <cell r="B2029" t="str">
            <v>Сидение из гнутой фанеры Sheffilton SHT-ST15-1 S-190 венге</v>
          </cell>
          <cell r="C2029">
            <v>5000</v>
          </cell>
          <cell r="E2029">
            <v>329</v>
          </cell>
          <cell r="F2029">
            <v>428</v>
          </cell>
        </row>
        <row r="2030">
          <cell r="A2030">
            <v>149097</v>
          </cell>
          <cell r="B2030" t="str">
            <v>Сидение из гнутой фанеры Sheffilton SHT-ST15-1 S-190 дуб выбеленный</v>
          </cell>
          <cell r="C2030">
            <v>2633.33</v>
          </cell>
          <cell r="E2030">
            <v>173</v>
          </cell>
          <cell r="F2030">
            <v>225</v>
          </cell>
        </row>
        <row r="2031">
          <cell r="A2031">
            <v>169610</v>
          </cell>
          <cell r="B2031" t="str">
            <v>Сидение из гнутой фанеры Sheffilton SHT-ST15-1 S-190 метрополитан</v>
          </cell>
          <cell r="C2031">
            <v>2633.33</v>
          </cell>
          <cell r="E2031">
            <v>173</v>
          </cell>
          <cell r="F2031">
            <v>225</v>
          </cell>
        </row>
        <row r="2032">
          <cell r="A2032">
            <v>155309</v>
          </cell>
          <cell r="B2032" t="str">
            <v>Сидение из гнутой фанеры Sheffilton SHT-ST15-2 S-206 трансильвания</v>
          </cell>
          <cell r="C2032">
            <v>2458.33</v>
          </cell>
          <cell r="E2032">
            <v>162</v>
          </cell>
          <cell r="F2032">
            <v>211</v>
          </cell>
        </row>
        <row r="2033">
          <cell r="A2033">
            <v>157312</v>
          </cell>
          <cell r="B2033" t="str">
            <v>Сидение и спинка Sheffilton SHT-ST85-1/SB85-1  прозрачный лак</v>
          </cell>
          <cell r="C2033">
            <v>6173.33</v>
          </cell>
          <cell r="E2033">
            <v>407</v>
          </cell>
          <cell r="F2033">
            <v>529</v>
          </cell>
        </row>
        <row r="2034">
          <cell r="A2034">
            <v>163994</v>
          </cell>
          <cell r="B2034" t="str">
            <v>Сидение и спинка Sheffilton SHT-ST85-2/SB85-2  бежевый/бежевый</v>
          </cell>
          <cell r="C2034">
            <v>1000</v>
          </cell>
          <cell r="E2034">
            <v>66</v>
          </cell>
          <cell r="F2034">
            <v>86</v>
          </cell>
        </row>
        <row r="2035">
          <cell r="A2035">
            <v>163995</v>
          </cell>
          <cell r="B2035" t="str">
            <v>Сидение и спинка Sheffilton SHT-ST85-2/SB85-2  красный/красный</v>
          </cell>
          <cell r="C2035">
            <v>1000</v>
          </cell>
          <cell r="E2035">
            <v>66</v>
          </cell>
          <cell r="F2035">
            <v>86</v>
          </cell>
        </row>
        <row r="2036">
          <cell r="A2036">
            <v>163997</v>
          </cell>
          <cell r="B2036" t="str">
            <v>Сидение и спинка Sheffilton SHT-ST85-2/SB85-2  красный/черный</v>
          </cell>
          <cell r="C2036">
            <v>1000</v>
          </cell>
          <cell r="E2036">
            <v>66</v>
          </cell>
          <cell r="F2036">
            <v>86</v>
          </cell>
        </row>
        <row r="2037">
          <cell r="A2037">
            <v>163996</v>
          </cell>
          <cell r="B2037" t="str">
            <v>Сидение и спинка Sheffilton SHT-ST85-2/SB85-2  черный/черный</v>
          </cell>
          <cell r="C2037">
            <v>1033.33</v>
          </cell>
          <cell r="E2037">
            <v>68</v>
          </cell>
          <cell r="F2037">
            <v>88</v>
          </cell>
        </row>
        <row r="2038">
          <cell r="A2038">
            <v>151991</v>
          </cell>
          <cell r="B2038" t="str">
            <v>Сидение и спинка Sheffilton SHT-ST85-C12/SB85-C12  кремовый/кремовый</v>
          </cell>
          <cell r="C2038">
            <v>1873.33</v>
          </cell>
          <cell r="E2038">
            <v>123</v>
          </cell>
          <cell r="F2038">
            <v>160</v>
          </cell>
        </row>
        <row r="2039">
          <cell r="A2039">
            <v>157308</v>
          </cell>
          <cell r="B2039" t="str">
            <v>Сидение и спинка Sheffilton SHT-ST85-C12/SB85-C12  черный/черный</v>
          </cell>
          <cell r="C2039">
            <v>1873.33</v>
          </cell>
          <cell r="E2039">
            <v>123</v>
          </cell>
          <cell r="F2039">
            <v>160</v>
          </cell>
        </row>
        <row r="2040">
          <cell r="A2040">
            <v>142684</v>
          </cell>
          <cell r="B2040" t="str">
            <v>Сидение и спинка Sheffilton SHT-ST85/SB85  бежевый/бежевый</v>
          </cell>
          <cell r="C2040">
            <v>806.67</v>
          </cell>
          <cell r="E2040">
            <v>53</v>
          </cell>
          <cell r="F2040">
            <v>69</v>
          </cell>
        </row>
        <row r="2041">
          <cell r="A2041">
            <v>142687</v>
          </cell>
          <cell r="B2041" t="str">
            <v>Сидение и спинка Sheffilton SHT-ST85/SB85  белый/белый</v>
          </cell>
          <cell r="C2041">
            <v>806.67</v>
          </cell>
          <cell r="E2041">
            <v>53</v>
          </cell>
          <cell r="F2041">
            <v>69</v>
          </cell>
        </row>
        <row r="2042">
          <cell r="A2042">
            <v>142688</v>
          </cell>
          <cell r="B2042" t="str">
            <v>Сидение и спинка Sheffilton SHT-ST85/SB85  желтый/желтый</v>
          </cell>
          <cell r="C2042">
            <v>806.67</v>
          </cell>
          <cell r="E2042">
            <v>53</v>
          </cell>
          <cell r="F2042">
            <v>69</v>
          </cell>
        </row>
        <row r="2043">
          <cell r="A2043">
            <v>142689</v>
          </cell>
          <cell r="B2043" t="str">
            <v>Сидение и спинка Sheffilton SHT-ST85/SB85  желтый/черный</v>
          </cell>
          <cell r="C2043">
            <v>806.67</v>
          </cell>
          <cell r="E2043">
            <v>53</v>
          </cell>
          <cell r="F2043">
            <v>69</v>
          </cell>
        </row>
        <row r="2044">
          <cell r="A2044">
            <v>211360</v>
          </cell>
          <cell r="B2044" t="str">
            <v>Сидение и спинка Sheffilton SHT-ST85/SB85  красный/красный</v>
          </cell>
          <cell r="C2044">
            <v>806.67</v>
          </cell>
          <cell r="E2044">
            <v>53</v>
          </cell>
          <cell r="F2044">
            <v>69</v>
          </cell>
        </row>
        <row r="2045">
          <cell r="A2045">
            <v>211847</v>
          </cell>
          <cell r="B2045" t="str">
            <v>Сидение и спинка Sheffilton SHT-ST85/SB85  красный/черный</v>
          </cell>
          <cell r="C2045">
            <v>806.67</v>
          </cell>
          <cell r="E2045">
            <v>53</v>
          </cell>
          <cell r="F2045">
            <v>69</v>
          </cell>
        </row>
        <row r="2046">
          <cell r="A2046">
            <v>142683</v>
          </cell>
          <cell r="B2046" t="str">
            <v>Сидение и спинка Sheffilton SHT-ST85/SB85  черный/черный</v>
          </cell>
          <cell r="C2046">
            <v>806.67</v>
          </cell>
          <cell r="E2046">
            <v>53</v>
          </cell>
          <cell r="F2046">
            <v>69</v>
          </cell>
        </row>
        <row r="2047">
          <cell r="A2047">
            <v>966227</v>
          </cell>
          <cell r="B2047" t="str">
            <v>Сидение круглое Sheffilton SHT-ST16 S-16 дуб брашированный коричневый (+)</v>
          </cell>
          <cell r="C2047">
            <v>2006.67</v>
          </cell>
          <cell r="E2047">
            <v>132</v>
          </cell>
          <cell r="F2047">
            <v>172</v>
          </cell>
        </row>
        <row r="2048">
          <cell r="A2048">
            <v>966337</v>
          </cell>
          <cell r="B2048" t="str">
            <v>Сидение круглое Sheffilton SHT-ST16 S-16 прозрачный лак</v>
          </cell>
          <cell r="C2048">
            <v>1153.33</v>
          </cell>
          <cell r="E2048">
            <v>76</v>
          </cell>
          <cell r="F2048">
            <v>99</v>
          </cell>
        </row>
        <row r="2049">
          <cell r="A2049">
            <v>12876</v>
          </cell>
          <cell r="B2049" t="str">
            <v>Спинка стула Sheffilton SHT-SB85 СС-1 бежевый RAL1013</v>
          </cell>
          <cell r="C2049">
            <v>280</v>
          </cell>
          <cell r="E2049">
            <v>18</v>
          </cell>
          <cell r="F2049">
            <v>23</v>
          </cell>
        </row>
        <row r="2050">
          <cell r="A2050">
            <v>12906</v>
          </cell>
          <cell r="B2050" t="str">
            <v>Спинка стула Sheffilton SHT-SB85 СС-1 белый</v>
          </cell>
          <cell r="C2050">
            <v>280</v>
          </cell>
          <cell r="E2050">
            <v>18</v>
          </cell>
          <cell r="F2050">
            <v>23</v>
          </cell>
        </row>
        <row r="2051">
          <cell r="A2051">
            <v>377351</v>
          </cell>
          <cell r="B2051" t="str">
            <v>Спинка стула Sheffilton SHT-SB85 СС-1 желтый RAL1021</v>
          </cell>
          <cell r="C2051">
            <v>280</v>
          </cell>
          <cell r="E2051">
            <v>18</v>
          </cell>
          <cell r="F2051">
            <v>23</v>
          </cell>
        </row>
        <row r="2052">
          <cell r="A2052">
            <v>175841</v>
          </cell>
          <cell r="B2052" t="str">
            <v>Спинка стула Sheffilton SHT-SB85 СС-1 зеленый RAL 6018</v>
          </cell>
          <cell r="C2052">
            <v>280</v>
          </cell>
          <cell r="E2052">
            <v>18</v>
          </cell>
          <cell r="F2052">
            <v>23</v>
          </cell>
        </row>
        <row r="2053">
          <cell r="A2053">
            <v>168748</v>
          </cell>
          <cell r="B2053" t="str">
            <v>Спинка стула Sheffilton SHT-SB85 СС-1 красный</v>
          </cell>
          <cell r="C2053">
            <v>280</v>
          </cell>
          <cell r="E2053">
            <v>18</v>
          </cell>
          <cell r="F2053">
            <v>23</v>
          </cell>
        </row>
        <row r="2054">
          <cell r="A2054">
            <v>169998</v>
          </cell>
          <cell r="B2054" t="str">
            <v>Спинка стула Sheffilton SHT-SB85 СС-1 оранжевый</v>
          </cell>
          <cell r="C2054">
            <v>280</v>
          </cell>
          <cell r="E2054">
            <v>18</v>
          </cell>
          <cell r="F2054">
            <v>23</v>
          </cell>
        </row>
        <row r="2055">
          <cell r="A2055">
            <v>180319</v>
          </cell>
          <cell r="B2055" t="str">
            <v>Спинка стула Sheffilton SHT-SB85 СС-1 синий Морена 1604559-Е</v>
          </cell>
          <cell r="C2055">
            <v>280</v>
          </cell>
          <cell r="E2055">
            <v>18</v>
          </cell>
          <cell r="F2055">
            <v>23</v>
          </cell>
        </row>
        <row r="2056">
          <cell r="A2056">
            <v>175843</v>
          </cell>
          <cell r="B2056" t="str">
            <v>Спинка стула Sheffilton SHT-SB85 СС-1 фиолетовый PAN 2582</v>
          </cell>
          <cell r="C2056">
            <v>280</v>
          </cell>
          <cell r="E2056">
            <v>18</v>
          </cell>
          <cell r="F2056">
            <v>23</v>
          </cell>
        </row>
        <row r="2057">
          <cell r="A2057">
            <v>12724</v>
          </cell>
          <cell r="B2057" t="str">
            <v>Спинка стула Sheffilton SHT-SB85 СС-1 черный</v>
          </cell>
          <cell r="C2057">
            <v>280</v>
          </cell>
          <cell r="E2057">
            <v>18</v>
          </cell>
          <cell r="F2057">
            <v>23</v>
          </cell>
        </row>
        <row r="2058">
          <cell r="A2058">
            <v>149929</v>
          </cell>
          <cell r="B2058" t="str">
            <v>Спинка стула Sheffilton SHT-SB85-1 СС-2 прозрачный лак</v>
          </cell>
          <cell r="C2058">
            <v>4133.33</v>
          </cell>
          <cell r="E2058">
            <v>272</v>
          </cell>
          <cell r="F2058">
            <v>354</v>
          </cell>
        </row>
        <row r="2059">
          <cell r="A2059">
            <v>163200</v>
          </cell>
          <cell r="B2059" t="str">
            <v>Спинка стула Sheffilton SHT-SB85-2 СС-4 бежевый</v>
          </cell>
          <cell r="C2059">
            <v>353.33</v>
          </cell>
          <cell r="E2059">
            <v>23</v>
          </cell>
          <cell r="F2059">
            <v>30</v>
          </cell>
        </row>
        <row r="2060">
          <cell r="A2060">
            <v>164616</v>
          </cell>
          <cell r="B2060" t="str">
            <v>Спинка стула Sheffilton SHT-SB85-2 СС-4 белый</v>
          </cell>
          <cell r="C2060">
            <v>353.33</v>
          </cell>
          <cell r="E2060">
            <v>23</v>
          </cell>
          <cell r="F2060">
            <v>30</v>
          </cell>
        </row>
        <row r="2061">
          <cell r="A2061">
            <v>163199</v>
          </cell>
          <cell r="B2061" t="str">
            <v>Спинка стула Sheffilton SHT-SB85-2 СС-4 красный</v>
          </cell>
          <cell r="C2061">
            <v>353.33</v>
          </cell>
          <cell r="E2061">
            <v>23</v>
          </cell>
          <cell r="F2061">
            <v>30</v>
          </cell>
        </row>
        <row r="2062">
          <cell r="A2062">
            <v>176891</v>
          </cell>
          <cell r="B2062" t="str">
            <v>Спинка стула Sheffilton SHT-SB85-2 СС-4 серый</v>
          </cell>
          <cell r="C2062">
            <v>353.33</v>
          </cell>
          <cell r="E2062">
            <v>23</v>
          </cell>
          <cell r="F2062">
            <v>30</v>
          </cell>
        </row>
        <row r="2063">
          <cell r="A2063">
            <v>163198</v>
          </cell>
          <cell r="B2063" t="str">
            <v>Спинка стула Sheffilton SHT-SB85-2 СС-4 черный</v>
          </cell>
          <cell r="C2063">
            <v>386.67</v>
          </cell>
          <cell r="E2063">
            <v>25</v>
          </cell>
          <cell r="F2063">
            <v>33</v>
          </cell>
        </row>
        <row r="2064">
          <cell r="A2064">
            <v>148557</v>
          </cell>
          <cell r="B2064" t="str">
            <v>Спинка стула Sheffilton SHT-SB85-С12 СС-3 кремовый (+)</v>
          </cell>
          <cell r="C2064">
            <v>746.67</v>
          </cell>
          <cell r="E2064">
            <v>49</v>
          </cell>
          <cell r="F2064">
            <v>64</v>
          </cell>
        </row>
        <row r="2065">
          <cell r="A2065">
            <v>148556</v>
          </cell>
          <cell r="B2065" t="str">
            <v>Спинка стула Sheffilton SHT-SB85-С12 СС-3 черный (+)</v>
          </cell>
          <cell r="C2065">
            <v>706.67</v>
          </cell>
          <cell r="E2065">
            <v>47</v>
          </cell>
          <cell r="F2065">
            <v>61</v>
          </cell>
        </row>
        <row r="2066">
          <cell r="A2066">
            <v>175842</v>
          </cell>
          <cell r="B2066" t="str">
            <v>Каркас барного стула Sheffilton SHT-S128 КС-140 хром/белый муар</v>
          </cell>
          <cell r="C2066">
            <v>8820</v>
          </cell>
          <cell r="E2066">
            <v>581</v>
          </cell>
          <cell r="F2066">
            <v>755</v>
          </cell>
        </row>
        <row r="2067">
          <cell r="A2067">
            <v>203274</v>
          </cell>
          <cell r="B2067" t="str">
            <v>Каркас барного стула Sheffilton SHT-S131 КС-152 черный муар</v>
          </cell>
          <cell r="C2067">
            <v>1520</v>
          </cell>
          <cell r="E2067">
            <v>100</v>
          </cell>
          <cell r="F2067">
            <v>130</v>
          </cell>
        </row>
        <row r="2068">
          <cell r="A2068">
            <v>203276</v>
          </cell>
          <cell r="B2068" t="str">
            <v>Каркас барного стула Sheffilton SHT-S131 КС-152 черный муар/золото</v>
          </cell>
          <cell r="C2068">
            <v>1546.67</v>
          </cell>
          <cell r="E2068">
            <v>102</v>
          </cell>
          <cell r="F2068">
            <v>133</v>
          </cell>
        </row>
        <row r="2069">
          <cell r="A2069">
            <v>210736</v>
          </cell>
          <cell r="B2069" t="str">
            <v>Каркас барного стула Sheffilton SHT-S29 КС-29 белый муар</v>
          </cell>
          <cell r="C2069">
            <v>1116.67</v>
          </cell>
          <cell r="E2069">
            <v>74</v>
          </cell>
          <cell r="F2069">
            <v>96</v>
          </cell>
        </row>
        <row r="2070">
          <cell r="A2070">
            <v>909885</v>
          </cell>
          <cell r="B2070" t="str">
            <v>Каркас барного стула Sheffilton SHT-S29 КС-29 медный металлик</v>
          </cell>
          <cell r="C2070">
            <v>1116.67</v>
          </cell>
          <cell r="E2070">
            <v>74</v>
          </cell>
          <cell r="F2070">
            <v>96</v>
          </cell>
        </row>
        <row r="2071">
          <cell r="A2071">
            <v>909886</v>
          </cell>
          <cell r="B2071" t="str">
            <v>Каркас барного стула Sheffilton SHT-S29 КС-29 хром лак</v>
          </cell>
          <cell r="C2071">
            <v>1233.33</v>
          </cell>
          <cell r="E2071">
            <v>81</v>
          </cell>
          <cell r="F2071">
            <v>105</v>
          </cell>
        </row>
        <row r="2072">
          <cell r="A2072">
            <v>909887</v>
          </cell>
          <cell r="B2072" t="str">
            <v>Каркас барного стула Sheffilton SHT-S29 КС-29 черный муар</v>
          </cell>
          <cell r="C2072">
            <v>1116.67</v>
          </cell>
          <cell r="E2072">
            <v>74</v>
          </cell>
          <cell r="F2072">
            <v>96</v>
          </cell>
        </row>
        <row r="2073">
          <cell r="A2073">
            <v>917505</v>
          </cell>
          <cell r="B2073" t="str">
            <v>Каркас барного стула Sheffilton SHT-S29 КС-29 черный муар/зол.патина</v>
          </cell>
          <cell r="C2073">
            <v>1126.67</v>
          </cell>
          <cell r="E2073">
            <v>74</v>
          </cell>
          <cell r="F2073">
            <v>96</v>
          </cell>
        </row>
        <row r="2074">
          <cell r="A2074">
            <v>954625</v>
          </cell>
          <cell r="B2074" t="str">
            <v>Каркас барного стула Sheffilton SHT-S65 КС-65 венге (+)</v>
          </cell>
          <cell r="C2074">
            <v>3806.67</v>
          </cell>
          <cell r="E2074">
            <v>251</v>
          </cell>
          <cell r="F2074">
            <v>326</v>
          </cell>
        </row>
        <row r="2075">
          <cell r="A2075">
            <v>954626</v>
          </cell>
          <cell r="B2075" t="str">
            <v>Каркас барного стула Sheffilton SHT-S65 КС-65 дуб брашированный коричневый (+)</v>
          </cell>
          <cell r="C2075">
            <v>5173.33</v>
          </cell>
          <cell r="E2075">
            <v>341</v>
          </cell>
          <cell r="F2075">
            <v>443</v>
          </cell>
        </row>
        <row r="2076">
          <cell r="A2076">
            <v>950362</v>
          </cell>
          <cell r="B2076" t="str">
            <v>Каркас барного стула Sheffilton SHT-S65 КС-65 прозрачный лак</v>
          </cell>
          <cell r="C2076">
            <v>3353.33</v>
          </cell>
          <cell r="E2076">
            <v>221</v>
          </cell>
          <cell r="F2076">
            <v>287</v>
          </cell>
        </row>
        <row r="2077">
          <cell r="A2077">
            <v>954627</v>
          </cell>
          <cell r="B2077" t="str">
            <v>Каркас барного стула Sheffilton SHT-S65 КС-65 светлый орех (+)</v>
          </cell>
          <cell r="C2077">
            <v>3440</v>
          </cell>
          <cell r="E2077">
            <v>227</v>
          </cell>
          <cell r="F2077">
            <v>295</v>
          </cell>
        </row>
        <row r="2078">
          <cell r="A2078">
            <v>919012</v>
          </cell>
          <cell r="B2078" t="str">
            <v>Каркас барного стула Sheffilton SHT-S66 КС-66 хром лак</v>
          </cell>
          <cell r="C2078">
            <v>2146.67</v>
          </cell>
          <cell r="E2078">
            <v>141</v>
          </cell>
          <cell r="F2078">
            <v>183</v>
          </cell>
        </row>
        <row r="2079">
          <cell r="A2079">
            <v>914095</v>
          </cell>
          <cell r="B2079" t="str">
            <v>Каркас барного стула Sheffilton SHT-S66 КС-66 черный муар</v>
          </cell>
          <cell r="C2079">
            <v>2033.33</v>
          </cell>
          <cell r="E2079">
            <v>134</v>
          </cell>
          <cell r="F2079">
            <v>174</v>
          </cell>
        </row>
        <row r="2080">
          <cell r="A2080">
            <v>919765</v>
          </cell>
          <cell r="B2080" t="str">
            <v>Каркас барного стула Sheffilton SHT-S66 КС-66 черный муар / зол.патина</v>
          </cell>
          <cell r="C2080">
            <v>1900</v>
          </cell>
          <cell r="E2080">
            <v>125</v>
          </cell>
          <cell r="F2080">
            <v>163</v>
          </cell>
        </row>
        <row r="2081">
          <cell r="A2081">
            <v>975822</v>
          </cell>
          <cell r="B2081" t="str">
            <v>Каркас барного стула Sheffilton SHT-S69-C КС-95 светлый орех</v>
          </cell>
          <cell r="C2081">
            <v>1373.33</v>
          </cell>
          <cell r="E2081">
            <v>90</v>
          </cell>
          <cell r="F2081">
            <v>117</v>
          </cell>
        </row>
        <row r="2082">
          <cell r="A2082">
            <v>975821</v>
          </cell>
          <cell r="B2082" t="str">
            <v>Каркас барного стула Sheffilton SHT-S69-C КС-95 темный орех</v>
          </cell>
          <cell r="C2082">
            <v>1373.33</v>
          </cell>
          <cell r="E2082">
            <v>90</v>
          </cell>
          <cell r="F2082">
            <v>117</v>
          </cell>
        </row>
        <row r="2083">
          <cell r="A2083">
            <v>992170</v>
          </cell>
          <cell r="B2083" t="str">
            <v>Каркас барного стула Sheffilton SHT-S80 КС-233 прозрачный лак/черный</v>
          </cell>
          <cell r="C2083">
            <v>3593.33</v>
          </cell>
          <cell r="E2083">
            <v>237</v>
          </cell>
          <cell r="F2083">
            <v>308</v>
          </cell>
        </row>
        <row r="2084">
          <cell r="A2084">
            <v>951332</v>
          </cell>
          <cell r="B2084" t="str">
            <v>Каркас барного стула Sheffilton SHT-S80 КС-233 темный орех/черный</v>
          </cell>
          <cell r="C2084">
            <v>3660</v>
          </cell>
          <cell r="E2084">
            <v>241</v>
          </cell>
          <cell r="F2084">
            <v>313</v>
          </cell>
        </row>
        <row r="2085">
          <cell r="A2085">
            <v>951333</v>
          </cell>
          <cell r="B2085" t="str">
            <v>Каркас барного стула Sheffilton SHT-S81 КС-81 брашированный коричневый</v>
          </cell>
          <cell r="C2085">
            <v>3773.33</v>
          </cell>
          <cell r="E2085">
            <v>249</v>
          </cell>
          <cell r="F2085">
            <v>324</v>
          </cell>
        </row>
        <row r="2086">
          <cell r="A2086">
            <v>191241</v>
          </cell>
          <cell r="B2086" t="str">
            <v>Каркас барного стула Sheffilton SHT-S94 КС-94 прозрачный лак/черный муар</v>
          </cell>
          <cell r="C2086">
            <v>3693.33</v>
          </cell>
          <cell r="E2086">
            <v>243</v>
          </cell>
          <cell r="F2086">
            <v>316</v>
          </cell>
        </row>
        <row r="2087">
          <cell r="A2087">
            <v>191152</v>
          </cell>
          <cell r="B2087" t="str">
            <v>Каркас полубарного стула Sheffilton SHT-S131-1 КС-145 черный муар</v>
          </cell>
          <cell r="C2087">
            <v>1500</v>
          </cell>
          <cell r="E2087">
            <v>99</v>
          </cell>
          <cell r="F2087">
            <v>129</v>
          </cell>
        </row>
        <row r="2088">
          <cell r="A2088">
            <v>153863</v>
          </cell>
          <cell r="B2088" t="str">
            <v>Каркас полубарного стула Sheffilton SHT-S80-1 КС-110 прозрачный лак/черный</v>
          </cell>
          <cell r="C2088">
            <v>3566.67</v>
          </cell>
          <cell r="E2088">
            <v>235</v>
          </cell>
          <cell r="F2088">
            <v>306</v>
          </cell>
        </row>
        <row r="2089">
          <cell r="A2089">
            <v>153864</v>
          </cell>
          <cell r="B2089" t="str">
            <v>Каркас полубарного стула Sheffilton SHT-S80-1 КС-110 темный орех/черный</v>
          </cell>
          <cell r="C2089">
            <v>3600</v>
          </cell>
          <cell r="E2089">
            <v>237</v>
          </cell>
          <cell r="F2089">
            <v>308</v>
          </cell>
        </row>
        <row r="2090">
          <cell r="A2090">
            <v>981573</v>
          </cell>
          <cell r="B2090" t="str">
            <v>Каркас стула Sheffilton SHT-S93 КС-93 браш.коричневый/черный муар (+)</v>
          </cell>
          <cell r="C2090">
            <v>4866.67</v>
          </cell>
          <cell r="E2090">
            <v>321</v>
          </cell>
          <cell r="F2090">
            <v>417</v>
          </cell>
        </row>
        <row r="2091">
          <cell r="A2091">
            <v>186409</v>
          </cell>
          <cell r="B2091" t="str">
            <v>Каркас полубарного стула Sheffilton SHT-S94-1 КС-144 прозрачный лак/черный муар</v>
          </cell>
          <cell r="C2091">
            <v>3393.33</v>
          </cell>
          <cell r="E2091">
            <v>224</v>
          </cell>
          <cell r="F2091">
            <v>291</v>
          </cell>
        </row>
        <row r="2092">
          <cell r="A2092">
            <v>148295</v>
          </cell>
          <cell r="B2092" t="str">
            <v>Каркас стула Sheffilton SHT-S100 КС-100 хром лак</v>
          </cell>
          <cell r="C2092">
            <v>906.67</v>
          </cell>
          <cell r="E2092">
            <v>60</v>
          </cell>
          <cell r="F2092">
            <v>78</v>
          </cell>
        </row>
        <row r="2093">
          <cell r="A2093">
            <v>148296</v>
          </cell>
          <cell r="B2093" t="str">
            <v>Каркас стула Sheffilton SHT-S100 КС-100 черный муар</v>
          </cell>
          <cell r="C2093">
            <v>820</v>
          </cell>
          <cell r="E2093">
            <v>54</v>
          </cell>
          <cell r="F2093">
            <v>70</v>
          </cell>
        </row>
        <row r="2094">
          <cell r="A2094">
            <v>173699</v>
          </cell>
          <cell r="B2094" t="str">
            <v>Каркас стула Sheffilton SHT-S106  матовое золото</v>
          </cell>
          <cell r="C2094">
            <v>860</v>
          </cell>
          <cell r="E2094">
            <v>57</v>
          </cell>
          <cell r="F2094">
            <v>74</v>
          </cell>
        </row>
        <row r="2095">
          <cell r="A2095">
            <v>148303</v>
          </cell>
          <cell r="B2095" t="str">
            <v>Каркас стула Sheffilton SHT-S106 КС-106 хром лак</v>
          </cell>
          <cell r="C2095">
            <v>1633.33</v>
          </cell>
          <cell r="E2095">
            <v>108</v>
          </cell>
          <cell r="F2095">
            <v>140</v>
          </cell>
        </row>
        <row r="2096">
          <cell r="A2096">
            <v>148304</v>
          </cell>
          <cell r="B2096" t="str">
            <v>Каркас стула Sheffilton SHT-S106 КС-106 черный муар</v>
          </cell>
          <cell r="C2096">
            <v>1566.67</v>
          </cell>
          <cell r="E2096">
            <v>103</v>
          </cell>
          <cell r="F2096">
            <v>134</v>
          </cell>
        </row>
        <row r="2097">
          <cell r="A2097">
            <v>149489</v>
          </cell>
          <cell r="B2097" t="str">
            <v>Каркас стула Sheffilton SHT-S107 КС-109 хром лак</v>
          </cell>
          <cell r="C2097">
            <v>953.33</v>
          </cell>
          <cell r="E2097">
            <v>63</v>
          </cell>
          <cell r="F2097">
            <v>82</v>
          </cell>
        </row>
        <row r="2098">
          <cell r="A2098">
            <v>149488</v>
          </cell>
          <cell r="B2098" t="str">
            <v>Каркас стула Sheffilton SHT-S107 КС-109 черный муар</v>
          </cell>
          <cell r="C2098">
            <v>886.67</v>
          </cell>
          <cell r="E2098">
            <v>58</v>
          </cell>
          <cell r="F2098">
            <v>75</v>
          </cell>
        </row>
        <row r="2099">
          <cell r="A2099">
            <v>154245</v>
          </cell>
          <cell r="B2099" t="str">
            <v>Каркас стула Sheffilton SHT-S112 КС-113 хром лак</v>
          </cell>
          <cell r="C2099">
            <v>1986.67</v>
          </cell>
          <cell r="E2099">
            <v>131</v>
          </cell>
          <cell r="F2099">
            <v>170</v>
          </cell>
        </row>
        <row r="2100">
          <cell r="A2100">
            <v>154244</v>
          </cell>
          <cell r="B2100" t="str">
            <v>Каркас стула Sheffilton SHT-S112 КС-113 черный муар</v>
          </cell>
          <cell r="C2100">
            <v>1900</v>
          </cell>
          <cell r="E2100">
            <v>125</v>
          </cell>
          <cell r="F2100">
            <v>163</v>
          </cell>
        </row>
        <row r="2101">
          <cell r="A2101">
            <v>154246</v>
          </cell>
          <cell r="B2101" t="str">
            <v>Каркас стула Sheffilton SHT-S113 КС-114 черный муар</v>
          </cell>
          <cell r="C2101">
            <v>1453.33</v>
          </cell>
          <cell r="E2101">
            <v>96</v>
          </cell>
          <cell r="F2101">
            <v>125</v>
          </cell>
        </row>
        <row r="2102">
          <cell r="A2102">
            <v>168064</v>
          </cell>
          <cell r="B2102" t="str">
            <v>Каркас стула Sheffilton SHT-S120 КС-115 черный</v>
          </cell>
          <cell r="C2102">
            <v>2086.67</v>
          </cell>
          <cell r="E2102">
            <v>137</v>
          </cell>
          <cell r="F2102">
            <v>178</v>
          </cell>
        </row>
        <row r="2103">
          <cell r="A2103">
            <v>170001</v>
          </cell>
          <cell r="B2103" t="str">
            <v>Каркас стула Sheffilton SHT-S120-1 КС-116 черный</v>
          </cell>
          <cell r="C2103">
            <v>1636.67</v>
          </cell>
          <cell r="E2103">
            <v>108</v>
          </cell>
          <cell r="F2103">
            <v>140</v>
          </cell>
        </row>
        <row r="2104">
          <cell r="A2104">
            <v>185330</v>
          </cell>
          <cell r="B2104" t="str">
            <v>Каркас стула Sheffilton SHT-S120-1 часть 1 КС-141 черный муар</v>
          </cell>
          <cell r="C2104">
            <v>893.33</v>
          </cell>
          <cell r="E2104">
            <v>59</v>
          </cell>
          <cell r="F2104">
            <v>77</v>
          </cell>
        </row>
        <row r="2105">
          <cell r="A2105">
            <v>177436</v>
          </cell>
          <cell r="B2105" t="str">
            <v>Каркас стула Sheffilton SHT-S120M  черный муар</v>
          </cell>
          <cell r="C2105">
            <v>2660</v>
          </cell>
          <cell r="E2105">
            <v>175</v>
          </cell>
          <cell r="F2105">
            <v>228</v>
          </cell>
        </row>
        <row r="2106">
          <cell r="A2106">
            <v>199866</v>
          </cell>
          <cell r="B2106" t="str">
            <v>Каркас стула Sheffilton SHT-S120M часть 2 КС-132 черный муар</v>
          </cell>
          <cell r="C2106">
            <v>1766.67</v>
          </cell>
          <cell r="E2106">
            <v>116</v>
          </cell>
          <cell r="F2106">
            <v>151</v>
          </cell>
        </row>
        <row r="2107">
          <cell r="A2107">
            <v>175720</v>
          </cell>
          <cell r="B2107" t="str">
            <v>Каркас стула Sheffilton SHT-S120P-1 часть 2  черный</v>
          </cell>
          <cell r="C2107">
            <v>743.33</v>
          </cell>
          <cell r="E2107">
            <v>49</v>
          </cell>
          <cell r="F2107">
            <v>64</v>
          </cell>
        </row>
        <row r="2108">
          <cell r="A2108">
            <v>175719</v>
          </cell>
          <cell r="B2108" t="str">
            <v>Каркас стула Sheffilton SHT-S120P часть 2 КС-131 черный</v>
          </cell>
          <cell r="C2108">
            <v>1193.33</v>
          </cell>
          <cell r="E2108">
            <v>79</v>
          </cell>
          <cell r="F2108">
            <v>103</v>
          </cell>
        </row>
        <row r="2109">
          <cell r="A2109">
            <v>185987</v>
          </cell>
          <cell r="B2109" t="str">
            <v>Каркас стула Sheffilton SHT-S121M  черный муар</v>
          </cell>
          <cell r="C2109">
            <v>3006.67</v>
          </cell>
          <cell r="E2109">
            <v>198</v>
          </cell>
          <cell r="F2109">
            <v>257</v>
          </cell>
        </row>
        <row r="2110">
          <cell r="A2110">
            <v>175718</v>
          </cell>
          <cell r="B2110" t="str">
            <v>Каркас стула Sheffilton SHT-S121 часть 1 КС-129 черный муар</v>
          </cell>
          <cell r="C2110">
            <v>1240</v>
          </cell>
          <cell r="E2110">
            <v>82</v>
          </cell>
          <cell r="F2110">
            <v>107</v>
          </cell>
        </row>
        <row r="2111">
          <cell r="A2111">
            <v>210688</v>
          </cell>
          <cell r="B2111" t="str">
            <v>Каркас стула Sheffilton SHT-S122 ДУБ КС-155 темный орех/черный муар</v>
          </cell>
          <cell r="C2111">
            <v>3066.67</v>
          </cell>
          <cell r="E2111">
            <v>202</v>
          </cell>
          <cell r="F2111">
            <v>263</v>
          </cell>
        </row>
        <row r="2112">
          <cell r="A2112">
            <v>191559</v>
          </cell>
          <cell r="B2112" t="str">
            <v>Каркас стула Sheffilton SHT-S129 КС-151 белый муар/золото</v>
          </cell>
          <cell r="C2112">
            <v>920</v>
          </cell>
          <cell r="E2112">
            <v>61</v>
          </cell>
          <cell r="F2112">
            <v>79</v>
          </cell>
        </row>
        <row r="2113">
          <cell r="A2113">
            <v>203268</v>
          </cell>
          <cell r="B2113" t="str">
            <v>Каркас стула Sheffilton SHT-S129 КС-151 венге крупный</v>
          </cell>
          <cell r="C2113">
            <v>1646.67</v>
          </cell>
          <cell r="E2113">
            <v>108</v>
          </cell>
          <cell r="F2113">
            <v>140</v>
          </cell>
        </row>
        <row r="2114">
          <cell r="A2114">
            <v>191153</v>
          </cell>
          <cell r="B2114" t="str">
            <v>Каркас стула Sheffilton SHT-S129 КС-151 черный муар</v>
          </cell>
          <cell r="C2114">
            <v>833.33</v>
          </cell>
          <cell r="E2114">
            <v>55</v>
          </cell>
          <cell r="F2114">
            <v>72</v>
          </cell>
        </row>
        <row r="2115">
          <cell r="A2115">
            <v>176063</v>
          </cell>
          <cell r="B2115" t="str">
            <v>Каркас стула Sheffilton SHT-S130 HD КС-128 хром лак</v>
          </cell>
          <cell r="C2115">
            <v>1046.67</v>
          </cell>
          <cell r="E2115">
            <v>69</v>
          </cell>
          <cell r="F2115">
            <v>90</v>
          </cell>
        </row>
        <row r="2116">
          <cell r="A2116">
            <v>181651</v>
          </cell>
          <cell r="B2116" t="str">
            <v>Каркас стула Sheffilton SHT-S130 HD КС-128 черный муар</v>
          </cell>
          <cell r="C2116">
            <v>846.67</v>
          </cell>
          <cell r="E2116">
            <v>56</v>
          </cell>
          <cell r="F2116">
            <v>73</v>
          </cell>
        </row>
        <row r="2117">
          <cell r="A2117">
            <v>933762</v>
          </cell>
          <cell r="B2117" t="str">
            <v>Каркас стула Sheffilton SHT-S30 КС-130 ваниль</v>
          </cell>
          <cell r="C2117">
            <v>536.66999999999996</v>
          </cell>
          <cell r="E2117">
            <v>35</v>
          </cell>
          <cell r="F2117">
            <v>46</v>
          </cell>
        </row>
        <row r="2118">
          <cell r="A2118">
            <v>980610</v>
          </cell>
          <cell r="B2118" t="str">
            <v>Каркас стула Sheffilton SHT-S30 КС-130 коричневый сахар</v>
          </cell>
          <cell r="C2118">
            <v>666.67</v>
          </cell>
          <cell r="E2118">
            <v>44</v>
          </cell>
          <cell r="F2118">
            <v>57</v>
          </cell>
        </row>
        <row r="2119">
          <cell r="A2119">
            <v>909892</v>
          </cell>
          <cell r="B2119" t="str">
            <v>Каркас стула Sheffilton SHT-S30 КС-130 хром лак</v>
          </cell>
          <cell r="C2119">
            <v>800</v>
          </cell>
          <cell r="E2119">
            <v>53</v>
          </cell>
          <cell r="F2119">
            <v>69</v>
          </cell>
        </row>
        <row r="2120">
          <cell r="A2120">
            <v>909893</v>
          </cell>
          <cell r="B2120" t="str">
            <v>Каркас стула Sheffilton SHT-S30 КС-130 черный муар</v>
          </cell>
          <cell r="C2120">
            <v>633.33000000000004</v>
          </cell>
          <cell r="E2120">
            <v>42</v>
          </cell>
          <cell r="F2120">
            <v>55</v>
          </cell>
        </row>
        <row r="2121">
          <cell r="A2121">
            <v>981214</v>
          </cell>
          <cell r="B2121" t="str">
            <v>Каркас стула Sheffilton SHT-S30 HD КС-230 хром</v>
          </cell>
          <cell r="C2121">
            <v>1423.33</v>
          </cell>
          <cell r="E2121">
            <v>94</v>
          </cell>
          <cell r="F2121">
            <v>122</v>
          </cell>
        </row>
        <row r="2122">
          <cell r="A2122">
            <v>912873</v>
          </cell>
          <cell r="B2122" t="str">
            <v>Каркас стула Sheffilton SHT-S30 HD КС-230 хром лак</v>
          </cell>
          <cell r="C2122">
            <v>1046.67</v>
          </cell>
          <cell r="E2122">
            <v>69</v>
          </cell>
          <cell r="F2122">
            <v>90</v>
          </cell>
        </row>
        <row r="2123">
          <cell r="A2123">
            <v>904</v>
          </cell>
          <cell r="B2123" t="str">
            <v>Каркас стула Sheffilton SHT-S30 HD КС-230 черный муар</v>
          </cell>
          <cell r="C2123">
            <v>1046.67</v>
          </cell>
          <cell r="E2123">
            <v>69</v>
          </cell>
          <cell r="F2123">
            <v>90</v>
          </cell>
        </row>
        <row r="2124">
          <cell r="A2124">
            <v>211411</v>
          </cell>
          <cell r="B2124" t="str">
            <v>Каркас стула Sheffilton SHT-S37 КС-37 белый муар (+)</v>
          </cell>
          <cell r="C2124">
            <v>700</v>
          </cell>
          <cell r="E2124">
            <v>46</v>
          </cell>
          <cell r="F2124">
            <v>60</v>
          </cell>
        </row>
        <row r="2125">
          <cell r="A2125">
            <v>182939</v>
          </cell>
          <cell r="B2125" t="str">
            <v>Каркас стула Sheffilton SHT-S37 КС-37 золото</v>
          </cell>
          <cell r="C2125">
            <v>793.33</v>
          </cell>
          <cell r="E2125">
            <v>52</v>
          </cell>
          <cell r="F2125">
            <v>68</v>
          </cell>
        </row>
        <row r="2126">
          <cell r="A2126">
            <v>909905</v>
          </cell>
          <cell r="B2126" t="str">
            <v>Каркас стула Sheffilton SHT-S37 КС-37 медный металлик</v>
          </cell>
          <cell r="C2126">
            <v>700</v>
          </cell>
          <cell r="E2126">
            <v>46</v>
          </cell>
          <cell r="F2126">
            <v>60</v>
          </cell>
        </row>
        <row r="2127">
          <cell r="A2127">
            <v>909907</v>
          </cell>
          <cell r="B2127" t="str">
            <v>Каркас стула Sheffilton SHT-S37 КС-37 хром лак</v>
          </cell>
          <cell r="C2127">
            <v>793.33</v>
          </cell>
          <cell r="E2127">
            <v>52</v>
          </cell>
          <cell r="F2127">
            <v>68</v>
          </cell>
        </row>
        <row r="2128">
          <cell r="A2128">
            <v>909908</v>
          </cell>
          <cell r="B2128" t="str">
            <v>Каркас стула Sheffilton SHT-S37 КС-37 черный муар</v>
          </cell>
          <cell r="C2128">
            <v>700</v>
          </cell>
          <cell r="E2128">
            <v>46</v>
          </cell>
          <cell r="F2128">
            <v>60</v>
          </cell>
        </row>
        <row r="2129">
          <cell r="A2129">
            <v>200550</v>
          </cell>
          <cell r="B2129" t="str">
            <v>Каркас стула Sheffilton SHT-S37-1 КС-146 черный муар</v>
          </cell>
          <cell r="C2129">
            <v>766.67</v>
          </cell>
          <cell r="E2129">
            <v>51</v>
          </cell>
          <cell r="F2129">
            <v>66</v>
          </cell>
        </row>
        <row r="2130">
          <cell r="A2130">
            <v>909916</v>
          </cell>
          <cell r="B2130" t="str">
            <v>Каркас стула Sheffilton SHT-S38 КС-38 хром лак</v>
          </cell>
          <cell r="C2130">
            <v>946.67</v>
          </cell>
          <cell r="E2130">
            <v>62</v>
          </cell>
          <cell r="F2130">
            <v>81</v>
          </cell>
        </row>
        <row r="2131">
          <cell r="A2131">
            <v>909917</v>
          </cell>
          <cell r="B2131" t="str">
            <v>Каркас стула Sheffilton SHT-S38 КС-38 черный муар</v>
          </cell>
          <cell r="C2131">
            <v>826.67</v>
          </cell>
          <cell r="E2131">
            <v>54</v>
          </cell>
          <cell r="F2131">
            <v>70</v>
          </cell>
        </row>
        <row r="2132">
          <cell r="A2132">
            <v>964673</v>
          </cell>
          <cell r="B2132" t="str">
            <v>Каркас стула Sheffilton  SHT-S39 КС-39 дуб атланта брашированный (+)</v>
          </cell>
          <cell r="C2132">
            <v>2393.33</v>
          </cell>
          <cell r="E2132">
            <v>158</v>
          </cell>
          <cell r="F2132">
            <v>205</v>
          </cell>
        </row>
        <row r="2133">
          <cell r="A2133">
            <v>979197</v>
          </cell>
          <cell r="B2133" t="str">
            <v>Каркас стула Sheffilton SHT-S39 КС-39 белый/патина серебро</v>
          </cell>
          <cell r="C2133">
            <v>1866.67</v>
          </cell>
          <cell r="E2133">
            <v>123</v>
          </cell>
          <cell r="F2133">
            <v>160</v>
          </cell>
        </row>
        <row r="2134">
          <cell r="A2134">
            <v>986134</v>
          </cell>
          <cell r="B2134" t="str">
            <v>Каркас стула Sheffilton SHT-S39 КС-39 брашированный коричневый</v>
          </cell>
          <cell r="C2134">
            <v>2433.33</v>
          </cell>
          <cell r="E2134">
            <v>160</v>
          </cell>
          <cell r="F2134">
            <v>208</v>
          </cell>
        </row>
        <row r="2135">
          <cell r="A2135">
            <v>964666</v>
          </cell>
          <cell r="B2135" t="str">
            <v>Каркас стула Sheffilton SHT-S39 КС-39 венге (+)</v>
          </cell>
          <cell r="C2135">
            <v>2080</v>
          </cell>
          <cell r="E2135">
            <v>137</v>
          </cell>
          <cell r="F2135">
            <v>178</v>
          </cell>
        </row>
        <row r="2136">
          <cell r="A2136">
            <v>964667</v>
          </cell>
          <cell r="B2136" t="str">
            <v>Каркас стула Sheffilton SHT-S39 КС-39 дуб выбеленный (+)</v>
          </cell>
          <cell r="C2136">
            <v>2106.67</v>
          </cell>
          <cell r="E2136">
            <v>139</v>
          </cell>
          <cell r="F2136">
            <v>181</v>
          </cell>
        </row>
        <row r="2137">
          <cell r="A2137">
            <v>964668</v>
          </cell>
          <cell r="B2137" t="str">
            <v>Каркас стула Sheffilton SHT-S39 КС-39 прозрачный лак (+)</v>
          </cell>
          <cell r="C2137">
            <v>1960</v>
          </cell>
          <cell r="E2137">
            <v>129</v>
          </cell>
          <cell r="F2137">
            <v>168</v>
          </cell>
        </row>
        <row r="2138">
          <cell r="A2138">
            <v>964669</v>
          </cell>
          <cell r="B2138" t="str">
            <v>Каркас стула Sheffilton SHT-S39 КС-39 светлый орех (+)</v>
          </cell>
          <cell r="C2138">
            <v>2046.67</v>
          </cell>
          <cell r="E2138">
            <v>135</v>
          </cell>
          <cell r="F2138">
            <v>176</v>
          </cell>
        </row>
        <row r="2139">
          <cell r="A2139">
            <v>964678</v>
          </cell>
          <cell r="B2139" t="str">
            <v>Каркас стула Sheffilton SHT-S39 КС-39 серый (+)</v>
          </cell>
          <cell r="C2139">
            <v>1266.67</v>
          </cell>
          <cell r="E2139">
            <v>83</v>
          </cell>
          <cell r="F2139">
            <v>108</v>
          </cell>
        </row>
        <row r="2140">
          <cell r="A2140">
            <v>964671</v>
          </cell>
          <cell r="B2140" t="str">
            <v>Каркас стула Sheffilton SHT-S39 КС-39 темный орех (+)</v>
          </cell>
          <cell r="C2140">
            <v>2080</v>
          </cell>
          <cell r="E2140">
            <v>137</v>
          </cell>
          <cell r="F2140">
            <v>178</v>
          </cell>
        </row>
        <row r="2141">
          <cell r="A2141">
            <v>384384</v>
          </cell>
          <cell r="B2141" t="str">
            <v>Каркас стула Sheffilton SHT-S424 КС-232 ваниль</v>
          </cell>
          <cell r="C2141">
            <v>400</v>
          </cell>
          <cell r="E2141">
            <v>26</v>
          </cell>
          <cell r="F2141">
            <v>34</v>
          </cell>
        </row>
        <row r="2142">
          <cell r="A2142">
            <v>955573</v>
          </cell>
          <cell r="B2142" t="str">
            <v>Каркас стула Sheffilton SHT-S424 КС-232 ваниль (цинк)</v>
          </cell>
          <cell r="C2142">
            <v>526.66999999999996</v>
          </cell>
          <cell r="E2142">
            <v>35</v>
          </cell>
          <cell r="F2142">
            <v>46</v>
          </cell>
        </row>
        <row r="2143">
          <cell r="A2143">
            <v>987367</v>
          </cell>
          <cell r="B2143" t="str">
            <v>Каркас стула Sheffilton SHT-S424 КС-232 коричневый муар</v>
          </cell>
          <cell r="C2143">
            <v>380</v>
          </cell>
          <cell r="E2143">
            <v>25</v>
          </cell>
          <cell r="F2143">
            <v>33</v>
          </cell>
        </row>
        <row r="2144">
          <cell r="A2144">
            <v>955569</v>
          </cell>
          <cell r="B2144" t="str">
            <v>Каркас стула Sheffilton SHT-S424 КС-232 коричневый муар (цинк)</v>
          </cell>
          <cell r="C2144">
            <v>520</v>
          </cell>
          <cell r="E2144">
            <v>34</v>
          </cell>
          <cell r="F2144">
            <v>44</v>
          </cell>
        </row>
        <row r="2145">
          <cell r="A2145">
            <v>972092</v>
          </cell>
          <cell r="B2145" t="str">
            <v>Каркас стула Sheffilton SHT-S424 КС-232 хром лак</v>
          </cell>
          <cell r="C2145">
            <v>406.67</v>
          </cell>
          <cell r="E2145">
            <v>27</v>
          </cell>
          <cell r="F2145">
            <v>35</v>
          </cell>
        </row>
        <row r="2146">
          <cell r="A2146">
            <v>955575</v>
          </cell>
          <cell r="B2146" t="str">
            <v>Каркас стула Sheffilton SHT-S424 КС-232 хром лак (цинк)</v>
          </cell>
          <cell r="C2146">
            <v>633.33000000000004</v>
          </cell>
          <cell r="E2146">
            <v>42</v>
          </cell>
          <cell r="F2146">
            <v>55</v>
          </cell>
        </row>
        <row r="2147">
          <cell r="A2147">
            <v>384136</v>
          </cell>
          <cell r="B2147" t="str">
            <v>Каркас стула Sheffilton SHT-S424 КС-232 черный муар</v>
          </cell>
          <cell r="C2147">
            <v>373.33</v>
          </cell>
          <cell r="E2147">
            <v>25</v>
          </cell>
          <cell r="F2147">
            <v>33</v>
          </cell>
        </row>
        <row r="2148">
          <cell r="A2148">
            <v>955563</v>
          </cell>
          <cell r="B2148" t="str">
            <v>Каркас стула Sheffilton SHT-S424 КС-232 черный муар (цинк)</v>
          </cell>
          <cell r="C2148">
            <v>500</v>
          </cell>
          <cell r="E2148">
            <v>33</v>
          </cell>
          <cell r="F2148">
            <v>43</v>
          </cell>
        </row>
        <row r="2149">
          <cell r="A2149">
            <v>972894</v>
          </cell>
          <cell r="B2149" t="str">
            <v>Каркас стула Sheffilton SHT-S424-С КС-235 светлый орех</v>
          </cell>
          <cell r="C2149">
            <v>606.66999999999996</v>
          </cell>
          <cell r="E2149">
            <v>40</v>
          </cell>
          <cell r="F2149">
            <v>52</v>
          </cell>
        </row>
        <row r="2150">
          <cell r="A2150">
            <v>955631</v>
          </cell>
          <cell r="B2150" t="str">
            <v>Каркас стула Sheffilton SHT-S424-С КС-235 светлый орех (цинк)</v>
          </cell>
          <cell r="C2150">
            <v>643.33000000000004</v>
          </cell>
          <cell r="E2150">
            <v>42</v>
          </cell>
          <cell r="F2150">
            <v>55</v>
          </cell>
        </row>
        <row r="2151">
          <cell r="A2151">
            <v>992686</v>
          </cell>
          <cell r="B2151" t="str">
            <v>Каркас стула Sheffilton SHT-S424-С КС-235 темный орех</v>
          </cell>
          <cell r="C2151">
            <v>606.66999999999996</v>
          </cell>
          <cell r="E2151">
            <v>40</v>
          </cell>
          <cell r="F2151">
            <v>52</v>
          </cell>
        </row>
        <row r="2152">
          <cell r="A2152">
            <v>955632</v>
          </cell>
          <cell r="B2152" t="str">
            <v>Каркас стула Sheffilton SHT-S424-С КС-235 темный орех (цинк)</v>
          </cell>
          <cell r="C2152">
            <v>646.66999999999996</v>
          </cell>
          <cell r="E2152">
            <v>43</v>
          </cell>
          <cell r="F2152">
            <v>56</v>
          </cell>
        </row>
        <row r="2153">
          <cell r="A2153">
            <v>992684</v>
          </cell>
          <cell r="B2153" t="str">
            <v>Каркас стула Sheffilton SHT-S424-С КС-235 хром лак</v>
          </cell>
          <cell r="C2153">
            <v>540</v>
          </cell>
          <cell r="E2153">
            <v>36</v>
          </cell>
          <cell r="F2153">
            <v>47</v>
          </cell>
        </row>
        <row r="2154">
          <cell r="A2154">
            <v>955629</v>
          </cell>
          <cell r="B2154" t="str">
            <v>Каркас стула Sheffilton SHT-S424-С КС-235 хром лак (цинк)</v>
          </cell>
          <cell r="C2154">
            <v>656.67</v>
          </cell>
          <cell r="E2154">
            <v>43</v>
          </cell>
          <cell r="F2154">
            <v>56</v>
          </cell>
        </row>
        <row r="2155">
          <cell r="A2155">
            <v>992685</v>
          </cell>
          <cell r="B2155" t="str">
            <v>Каркас стула Sheffilton SHT-S424-С КС-235 черный муар</v>
          </cell>
          <cell r="C2155">
            <v>386.67</v>
          </cell>
          <cell r="E2155">
            <v>25</v>
          </cell>
          <cell r="F2155">
            <v>33</v>
          </cell>
        </row>
        <row r="2156">
          <cell r="A2156">
            <v>955630</v>
          </cell>
          <cell r="B2156" t="str">
            <v>Каркас стула Sheffilton SHT-S424-С КС-235 черный муар (цинк)</v>
          </cell>
          <cell r="C2156">
            <v>553.33000000000004</v>
          </cell>
          <cell r="E2156">
            <v>36</v>
          </cell>
          <cell r="F2156">
            <v>47</v>
          </cell>
        </row>
        <row r="2157">
          <cell r="A2157">
            <v>205181</v>
          </cell>
          <cell r="B2157" t="str">
            <v>Каркас стула Sheffilton SHT-S45-1 КС-154 черный муар</v>
          </cell>
          <cell r="C2157">
            <v>940</v>
          </cell>
          <cell r="E2157">
            <v>62</v>
          </cell>
          <cell r="F2157">
            <v>81</v>
          </cell>
        </row>
        <row r="2158">
          <cell r="A2158">
            <v>918628</v>
          </cell>
          <cell r="B2158" t="str">
            <v>Каркас стула Sheffilton SHT-S48 КС-48 светлый орех</v>
          </cell>
          <cell r="C2158">
            <v>806.67</v>
          </cell>
          <cell r="E2158">
            <v>53</v>
          </cell>
          <cell r="F2158">
            <v>69</v>
          </cell>
        </row>
        <row r="2159">
          <cell r="A2159">
            <v>906269</v>
          </cell>
          <cell r="B2159" t="str">
            <v>Каркас стула Sheffilton SHT-S48 КС-48 хром лак</v>
          </cell>
          <cell r="C2159">
            <v>713.33</v>
          </cell>
          <cell r="E2159">
            <v>47</v>
          </cell>
          <cell r="F2159">
            <v>61</v>
          </cell>
        </row>
        <row r="2160">
          <cell r="A2160">
            <v>906268</v>
          </cell>
          <cell r="B2160" t="str">
            <v>Каркас стула Sheffilton SHT-S48 КС-48 черный муар</v>
          </cell>
          <cell r="C2160">
            <v>693.33</v>
          </cell>
          <cell r="E2160">
            <v>46</v>
          </cell>
          <cell r="F2160">
            <v>60</v>
          </cell>
        </row>
        <row r="2161">
          <cell r="A2161">
            <v>909929</v>
          </cell>
          <cell r="B2161" t="str">
            <v>Каркас стула Sheffilton SHT-S62 КС-62 хром лак</v>
          </cell>
          <cell r="C2161">
            <v>358.33</v>
          </cell>
          <cell r="E2161">
            <v>24</v>
          </cell>
          <cell r="F2161">
            <v>31</v>
          </cell>
        </row>
        <row r="2162">
          <cell r="A2162">
            <v>909930</v>
          </cell>
          <cell r="B2162" t="str">
            <v>Каркас стула Sheffilton SHT-S62 КС-62 черный муар</v>
          </cell>
          <cell r="C2162">
            <v>358.33</v>
          </cell>
          <cell r="E2162">
            <v>24</v>
          </cell>
          <cell r="F2162">
            <v>31</v>
          </cell>
        </row>
        <row r="2163">
          <cell r="A2163">
            <v>982333</v>
          </cell>
          <cell r="B2163" t="str">
            <v>Каркас стула Sheffilton SHT-S63 КС-63 прозрачный лак</v>
          </cell>
          <cell r="C2163">
            <v>8273.33</v>
          </cell>
          <cell r="E2163">
            <v>545</v>
          </cell>
          <cell r="F2163">
            <v>709</v>
          </cell>
        </row>
        <row r="2164">
          <cell r="A2164">
            <v>987501</v>
          </cell>
          <cell r="B2164" t="str">
            <v>Каркас стула Sheffilton SHT-S63 КС-63 прозрачный лак</v>
          </cell>
          <cell r="C2164">
            <v>6833.33</v>
          </cell>
          <cell r="E2164">
            <v>450</v>
          </cell>
          <cell r="F2164">
            <v>585</v>
          </cell>
        </row>
        <row r="2165">
          <cell r="A2165">
            <v>917768</v>
          </cell>
          <cell r="B2165" t="str">
            <v>Каркас стула Sheffilton SHT-S64 КС-64 хром лак</v>
          </cell>
          <cell r="C2165">
            <v>966.67</v>
          </cell>
          <cell r="E2165">
            <v>64</v>
          </cell>
          <cell r="F2165">
            <v>83</v>
          </cell>
        </row>
        <row r="2166">
          <cell r="A2166">
            <v>907486</v>
          </cell>
          <cell r="B2166" t="str">
            <v>Каркас стула Sheffilton SHT-S64 КС-64 черный муар</v>
          </cell>
          <cell r="C2166">
            <v>866.67</v>
          </cell>
          <cell r="E2166">
            <v>57</v>
          </cell>
          <cell r="F2166">
            <v>74</v>
          </cell>
        </row>
        <row r="2167">
          <cell r="A2167">
            <v>986396</v>
          </cell>
          <cell r="B2167" t="str">
            <v>Каркас стула Sheffilton SHT-S70 КС-70 прозрачный лак/черный муар</v>
          </cell>
          <cell r="C2167">
            <v>2106.67</v>
          </cell>
          <cell r="E2167">
            <v>139</v>
          </cell>
          <cell r="F2167">
            <v>181</v>
          </cell>
        </row>
        <row r="2168">
          <cell r="A2168">
            <v>918986</v>
          </cell>
          <cell r="B2168" t="str">
            <v>Каркас стула Sheffilton SHT-S70 КС-70 темный орех/черный</v>
          </cell>
          <cell r="C2168">
            <v>2153.33</v>
          </cell>
          <cell r="E2168">
            <v>142</v>
          </cell>
          <cell r="F2168">
            <v>185</v>
          </cell>
        </row>
        <row r="2169">
          <cell r="A2169">
            <v>918987</v>
          </cell>
          <cell r="B2169" t="str">
            <v>Каркас стула Sheffilton SHT-S71 КС-71 дуб брашированный коричневый</v>
          </cell>
          <cell r="C2169">
            <v>3193.33</v>
          </cell>
          <cell r="E2169">
            <v>210</v>
          </cell>
          <cell r="F2169">
            <v>273</v>
          </cell>
        </row>
        <row r="2170">
          <cell r="A2170">
            <v>957557</v>
          </cell>
          <cell r="B2170" t="str">
            <v>Каркас стула Sheffilton SHT-S74 КС-74 черный зол.патина</v>
          </cell>
          <cell r="C2170">
            <v>4303.33</v>
          </cell>
          <cell r="E2170">
            <v>283</v>
          </cell>
          <cell r="F2170">
            <v>368</v>
          </cell>
        </row>
        <row r="2171">
          <cell r="A2171">
            <v>377333</v>
          </cell>
          <cell r="B2171" t="str">
            <v>Каркас стула Sheffilton SHT-S85 КС-85 бежевый RAL1013</v>
          </cell>
          <cell r="C2171">
            <v>1233.33</v>
          </cell>
          <cell r="E2171">
            <v>81</v>
          </cell>
          <cell r="F2171">
            <v>105</v>
          </cell>
        </row>
        <row r="2172">
          <cell r="A2172">
            <v>12684</v>
          </cell>
          <cell r="B2172" t="str">
            <v>Каркас стула Sheffilton SHT-S85 КС-85 черный</v>
          </cell>
          <cell r="C2172">
            <v>1233.33</v>
          </cell>
          <cell r="E2172">
            <v>81</v>
          </cell>
          <cell r="F2172">
            <v>105</v>
          </cell>
        </row>
        <row r="2173">
          <cell r="A2173">
            <v>147589</v>
          </cell>
          <cell r="B2173" t="str">
            <v>Каркас стула Sheffilton SHT-S85M КС-107 хром лак</v>
          </cell>
          <cell r="C2173">
            <v>1100</v>
          </cell>
          <cell r="E2173">
            <v>72</v>
          </cell>
          <cell r="F2173">
            <v>94</v>
          </cell>
        </row>
        <row r="2174">
          <cell r="A2174">
            <v>147588</v>
          </cell>
          <cell r="B2174" t="str">
            <v>Каркас стула Sheffilton SHT-S85M КС-107 черный муар</v>
          </cell>
          <cell r="C2174">
            <v>953.33</v>
          </cell>
          <cell r="E2174">
            <v>63</v>
          </cell>
          <cell r="F2174">
            <v>82</v>
          </cell>
        </row>
        <row r="2175">
          <cell r="A2175">
            <v>170540</v>
          </cell>
          <cell r="B2175" t="str">
            <v>Каркас стула Sheffilton SHT-S85РВ-1 КС-120 хром лак</v>
          </cell>
          <cell r="C2175">
            <v>1766.67</v>
          </cell>
          <cell r="E2175">
            <v>116</v>
          </cell>
          <cell r="F2175">
            <v>151</v>
          </cell>
        </row>
        <row r="2176">
          <cell r="A2176">
            <v>170539</v>
          </cell>
          <cell r="B2176" t="str">
            <v>Каркас стула Sheffilton SHT-S85РВ-1 КС-120 черный муар</v>
          </cell>
          <cell r="C2176">
            <v>1560</v>
          </cell>
          <cell r="E2176">
            <v>103</v>
          </cell>
          <cell r="F2176">
            <v>134</v>
          </cell>
        </row>
        <row r="2177">
          <cell r="A2177">
            <v>952123</v>
          </cell>
          <cell r="B2177" t="str">
            <v>Каркас стула Sheffilton SHT-S86 KC-86 черный муар</v>
          </cell>
          <cell r="C2177">
            <v>600</v>
          </cell>
          <cell r="E2177">
            <v>40</v>
          </cell>
          <cell r="F2177">
            <v>52</v>
          </cell>
        </row>
        <row r="2178">
          <cell r="A2178">
            <v>964749</v>
          </cell>
          <cell r="B2178" t="str">
            <v>Каркас стула Sheffilton SHT-S86 HD КС-236 хром лак</v>
          </cell>
          <cell r="C2178">
            <v>940</v>
          </cell>
          <cell r="E2178">
            <v>62</v>
          </cell>
          <cell r="F2178">
            <v>81</v>
          </cell>
        </row>
        <row r="2179">
          <cell r="A2179">
            <v>166416</v>
          </cell>
          <cell r="B2179" t="str">
            <v>Каркас стула Sheffilton SHT-S86 HD КС-236 черный муар</v>
          </cell>
          <cell r="C2179">
            <v>813.33</v>
          </cell>
          <cell r="E2179">
            <v>54</v>
          </cell>
          <cell r="F2179">
            <v>70</v>
          </cell>
        </row>
        <row r="2180">
          <cell r="A2180">
            <v>151469</v>
          </cell>
          <cell r="B2180" t="str">
            <v>Каркас стула полубарный Sheffilton SHT-S92 КС-92 браш.коричневый/черный муар (+)</v>
          </cell>
          <cell r="C2180">
            <v>5120</v>
          </cell>
          <cell r="E2180">
            <v>337</v>
          </cell>
          <cell r="F2180">
            <v>438</v>
          </cell>
        </row>
        <row r="2181">
          <cell r="A2181">
            <v>192705</v>
          </cell>
          <cell r="B2181" t="str">
            <v>Каркас стула Sheffilton SHT-S95-1 КС-143 белый муар</v>
          </cell>
          <cell r="C2181">
            <v>1000</v>
          </cell>
          <cell r="E2181">
            <v>66</v>
          </cell>
          <cell r="F2181">
            <v>86</v>
          </cell>
        </row>
        <row r="2182">
          <cell r="A2182">
            <v>167149</v>
          </cell>
          <cell r="B2182" t="str">
            <v>Каркас стула Sheffilton SHT-S95-1 КС-143 черный муар</v>
          </cell>
          <cell r="C2182">
            <v>986.67</v>
          </cell>
          <cell r="E2182">
            <v>65</v>
          </cell>
          <cell r="F2182">
            <v>85</v>
          </cell>
        </row>
        <row r="2183">
          <cell r="A2183">
            <v>189656</v>
          </cell>
          <cell r="B2183" t="str">
            <v>Каркас стула Sheffilton SHT-S95-1 КС-143 черный муар/золото</v>
          </cell>
          <cell r="C2183">
            <v>1020</v>
          </cell>
          <cell r="E2183">
            <v>67</v>
          </cell>
          <cell r="F2183">
            <v>87</v>
          </cell>
        </row>
        <row r="2184">
          <cell r="A2184">
            <v>981218</v>
          </cell>
          <cell r="B2184" t="str">
            <v>Каркас стула Sheffilton SHT-S98 КС-98 хром лак</v>
          </cell>
          <cell r="C2184">
            <v>1460</v>
          </cell>
          <cell r="E2184">
            <v>96</v>
          </cell>
          <cell r="F2184">
            <v>125</v>
          </cell>
        </row>
        <row r="2185">
          <cell r="A2185">
            <v>948715</v>
          </cell>
          <cell r="B2185" t="str">
            <v>Каркас стула полубарного Sheffilton SHT-S29-1 КС-29-1 черный муар</v>
          </cell>
          <cell r="C2185">
            <v>1113.33</v>
          </cell>
          <cell r="E2185">
            <v>73</v>
          </cell>
          <cell r="F2185">
            <v>95</v>
          </cell>
        </row>
        <row r="2186">
          <cell r="A2186">
            <v>950914</v>
          </cell>
          <cell r="B2186" t="str">
            <v>Каркас стула полубарного Sheffilton SHT-S65-1 КС-65-1 венге</v>
          </cell>
          <cell r="C2186">
            <v>3840</v>
          </cell>
          <cell r="E2186">
            <v>253</v>
          </cell>
          <cell r="F2186">
            <v>329</v>
          </cell>
        </row>
        <row r="2187">
          <cell r="A2187">
            <v>180684</v>
          </cell>
          <cell r="B2187" t="str">
            <v>Каркас стула полубарного Sheffilton SHT-S65-1 КС-65-1 прозрачный лак</v>
          </cell>
          <cell r="C2187">
            <v>3373.33</v>
          </cell>
          <cell r="E2187">
            <v>222</v>
          </cell>
          <cell r="F2187">
            <v>289</v>
          </cell>
        </row>
        <row r="2188">
          <cell r="A2188">
            <v>950913</v>
          </cell>
          <cell r="B2188" t="str">
            <v>Каркас стула полубарного Sheffilton SHT-S65-1 КС-65-1 светлый орех</v>
          </cell>
          <cell r="C2188">
            <v>3446.67</v>
          </cell>
          <cell r="E2188">
            <v>227</v>
          </cell>
          <cell r="F2188">
            <v>295</v>
          </cell>
        </row>
        <row r="2189">
          <cell r="A2189">
            <v>950912</v>
          </cell>
          <cell r="B2189" t="str">
            <v>Каркас стула полубарного Sheffilton SHT-S66-1 КС-66-1 хром лак</v>
          </cell>
          <cell r="C2189">
            <v>2020</v>
          </cell>
          <cell r="E2189">
            <v>133</v>
          </cell>
          <cell r="F2189">
            <v>173</v>
          </cell>
        </row>
        <row r="2190">
          <cell r="A2190">
            <v>948716</v>
          </cell>
          <cell r="B2190" t="str">
            <v>Каркас стула полубарного Sheffilton SHT-S66-1 КС-66-1 черный муар</v>
          </cell>
          <cell r="C2190">
            <v>1906.67</v>
          </cell>
          <cell r="E2190">
            <v>126</v>
          </cell>
          <cell r="F2190">
            <v>164</v>
          </cell>
        </row>
        <row r="2191">
          <cell r="A2191">
            <v>980585</v>
          </cell>
          <cell r="B2191" t="str">
            <v>Каркас табурета SHT-S36 Sheffilton КТ-36 хром лак</v>
          </cell>
          <cell r="C2191">
            <v>213.33</v>
          </cell>
          <cell r="E2191">
            <v>14</v>
          </cell>
          <cell r="F2191">
            <v>18</v>
          </cell>
        </row>
        <row r="2192">
          <cell r="A2192">
            <v>980586</v>
          </cell>
          <cell r="B2192" t="str">
            <v>Каркас табурета SHT-S36 Sheffilton КТ-36 черный муар</v>
          </cell>
          <cell r="C2192">
            <v>193.33</v>
          </cell>
          <cell r="E2192">
            <v>13</v>
          </cell>
          <cell r="F2192">
            <v>17</v>
          </cell>
        </row>
        <row r="2193">
          <cell r="A2193">
            <v>986330</v>
          </cell>
          <cell r="B2193" t="str">
            <v>Переходник Sheffilton SHT-A1 П-001 черный</v>
          </cell>
          <cell r="C2193">
            <v>80</v>
          </cell>
          <cell r="E2193">
            <v>5</v>
          </cell>
          <cell r="F2193">
            <v>7</v>
          </cell>
        </row>
        <row r="2194">
          <cell r="A2194">
            <v>931601</v>
          </cell>
          <cell r="B2194" t="str">
            <v>Полка для обуви Sheffilton SHT-SR3-P ПЛТ-166 коричневый/венге матовый</v>
          </cell>
          <cell r="C2194">
            <v>360</v>
          </cell>
          <cell r="E2194">
            <v>24</v>
          </cell>
          <cell r="F2194">
            <v>31</v>
          </cell>
        </row>
        <row r="2195">
          <cell r="A2195">
            <v>931602</v>
          </cell>
          <cell r="B2195" t="str">
            <v>Полка для обуви Sheffilton SHT-SR3-P ПЛТ-166 коричневый/дуб светлый глянц.</v>
          </cell>
          <cell r="C2195">
            <v>360</v>
          </cell>
          <cell r="E2195">
            <v>24</v>
          </cell>
          <cell r="F2195">
            <v>31</v>
          </cell>
        </row>
        <row r="2196">
          <cell r="A2196">
            <v>912417</v>
          </cell>
          <cell r="B2196" t="str">
            <v>Полка для обуви Sheffilton SHT-SR3-P ПЛТ-166 серый/темно-серый</v>
          </cell>
          <cell r="C2196">
            <v>333.33</v>
          </cell>
          <cell r="E2196">
            <v>22</v>
          </cell>
          <cell r="F2196">
            <v>29</v>
          </cell>
        </row>
        <row r="2197">
          <cell r="A2197">
            <v>911524</v>
          </cell>
          <cell r="B2197" t="str">
            <v>Полка для обуви Sheffilton SHT-SR5-P ПЛТ-163 серый/темно-серый</v>
          </cell>
          <cell r="C2197">
            <v>480</v>
          </cell>
          <cell r="E2197">
            <v>32</v>
          </cell>
          <cell r="F2197">
            <v>42</v>
          </cell>
        </row>
        <row r="2198">
          <cell r="A2198">
            <v>915690</v>
          </cell>
          <cell r="B2198" t="str">
            <v>Полка для обуви Sheffilton SHT-SR6 ПЛТ-168 черный/хром лак</v>
          </cell>
          <cell r="C2198">
            <v>693.33</v>
          </cell>
          <cell r="E2198">
            <v>46</v>
          </cell>
          <cell r="F2198">
            <v>60</v>
          </cell>
        </row>
        <row r="2199">
          <cell r="A2199">
            <v>931604</v>
          </cell>
          <cell r="B2199" t="str">
            <v>Полка для обуви Sheffilton SHT-SR6-P ПЛТ-164 коричневый/орех глянц.</v>
          </cell>
          <cell r="C2199">
            <v>546.66999999999996</v>
          </cell>
          <cell r="E2199">
            <v>36</v>
          </cell>
          <cell r="F2199">
            <v>47</v>
          </cell>
        </row>
        <row r="2200">
          <cell r="A2200">
            <v>911525</v>
          </cell>
          <cell r="B2200" t="str">
            <v>Полка для обуви Sheffilton SHT-SR6-P ПЛТ-164 серый/темно-серый</v>
          </cell>
          <cell r="C2200">
            <v>493.33</v>
          </cell>
          <cell r="E2200">
            <v>32</v>
          </cell>
          <cell r="F2200">
            <v>42</v>
          </cell>
        </row>
        <row r="2201">
          <cell r="A2201">
            <v>982055</v>
          </cell>
          <cell r="B2201" t="str">
            <v>Полка для обуви Sheffilton SHT-SR6-P/SR3-P ПЛТ-180 серый/темно-серый</v>
          </cell>
          <cell r="C2201">
            <v>826.67</v>
          </cell>
          <cell r="E2201">
            <v>54</v>
          </cell>
          <cell r="F2201">
            <v>70</v>
          </cell>
        </row>
        <row r="2202">
          <cell r="A2202">
            <v>915720</v>
          </cell>
          <cell r="B2202" t="str">
            <v>Полка для обуви Sheffilton SHT-SR8-P ПЛТ-174 серый/темно-серый</v>
          </cell>
          <cell r="C2202">
            <v>673.33</v>
          </cell>
          <cell r="E2202">
            <v>44</v>
          </cell>
          <cell r="F2202">
            <v>57</v>
          </cell>
        </row>
        <row r="2203">
          <cell r="A2203">
            <v>950406</v>
          </cell>
          <cell r="B2203" t="str">
            <v>Полка для обуви Sheffilton Альберо SHT-SR9 ПЛТ-175 беленый/алюм.металлик (+)</v>
          </cell>
          <cell r="C2203">
            <v>1426.67</v>
          </cell>
          <cell r="E2203">
            <v>94</v>
          </cell>
          <cell r="F2203">
            <v>122</v>
          </cell>
        </row>
        <row r="2204">
          <cell r="A2204">
            <v>950407</v>
          </cell>
          <cell r="B2204" t="str">
            <v>Полка для обуви Sheffilton Альберо SHT-SR9 ПЛТ-175 венге/алюм.металлик (+)</v>
          </cell>
          <cell r="C2204">
            <v>1640</v>
          </cell>
          <cell r="E2204">
            <v>108</v>
          </cell>
          <cell r="F2204">
            <v>140</v>
          </cell>
        </row>
        <row r="2205">
          <cell r="A2205">
            <v>985635</v>
          </cell>
          <cell r="B2205" t="str">
            <v>Полка для обуви Sheffilton Альберо SHT-SR9 ПЛТ-175 прозрачный лак/алюм.металлик</v>
          </cell>
          <cell r="C2205">
            <v>1286.67</v>
          </cell>
          <cell r="E2205">
            <v>85</v>
          </cell>
          <cell r="F2205">
            <v>111</v>
          </cell>
        </row>
        <row r="2206">
          <cell r="A2206">
            <v>163347</v>
          </cell>
          <cell r="B2206" t="str">
            <v>Полка для обуви Sheffilton Альберо SHT-SR9-4 ПЛТ-182 беленый/алюм.металлик</v>
          </cell>
          <cell r="C2206">
            <v>2853.33</v>
          </cell>
          <cell r="E2206">
            <v>188</v>
          </cell>
          <cell r="F2206">
            <v>244</v>
          </cell>
        </row>
        <row r="2207">
          <cell r="A2207">
            <v>163348</v>
          </cell>
          <cell r="B2207" t="str">
            <v>Полка для обуви Sheffilton Альберо SHT-SR9-4 ПЛТ-182 венге/алюм.металлик</v>
          </cell>
          <cell r="C2207">
            <v>3280</v>
          </cell>
          <cell r="E2207">
            <v>216</v>
          </cell>
          <cell r="F2207">
            <v>281</v>
          </cell>
        </row>
        <row r="2208">
          <cell r="A2208">
            <v>133901</v>
          </cell>
          <cell r="B2208" t="str">
            <v>Рамка для столешницы Sheffilton SHT-FR17 70/70 Р-1 беленый</v>
          </cell>
          <cell r="C2208">
            <v>933.33</v>
          </cell>
          <cell r="E2208">
            <v>61</v>
          </cell>
          <cell r="F2208">
            <v>79</v>
          </cell>
        </row>
        <row r="2209">
          <cell r="A2209">
            <v>133902</v>
          </cell>
          <cell r="B2209" t="str">
            <v>Рамка для столешницы Sheffilton SHT-FR17 70/70 Р-1 масло прозрачное</v>
          </cell>
          <cell r="C2209">
            <v>933.33</v>
          </cell>
          <cell r="E2209">
            <v>61</v>
          </cell>
          <cell r="F2209">
            <v>79</v>
          </cell>
        </row>
        <row r="2210">
          <cell r="A2210">
            <v>133904</v>
          </cell>
          <cell r="B2210" t="str">
            <v>Рамка для столешницы Sheffilton SHT-FR17 70/70 Р-1 прозрачный лак</v>
          </cell>
          <cell r="C2210">
            <v>933.33</v>
          </cell>
          <cell r="E2210">
            <v>61</v>
          </cell>
          <cell r="F2210">
            <v>79</v>
          </cell>
        </row>
        <row r="2211">
          <cell r="A2211">
            <v>975947</v>
          </cell>
          <cell r="B2211" t="str">
            <v>Столешница Sheffilton SHT-TT 100/120 ДУБ/OSB ТТ10 дуб браш.коричневый/янтарный</v>
          </cell>
          <cell r="C2211">
            <v>20966.669999999998</v>
          </cell>
          <cell r="E2211">
            <v>1381</v>
          </cell>
          <cell r="F2211">
            <v>1795</v>
          </cell>
        </row>
        <row r="2212">
          <cell r="A2212">
            <v>968262</v>
          </cell>
          <cell r="B2212" t="str">
            <v>Столешница Sheffilton SHT-TT 100/120 ДУБ/OSB ТТ10 коричневый брашированный</v>
          </cell>
          <cell r="C2212">
            <v>6746.67</v>
          </cell>
          <cell r="E2212">
            <v>444</v>
          </cell>
          <cell r="F2212">
            <v>577</v>
          </cell>
        </row>
        <row r="2213">
          <cell r="A2213">
            <v>944234</v>
          </cell>
          <cell r="B2213" t="str">
            <v>Столешница Sheffilton SHT-TT10 ДУБ/слэб ТТ17 натуральное дерево</v>
          </cell>
          <cell r="C2213">
            <v>17026.669999999998</v>
          </cell>
          <cell r="E2213">
            <v>1122</v>
          </cell>
          <cell r="F2213">
            <v>1459</v>
          </cell>
        </row>
        <row r="2214">
          <cell r="A2214">
            <v>988286</v>
          </cell>
          <cell r="B2214" t="str">
            <v>Столешница Sheffilton SHT-TT11 70/70 ДУБ/OSB ТТ32 прозрачный лак (+)</v>
          </cell>
          <cell r="C2214">
            <v>5070</v>
          </cell>
          <cell r="E2214">
            <v>334</v>
          </cell>
          <cell r="F2214">
            <v>434</v>
          </cell>
        </row>
        <row r="2215">
          <cell r="A2215">
            <v>190213</v>
          </cell>
          <cell r="B2215" t="str">
            <v>Столешница Sheffilton SHT-TT 120-80 МДФ овальная ТТ71 белоснежная шагрень (+)</v>
          </cell>
          <cell r="C2215">
            <v>3846.67</v>
          </cell>
          <cell r="E2215">
            <v>253</v>
          </cell>
          <cell r="F2215">
            <v>329</v>
          </cell>
        </row>
        <row r="2216">
          <cell r="A2216">
            <v>180173</v>
          </cell>
          <cell r="B2216" t="str">
            <v>Столешница Sheffilton SHT-TT30 83/83 TT73 бежевый RAL1013</v>
          </cell>
          <cell r="C2216">
            <v>2606.67</v>
          </cell>
          <cell r="E2216">
            <v>172</v>
          </cell>
          <cell r="F2216">
            <v>224</v>
          </cell>
        </row>
        <row r="2217">
          <cell r="A2217">
            <v>180170</v>
          </cell>
          <cell r="B2217" t="str">
            <v>Столешница Sheffilton SHT-TT30 83/83 TT73 коричневый</v>
          </cell>
          <cell r="C2217">
            <v>2606.67</v>
          </cell>
          <cell r="E2217">
            <v>172</v>
          </cell>
          <cell r="F2217">
            <v>224</v>
          </cell>
        </row>
        <row r="2218">
          <cell r="A2218">
            <v>186467</v>
          </cell>
          <cell r="B2218" t="str">
            <v>Столешница Sheffilton SHT-TT30 83/83 TT73 серый</v>
          </cell>
          <cell r="C2218">
            <v>2606.67</v>
          </cell>
          <cell r="E2218">
            <v>172</v>
          </cell>
          <cell r="F2218">
            <v>224</v>
          </cell>
        </row>
        <row r="2219">
          <cell r="A2219">
            <v>180134</v>
          </cell>
          <cell r="B2219" t="str">
            <v>Столешница Sheffilton SHT-TT30 83/83 TT73 черный</v>
          </cell>
          <cell r="C2219">
            <v>2606.67</v>
          </cell>
          <cell r="E2219">
            <v>172</v>
          </cell>
          <cell r="F2219">
            <v>224</v>
          </cell>
        </row>
        <row r="2220">
          <cell r="A2220">
            <v>186482</v>
          </cell>
          <cell r="B2220" t="str">
            <v>Столешница Sheffilton SHT-TT30 83/83 ТТ73 антрацит</v>
          </cell>
          <cell r="C2220">
            <v>2606.67</v>
          </cell>
          <cell r="E2220">
            <v>172</v>
          </cell>
          <cell r="F2220">
            <v>224</v>
          </cell>
        </row>
        <row r="2221">
          <cell r="A2221">
            <v>180171</v>
          </cell>
          <cell r="B2221" t="str">
            <v>Столешница Sheffilton SHT-TT30 83/83 ТТ73 белый</v>
          </cell>
          <cell r="C2221">
            <v>2606.67</v>
          </cell>
          <cell r="E2221">
            <v>172</v>
          </cell>
          <cell r="F2221">
            <v>224</v>
          </cell>
        </row>
        <row r="2222">
          <cell r="A2222">
            <v>186483</v>
          </cell>
          <cell r="B2222" t="str">
            <v>Столешница Sheffilton SHT-TT30 83/83 ТТ73 бук</v>
          </cell>
          <cell r="C2222">
            <v>2606.67</v>
          </cell>
          <cell r="E2222">
            <v>172</v>
          </cell>
          <cell r="F2222">
            <v>224</v>
          </cell>
        </row>
        <row r="2223">
          <cell r="A2223">
            <v>186489</v>
          </cell>
          <cell r="B2223" t="str">
            <v>Столешница Sheffilton SHT-TT30 83/83 ТТ73 лаванда</v>
          </cell>
          <cell r="C2223">
            <v>2606.67</v>
          </cell>
          <cell r="E2223">
            <v>172</v>
          </cell>
          <cell r="F2223">
            <v>224</v>
          </cell>
        </row>
        <row r="2224">
          <cell r="A2224">
            <v>186447</v>
          </cell>
          <cell r="B2224" t="str">
            <v>Столешница Sheffilton SHT-TT30 83/83 ТТ73 мятный</v>
          </cell>
          <cell r="C2224">
            <v>2606.67</v>
          </cell>
          <cell r="E2224">
            <v>172</v>
          </cell>
          <cell r="F2224">
            <v>224</v>
          </cell>
        </row>
        <row r="2225">
          <cell r="A2225">
            <v>980611</v>
          </cell>
          <cell r="B2225" t="str">
            <v>Столешница Sheffilton SHT-TT5 80/80 ДУБ ТТ18 дуб брашированный коричневый</v>
          </cell>
          <cell r="C2225">
            <v>7413.33</v>
          </cell>
          <cell r="E2225">
            <v>488</v>
          </cell>
          <cell r="F2225">
            <v>634</v>
          </cell>
        </row>
        <row r="2226">
          <cell r="A2226">
            <v>190219</v>
          </cell>
          <cell r="B2226" t="str">
            <v>Столешница Sheffilton SHT-TT 70/70 МДФ ТТ16 акация светлая поперечная (+)</v>
          </cell>
          <cell r="C2226">
            <v>1746.67</v>
          </cell>
          <cell r="E2226">
            <v>115</v>
          </cell>
          <cell r="F2226">
            <v>150</v>
          </cell>
        </row>
        <row r="2227">
          <cell r="A2227">
            <v>190214</v>
          </cell>
          <cell r="B2227" t="str">
            <v>Столешница Sheffilton SHT-TT 70 МДФ ТТ26 орех светлый (+)</v>
          </cell>
          <cell r="C2227">
            <v>2706.67</v>
          </cell>
          <cell r="E2227">
            <v>178</v>
          </cell>
          <cell r="F2227">
            <v>231</v>
          </cell>
        </row>
        <row r="2228">
          <cell r="A2228">
            <v>943611</v>
          </cell>
          <cell r="B2228" t="str">
            <v>Столешница Sheffilton SHT-TT 76 металл ТТ-4 белый</v>
          </cell>
          <cell r="C2228">
            <v>1266.67</v>
          </cell>
          <cell r="E2228">
            <v>83</v>
          </cell>
          <cell r="F2228">
            <v>108</v>
          </cell>
        </row>
        <row r="2229">
          <cell r="A2229">
            <v>933087</v>
          </cell>
          <cell r="B2229" t="str">
            <v>Столешница Sheffilton SHT-TT 76 металл ТТ-4 черный муар</v>
          </cell>
          <cell r="C2229">
            <v>1760</v>
          </cell>
          <cell r="E2229">
            <v>116</v>
          </cell>
          <cell r="F2229">
            <v>151</v>
          </cell>
        </row>
        <row r="2230">
          <cell r="A2230">
            <v>980608</v>
          </cell>
          <cell r="B2230" t="str">
            <v>Столешница Sheffilton SHT-TT 80/80 ДУБ/смола  дуб брашированный / эпоксидная смола</v>
          </cell>
          <cell r="C2230">
            <v>10600</v>
          </cell>
          <cell r="E2230">
            <v>698</v>
          </cell>
          <cell r="F2230">
            <v>907</v>
          </cell>
        </row>
        <row r="2231">
          <cell r="A2231">
            <v>167916</v>
          </cell>
          <cell r="B2231" t="str">
            <v>Столешница Sheffilton SHT-TT 80/80 МДФ ТТ2 палисандр 43101 (+)</v>
          </cell>
          <cell r="C2231">
            <v>2953.33</v>
          </cell>
          <cell r="E2231">
            <v>195</v>
          </cell>
          <cell r="F2231">
            <v>254</v>
          </cell>
        </row>
        <row r="2232">
          <cell r="A2232">
            <v>946512</v>
          </cell>
          <cell r="B2232" t="str">
            <v>Столешница Sheffilton SHT-TT 80 ДУБ/OSB TT5 коричневый брашированный</v>
          </cell>
          <cell r="C2232">
            <v>6746.67</v>
          </cell>
          <cell r="E2232">
            <v>444</v>
          </cell>
          <cell r="F2232">
            <v>577</v>
          </cell>
        </row>
        <row r="2233">
          <cell r="A2233">
            <v>170222</v>
          </cell>
          <cell r="B2233" t="str">
            <v>Столешница Sheffilton SHT-TT 80 МДФ ТТ1 белоснежная шагрень (+)</v>
          </cell>
          <cell r="C2233">
            <v>2833.33</v>
          </cell>
          <cell r="E2233">
            <v>187</v>
          </cell>
          <cell r="F2233">
            <v>243</v>
          </cell>
        </row>
        <row r="2234">
          <cell r="A2234">
            <v>190215</v>
          </cell>
          <cell r="B2234" t="str">
            <v>Столешница Sheffilton SHT-TT 80 МДФ ТТ1 бетон светлый (+)</v>
          </cell>
          <cell r="C2234">
            <v>3053.33</v>
          </cell>
          <cell r="E2234">
            <v>201</v>
          </cell>
          <cell r="F2234">
            <v>261</v>
          </cell>
        </row>
        <row r="2235">
          <cell r="A2235">
            <v>184502</v>
          </cell>
          <cell r="B2235" t="str">
            <v>Столешница Sheffilton SHT-TT 80 МДФ ТТ1 дуб сонома светлый (+)</v>
          </cell>
          <cell r="C2235">
            <v>2953.33</v>
          </cell>
          <cell r="E2235">
            <v>195</v>
          </cell>
          <cell r="F2235">
            <v>254</v>
          </cell>
        </row>
        <row r="2236">
          <cell r="A2236">
            <v>190216</v>
          </cell>
          <cell r="B2236" t="str">
            <v>Столешница Sheffilton SHT-TT 80 МДФ ТТ1 дуб тортуга (+)</v>
          </cell>
          <cell r="C2236">
            <v>2886.67</v>
          </cell>
          <cell r="E2236">
            <v>190</v>
          </cell>
          <cell r="F2236">
            <v>247</v>
          </cell>
        </row>
        <row r="2237">
          <cell r="A2237">
            <v>178571</v>
          </cell>
          <cell r="B2237" t="str">
            <v>Столешница Sheffilton SHT-TT 80 МДФ ТТ1 лофт медь</v>
          </cell>
          <cell r="C2237">
            <v>3060</v>
          </cell>
          <cell r="E2237">
            <v>202</v>
          </cell>
          <cell r="F2237">
            <v>263</v>
          </cell>
        </row>
        <row r="2238">
          <cell r="A2238">
            <v>178685</v>
          </cell>
          <cell r="B2238" t="str">
            <v>Столешница Sheffilton SHT-TT 80 МДФ ТТ1 палисандр (+)</v>
          </cell>
          <cell r="C2238">
            <v>2826.67</v>
          </cell>
          <cell r="E2238">
            <v>186</v>
          </cell>
          <cell r="F2238">
            <v>242</v>
          </cell>
        </row>
        <row r="2239">
          <cell r="A2239">
            <v>197126</v>
          </cell>
          <cell r="B2239" t="str">
            <v>Столешница Sheffilton SHT-TT 90 МДФ ТТ84 дуб верона белый</v>
          </cell>
          <cell r="C2239">
            <v>3046.67</v>
          </cell>
          <cell r="E2239">
            <v>201</v>
          </cell>
          <cell r="F2239">
            <v>261</v>
          </cell>
        </row>
        <row r="2240">
          <cell r="A2240">
            <v>197125</v>
          </cell>
          <cell r="B2240" t="str">
            <v>Столешница Sheffilton SHT-TT 90 МДФ ТТ84 мрамор премиум</v>
          </cell>
          <cell r="C2240">
            <v>3166.67</v>
          </cell>
          <cell r="E2240">
            <v>209</v>
          </cell>
          <cell r="F2240">
            <v>272</v>
          </cell>
        </row>
        <row r="2241">
          <cell r="A2241">
            <v>205873</v>
          </cell>
          <cell r="B2241" t="str">
            <v>Столешница Sheffilton SHT-TT 90 МДФ ТТ84 мрамор премиум светлый</v>
          </cell>
          <cell r="C2241">
            <v>3206.67</v>
          </cell>
          <cell r="E2241">
            <v>211</v>
          </cell>
          <cell r="F2241">
            <v>274</v>
          </cell>
        </row>
        <row r="2242">
          <cell r="A2242">
            <v>197117</v>
          </cell>
          <cell r="B2242" t="str">
            <v>Столешница Sheffilton SHT-ТT1 140-80 МДФ овальная TT93 мрамор премиум светлый</v>
          </cell>
          <cell r="C2242">
            <v>5013.33</v>
          </cell>
          <cell r="E2242">
            <v>330</v>
          </cell>
          <cell r="F2242">
            <v>429</v>
          </cell>
        </row>
        <row r="2243">
          <cell r="A2243">
            <v>165943</v>
          </cell>
          <cell r="B2243" t="str">
            <v>Столешница Sheffilton SHT-ТT 120-80 ДУБ овальная TT77 коричневый брашированный</v>
          </cell>
          <cell r="C2243">
            <v>16466.669999999998</v>
          </cell>
          <cell r="E2243">
            <v>1085</v>
          </cell>
          <cell r="F2243">
            <v>1411</v>
          </cell>
        </row>
        <row r="2244">
          <cell r="A2244">
            <v>190218</v>
          </cell>
          <cell r="B2244" t="str">
            <v>Столешница Sheffilton SHT-ТT 120/80 МДФ ТТ3 бетон голубой (+)</v>
          </cell>
          <cell r="C2244">
            <v>3570</v>
          </cell>
          <cell r="E2244">
            <v>235</v>
          </cell>
          <cell r="F2244">
            <v>306</v>
          </cell>
        </row>
        <row r="2245">
          <cell r="A2245">
            <v>167913</v>
          </cell>
          <cell r="B2245" t="str">
            <v>Столешница Sheffilton SHT-ТT 120/80 МДФ ТТ3 дуб сонома светлый (+)</v>
          </cell>
          <cell r="C2245">
            <v>3400</v>
          </cell>
          <cell r="E2245">
            <v>224</v>
          </cell>
          <cell r="F2245">
            <v>291</v>
          </cell>
        </row>
        <row r="2246">
          <cell r="A2246">
            <v>184431</v>
          </cell>
          <cell r="B2246" t="str">
            <v>Столешница Sheffilton SHT-ТT 120/80 МДФ ТТ3 палисандр (+)</v>
          </cell>
          <cell r="C2246">
            <v>3326.67</v>
          </cell>
          <cell r="E2246">
            <v>219</v>
          </cell>
          <cell r="F2246">
            <v>285</v>
          </cell>
        </row>
        <row r="2247">
          <cell r="A2247">
            <v>190217</v>
          </cell>
          <cell r="B2247" t="str">
            <v>Столешница Sheffilton SHT-ТT 120-80 МДФ овальная ТТ68 бетон крем (+)</v>
          </cell>
          <cell r="C2247">
            <v>3893.33</v>
          </cell>
          <cell r="E2247">
            <v>256</v>
          </cell>
          <cell r="F2247">
            <v>333</v>
          </cell>
        </row>
        <row r="2248">
          <cell r="A2248">
            <v>990172</v>
          </cell>
          <cell r="B2248" t="str">
            <v>Столешница Sheffilton SHT-ТT12 120/70 ТТ33 коричневый браш/золото</v>
          </cell>
          <cell r="C2248">
            <v>20760</v>
          </cell>
          <cell r="E2248">
            <v>1368</v>
          </cell>
          <cell r="F2248">
            <v>1778</v>
          </cell>
        </row>
        <row r="2249">
          <cell r="A2249">
            <v>172509</v>
          </cell>
          <cell r="B2249" t="str">
            <v>Столешница Sheffilton SHT-ТT21-6 100/75 ТТ66 коричневая сепия</v>
          </cell>
          <cell r="C2249">
            <v>9380</v>
          </cell>
          <cell r="E2249">
            <v>618</v>
          </cell>
          <cell r="F2249">
            <v>803</v>
          </cell>
        </row>
        <row r="2250">
          <cell r="A2250">
            <v>172511</v>
          </cell>
          <cell r="B2250" t="str">
            <v>Столешница Sheffilton SHT-ТT21-6 100-75 овальная ТТ65 гранитно-серый</v>
          </cell>
          <cell r="C2250">
            <v>10373.33</v>
          </cell>
          <cell r="E2250">
            <v>683</v>
          </cell>
          <cell r="F2250">
            <v>888</v>
          </cell>
        </row>
        <row r="2251">
          <cell r="A2251">
            <v>172512</v>
          </cell>
          <cell r="B2251" t="str">
            <v>Столешница Sheffilton SHT-ТT21-6 90 круглая ТТ67 песчаное облако</v>
          </cell>
          <cell r="C2251">
            <v>13993.33</v>
          </cell>
          <cell r="E2251">
            <v>922</v>
          </cell>
          <cell r="F2251">
            <v>1199</v>
          </cell>
        </row>
        <row r="2252">
          <cell r="A2252">
            <v>205161</v>
          </cell>
          <cell r="B2252" t="str">
            <v>Столешница Sheffilton SHT-ТT26 118/77 стекло ТТ90 дымчатый</v>
          </cell>
          <cell r="C2252">
            <v>7620</v>
          </cell>
          <cell r="E2252">
            <v>502</v>
          </cell>
          <cell r="F2252">
            <v>653</v>
          </cell>
        </row>
        <row r="2253">
          <cell r="A2253">
            <v>205440</v>
          </cell>
          <cell r="B2253" t="str">
            <v>Столешница Sheffilton SHT-ТT26 90 стекло ТТ96 дымчатый</v>
          </cell>
          <cell r="C2253">
            <v>9273.33</v>
          </cell>
          <cell r="E2253">
            <v>611</v>
          </cell>
          <cell r="F2253">
            <v>794</v>
          </cell>
        </row>
        <row r="2254">
          <cell r="A2254">
            <v>165598</v>
          </cell>
          <cell r="B2254" t="str">
            <v>Столешница Sheffilton SHT-ТT4 120/80 БУК  прозрачный лак</v>
          </cell>
          <cell r="C2254">
            <v>10700</v>
          </cell>
          <cell r="E2254">
            <v>705</v>
          </cell>
          <cell r="F2254">
            <v>917</v>
          </cell>
        </row>
        <row r="2255">
          <cell r="A2255">
            <v>148899</v>
          </cell>
          <cell r="B2255" t="str">
            <v>Столешница Sheffilton SHT-ТT4 70 БУК ТТ46 прозрачный лак</v>
          </cell>
          <cell r="C2255">
            <v>5246.67</v>
          </cell>
          <cell r="E2255">
            <v>346</v>
          </cell>
          <cell r="F2255">
            <v>450</v>
          </cell>
        </row>
        <row r="2256">
          <cell r="A2256">
            <v>978515</v>
          </cell>
          <cell r="B2256" t="str">
            <v>Столешница Sheffilton SHT-ТT7 60/60 ДУБ/керамика ТТ12 браш.коричневый/песочный</v>
          </cell>
          <cell r="C2256">
            <v>6426.67</v>
          </cell>
          <cell r="E2256">
            <v>423</v>
          </cell>
          <cell r="F2256">
            <v>550</v>
          </cell>
        </row>
        <row r="2257">
          <cell r="A2257">
            <v>174564</v>
          </cell>
          <cell r="B2257" t="str">
            <v>Столешница Sheffilton SHT-ТT 80/80 МДФ ТТ2 дуб сонома светлый (+)</v>
          </cell>
          <cell r="C2257">
            <v>2966.67</v>
          </cell>
          <cell r="E2257">
            <v>195</v>
          </cell>
          <cell r="F2257">
            <v>254</v>
          </cell>
        </row>
        <row r="2258">
          <cell r="A2258">
            <v>982034</v>
          </cell>
          <cell r="B2258" t="str">
            <v>Столешница Sheffilton SHT-ТT8 60/60 ДУБ/керамика ТТ14 прозрачный лак/коричневая сепия</v>
          </cell>
          <cell r="C2258">
            <v>8406.67</v>
          </cell>
          <cell r="E2258">
            <v>554</v>
          </cell>
          <cell r="F2258">
            <v>720</v>
          </cell>
        </row>
        <row r="2259">
          <cell r="A2259">
            <v>982035</v>
          </cell>
          <cell r="B2259" t="str">
            <v>Столешница Sheffilton SHT-ТT8 70/70 ДУБ/керамика ТТ15 прозрачный лак/коричневая сепия</v>
          </cell>
          <cell r="C2259">
            <v>10860</v>
          </cell>
          <cell r="E2259">
            <v>715</v>
          </cell>
          <cell r="F2259">
            <v>930</v>
          </cell>
        </row>
        <row r="2260">
          <cell r="A2260">
            <v>133897</v>
          </cell>
          <cell r="B2260" t="str">
            <v>Столешница без рамки Sheffilton SHT-TT17 64/64 ЛДСП ТТ37 дуб нагано</v>
          </cell>
          <cell r="C2260">
            <v>600</v>
          </cell>
          <cell r="E2260">
            <v>40</v>
          </cell>
          <cell r="F2260">
            <v>52</v>
          </cell>
        </row>
        <row r="2261">
          <cell r="A2261">
            <v>193402</v>
          </cell>
          <cell r="B2261" t="str">
            <v>Стол Sheffilton SHT-STU14/TТ 83/83  черный муар/золото/бежевый</v>
          </cell>
          <cell r="C2261">
            <v>4980</v>
          </cell>
          <cell r="E2261">
            <v>328</v>
          </cell>
          <cell r="F2261">
            <v>426</v>
          </cell>
        </row>
        <row r="2262">
          <cell r="A2262">
            <v>884248</v>
          </cell>
          <cell r="B2262" t="str">
            <v>Стол Sheffilton SHT-T1 SHT-T1 бук/алюм.металлик</v>
          </cell>
          <cell r="C2262">
            <v>3840</v>
          </cell>
          <cell r="E2262">
            <v>253</v>
          </cell>
          <cell r="F2262">
            <v>329</v>
          </cell>
        </row>
        <row r="2263">
          <cell r="A2263">
            <v>992169</v>
          </cell>
          <cell r="B2263" t="str">
            <v>Стол Sheffilton SHT-T10 SHT-T10 дуб сонома/ал.металлик</v>
          </cell>
          <cell r="C2263">
            <v>2466.67</v>
          </cell>
          <cell r="E2263">
            <v>163</v>
          </cell>
          <cell r="F2263">
            <v>212</v>
          </cell>
        </row>
        <row r="2264">
          <cell r="A2264">
            <v>937391</v>
          </cell>
          <cell r="B2264" t="str">
            <v>Стол Sheffilton SHT-T12/80/80 ЛДСП SHT-T47 черный/темный орех/орех</v>
          </cell>
          <cell r="C2264">
            <v>4753.33</v>
          </cell>
          <cell r="E2264">
            <v>313</v>
          </cell>
          <cell r="F2264">
            <v>407</v>
          </cell>
        </row>
        <row r="2265">
          <cell r="A2265">
            <v>959782</v>
          </cell>
          <cell r="B2265" t="str">
            <v>Стол Sheffilton SHT-T13/80 ЛДСП  черный муар/дуб беленый</v>
          </cell>
          <cell r="C2265">
            <v>4306.67</v>
          </cell>
          <cell r="E2265">
            <v>284</v>
          </cell>
          <cell r="F2265">
            <v>369</v>
          </cell>
        </row>
        <row r="2266">
          <cell r="A2266">
            <v>959920</v>
          </cell>
          <cell r="B2266" t="str">
            <v>Стол Sheffilton SHT-T14/80 ЛДСП SHT-T74 черный муар/дуб беленый</v>
          </cell>
          <cell r="C2266">
            <v>3913.33</v>
          </cell>
          <cell r="E2266">
            <v>258</v>
          </cell>
          <cell r="F2266">
            <v>335</v>
          </cell>
        </row>
        <row r="2267">
          <cell r="A2267">
            <v>925847</v>
          </cell>
          <cell r="B2267" t="str">
            <v>Стол Sheffilton SHT-T2 SHT-T2 черный муар/белый</v>
          </cell>
          <cell r="C2267">
            <v>4253.33</v>
          </cell>
          <cell r="E2267">
            <v>280</v>
          </cell>
          <cell r="F2267">
            <v>364</v>
          </cell>
        </row>
        <row r="2268">
          <cell r="A2268">
            <v>965598</v>
          </cell>
          <cell r="B2268" t="str">
            <v>Стол Sheffilton SHT-T2/80/80 ЛДСП SHT-T18 медный/венге</v>
          </cell>
          <cell r="C2268">
            <v>3100</v>
          </cell>
          <cell r="E2268">
            <v>204</v>
          </cell>
          <cell r="F2268">
            <v>265</v>
          </cell>
        </row>
        <row r="2269">
          <cell r="A2269">
            <v>965597</v>
          </cell>
          <cell r="B2269" t="str">
            <v>Стол Sheffilton SHT-T2/80 ЛДСП SHT-Т16 хром лак/дуб беленый</v>
          </cell>
          <cell r="C2269">
            <v>3840</v>
          </cell>
          <cell r="E2269">
            <v>253</v>
          </cell>
          <cell r="F2269">
            <v>329</v>
          </cell>
        </row>
        <row r="2270">
          <cell r="A2270">
            <v>174411</v>
          </cell>
          <cell r="B2270" t="str">
            <v>Стол Sheffilton SHT-T35 100/50 SHT-T103 белый матовый/хром лак</v>
          </cell>
          <cell r="C2270">
            <v>3166.67</v>
          </cell>
          <cell r="E2270">
            <v>209</v>
          </cell>
          <cell r="F2270">
            <v>272</v>
          </cell>
        </row>
        <row r="2271">
          <cell r="A2271">
            <v>169996</v>
          </cell>
          <cell r="B2271" t="str">
            <v>Стол Sheffilton SHT-T35 120/50 SHT-T99 белый/хром лак</v>
          </cell>
          <cell r="C2271">
            <v>3433.33</v>
          </cell>
          <cell r="E2271">
            <v>226</v>
          </cell>
          <cell r="F2271">
            <v>294</v>
          </cell>
        </row>
        <row r="2272">
          <cell r="A2272">
            <v>175981</v>
          </cell>
          <cell r="B2272" t="str">
            <v>Стол Sheffilton SHT-T35 70/50 SHT-T109 белый матовый/хром лак</v>
          </cell>
          <cell r="C2272">
            <v>2553.33</v>
          </cell>
          <cell r="E2272">
            <v>168</v>
          </cell>
          <cell r="F2272">
            <v>218</v>
          </cell>
        </row>
        <row r="2273">
          <cell r="A2273">
            <v>929733</v>
          </cell>
          <cell r="B2273" t="str">
            <v>Стол Sheffilton SHT-T5 SHT-T5 черный муар/дуб беленый</v>
          </cell>
          <cell r="C2273">
            <v>4360</v>
          </cell>
          <cell r="E2273">
            <v>287</v>
          </cell>
          <cell r="F2273">
            <v>373</v>
          </cell>
        </row>
        <row r="2274">
          <cell r="A2274">
            <v>936274</v>
          </cell>
          <cell r="B2274" t="str">
            <v>Стол Sheffilton SHT-T9 ЛДСП SHT-T9 венге/белый</v>
          </cell>
          <cell r="C2274">
            <v>5333.33</v>
          </cell>
          <cell r="E2274">
            <v>351</v>
          </cell>
          <cell r="F2274">
            <v>456</v>
          </cell>
        </row>
        <row r="2275">
          <cell r="A2275">
            <v>193469</v>
          </cell>
          <cell r="B2275" t="str">
            <v>Стол Sheffilton SHT-TTU14/ЛДСП 80  черный муар/золото/орех</v>
          </cell>
          <cell r="C2275">
            <v>4340</v>
          </cell>
          <cell r="E2275">
            <v>286</v>
          </cell>
          <cell r="F2275">
            <v>372</v>
          </cell>
        </row>
        <row r="2276">
          <cell r="A2276">
            <v>164145</v>
          </cell>
          <cell r="B2276" t="str">
            <v>Стол Sheffilton SHT-TU10/120/80 ЛДСП SHT-T97 хром лак/венге</v>
          </cell>
          <cell r="C2276">
            <v>4906.67</v>
          </cell>
          <cell r="E2276">
            <v>323</v>
          </cell>
          <cell r="F2276">
            <v>420</v>
          </cell>
        </row>
        <row r="2277">
          <cell r="A2277">
            <v>164058</v>
          </cell>
          <cell r="B2277" t="str">
            <v>Стол Sheffilton SHT-TU10/120/80 ЛДСП SHT-T97 черный муар/дуб беленый</v>
          </cell>
          <cell r="C2277">
            <v>4920</v>
          </cell>
          <cell r="E2277">
            <v>324</v>
          </cell>
          <cell r="F2277">
            <v>421</v>
          </cell>
        </row>
        <row r="2278">
          <cell r="A2278">
            <v>189690</v>
          </cell>
          <cell r="B2278" t="str">
            <v>Стол Sheffilton SHT-TU10/120-80 МДФ SHT-T136 черный муар/бетон крем</v>
          </cell>
          <cell r="C2278">
            <v>6000</v>
          </cell>
          <cell r="E2278">
            <v>395</v>
          </cell>
          <cell r="F2278">
            <v>514</v>
          </cell>
        </row>
        <row r="2279">
          <cell r="A2279">
            <v>164143</v>
          </cell>
          <cell r="B2279" t="str">
            <v>Стол Sheffilton SHT-TU10/120/80 МДФ SHT-T104 хром лак/дуб сонома светлый</v>
          </cell>
          <cell r="C2279">
            <v>5853.33</v>
          </cell>
          <cell r="E2279">
            <v>386</v>
          </cell>
          <cell r="F2279">
            <v>502</v>
          </cell>
        </row>
        <row r="2280">
          <cell r="A2280">
            <v>176530</v>
          </cell>
          <cell r="B2280" t="str">
            <v>Стол Sheffilton SHT-TU10/120/80 МДФ SHT-T104 черный муар/бетон голубой</v>
          </cell>
          <cell r="C2280">
            <v>5683.33</v>
          </cell>
          <cell r="E2280">
            <v>374</v>
          </cell>
          <cell r="F2280">
            <v>486</v>
          </cell>
        </row>
        <row r="2281">
          <cell r="A2281">
            <v>214605</v>
          </cell>
          <cell r="B2281" t="str">
            <v>Стол Sheffilton SHT-TU10/140/80 ЛДСП  белый/хромикс белый</v>
          </cell>
          <cell r="C2281">
            <v>5353.33</v>
          </cell>
          <cell r="E2281">
            <v>353</v>
          </cell>
          <cell r="F2281">
            <v>459</v>
          </cell>
        </row>
        <row r="2282">
          <cell r="A2282">
            <v>214606</v>
          </cell>
          <cell r="B2282" t="str">
            <v>Стол Sheffilton SHT-TU10/140/80 ЛДСП  черный/хромикс белый</v>
          </cell>
          <cell r="C2282">
            <v>5353.33</v>
          </cell>
          <cell r="E2282">
            <v>353</v>
          </cell>
          <cell r="F2282">
            <v>459</v>
          </cell>
        </row>
        <row r="2283">
          <cell r="A2283">
            <v>211171</v>
          </cell>
          <cell r="B2283" t="str">
            <v>Стол Sheffilton SHT-TU10/140/80 МДФ овальная  белый/мрамор премиум светлый</v>
          </cell>
          <cell r="C2283">
            <v>7120</v>
          </cell>
          <cell r="E2283">
            <v>469</v>
          </cell>
          <cell r="F2283">
            <v>610</v>
          </cell>
        </row>
        <row r="2284">
          <cell r="A2284">
            <v>211172</v>
          </cell>
          <cell r="B2284" t="str">
            <v>Стол Sheffilton SHT-TU10/140/80 МДФ овальная  черный/мрамор премиум светлый</v>
          </cell>
          <cell r="C2284">
            <v>7120</v>
          </cell>
          <cell r="E2284">
            <v>469</v>
          </cell>
          <cell r="F2284">
            <v>610</v>
          </cell>
        </row>
        <row r="2285">
          <cell r="A2285">
            <v>145448</v>
          </cell>
          <cell r="B2285" t="str">
            <v>Стол Sheffilton SHT-TU10/70 МДФ SHT-T73 черный/акация светлая поперечная</v>
          </cell>
          <cell r="C2285">
            <v>3546.67</v>
          </cell>
          <cell r="E2285">
            <v>234</v>
          </cell>
          <cell r="F2285">
            <v>304</v>
          </cell>
        </row>
        <row r="2286">
          <cell r="A2286">
            <v>987465</v>
          </cell>
          <cell r="B2286" t="str">
            <v>Стол Sheffilton SHT-TU10/80/80 ЛДСП SHT-T48 черный муар/белый</v>
          </cell>
          <cell r="C2286">
            <v>3740</v>
          </cell>
          <cell r="E2286">
            <v>246</v>
          </cell>
          <cell r="F2286">
            <v>320</v>
          </cell>
        </row>
        <row r="2287">
          <cell r="A2287">
            <v>929734</v>
          </cell>
          <cell r="B2287" t="str">
            <v>Стол Sheffilton SHT-TU10/80 ЛДСП SHT-T22 хром лак/дуб беленый</v>
          </cell>
          <cell r="C2287">
            <v>4706.67</v>
          </cell>
          <cell r="E2287">
            <v>310</v>
          </cell>
          <cell r="F2287">
            <v>403</v>
          </cell>
        </row>
        <row r="2288">
          <cell r="A2288">
            <v>984883</v>
          </cell>
          <cell r="B2288" t="str">
            <v>Стол Sheffilton SHT-TU10/80 МДФ SHT-T64 черный/белый</v>
          </cell>
          <cell r="C2288">
            <v>4413.33</v>
          </cell>
          <cell r="E2288">
            <v>291</v>
          </cell>
          <cell r="F2288">
            <v>378</v>
          </cell>
        </row>
        <row r="2289">
          <cell r="A2289">
            <v>212663</v>
          </cell>
          <cell r="B2289" t="str">
            <v>Стол Sheffilton SHT-TU10/90 ЛДСП  черный муар/дуб галифакс табак</v>
          </cell>
          <cell r="C2289">
            <v>5233.33</v>
          </cell>
          <cell r="E2289">
            <v>345</v>
          </cell>
          <cell r="F2289">
            <v>449</v>
          </cell>
        </row>
        <row r="2290">
          <cell r="A2290">
            <v>203676</v>
          </cell>
          <cell r="B2290" t="str">
            <v>Стол Sheffilton SHT-TU10/90 МДФ  черный муар/дуб верона белый</v>
          </cell>
          <cell r="C2290">
            <v>5153.33</v>
          </cell>
          <cell r="E2290">
            <v>339</v>
          </cell>
          <cell r="F2290">
            <v>441</v>
          </cell>
        </row>
        <row r="2291">
          <cell r="A2291">
            <v>208863</v>
          </cell>
          <cell r="B2291" t="str">
            <v>Стол Sheffilton SHT-TU10/90 МДФ  черный муар/мрамор премиум светлый</v>
          </cell>
          <cell r="C2291">
            <v>5313.33</v>
          </cell>
          <cell r="E2291">
            <v>350</v>
          </cell>
          <cell r="F2291">
            <v>455</v>
          </cell>
        </row>
        <row r="2292">
          <cell r="A2292">
            <v>203677</v>
          </cell>
          <cell r="B2292" t="str">
            <v>Стол Sheffilton SHT-TU10/90 МДФ SHT-T154 хром лак/дуб верона белый</v>
          </cell>
          <cell r="C2292">
            <v>5500</v>
          </cell>
          <cell r="E2292">
            <v>362</v>
          </cell>
          <cell r="F2292">
            <v>471</v>
          </cell>
        </row>
        <row r="2293">
          <cell r="A2293">
            <v>200608</v>
          </cell>
          <cell r="B2293" t="str">
            <v>Стол Sheffilton SHT-TU10/90 МДФ SHT-T154 хром лак/мрамор премиум</v>
          </cell>
          <cell r="C2293">
            <v>5620</v>
          </cell>
          <cell r="E2293">
            <v>370</v>
          </cell>
          <cell r="F2293">
            <v>481</v>
          </cell>
        </row>
        <row r="2294">
          <cell r="A2294">
            <v>208862</v>
          </cell>
          <cell r="B2294" t="str">
            <v>Стол Sheffilton SHT-TU10/90 МДФ SHT-T154 хром лак/мрамор премиум светлый</v>
          </cell>
          <cell r="C2294">
            <v>5660</v>
          </cell>
          <cell r="E2294">
            <v>373</v>
          </cell>
          <cell r="F2294">
            <v>485</v>
          </cell>
        </row>
        <row r="2295">
          <cell r="A2295">
            <v>200609</v>
          </cell>
          <cell r="B2295" t="str">
            <v>Стол Sheffilton SHT-TU10/90 МДФ SHT-T154 черный/мрамор премиум</v>
          </cell>
          <cell r="C2295">
            <v>5273.33</v>
          </cell>
          <cell r="E2295">
            <v>347</v>
          </cell>
          <cell r="F2295">
            <v>451</v>
          </cell>
        </row>
        <row r="2296">
          <cell r="A2296">
            <v>196194</v>
          </cell>
          <cell r="B2296" t="str">
            <v>Стол Sheffilton SHT-TU10/TT21-6 100/75 керамика SHT-Т168 черный/гранитно-серый</v>
          </cell>
          <cell r="C2296">
            <v>12480</v>
          </cell>
          <cell r="E2296">
            <v>822</v>
          </cell>
          <cell r="F2296">
            <v>1069</v>
          </cell>
        </row>
        <row r="2297">
          <cell r="A2297">
            <v>196205</v>
          </cell>
          <cell r="B2297" t="str">
            <v>Стол Sheffilton SHT-TU10/TT21-6 90 керамика  хром лак/песчаное облако</v>
          </cell>
          <cell r="C2297">
            <v>16446.669999999998</v>
          </cell>
          <cell r="E2297">
            <v>1083</v>
          </cell>
          <cell r="F2297">
            <v>1408</v>
          </cell>
        </row>
        <row r="2298">
          <cell r="A2298">
            <v>195357</v>
          </cell>
          <cell r="B2298" t="str">
            <v>Стол Sheffilton SHT-TU10/TU21-6 100/75  керамика  черный муар/коричневая сепия</v>
          </cell>
          <cell r="C2298">
            <v>11486.67</v>
          </cell>
          <cell r="E2298">
            <v>757</v>
          </cell>
          <cell r="F2298">
            <v>984</v>
          </cell>
        </row>
        <row r="2299">
          <cell r="A2299">
            <v>156530</v>
          </cell>
          <cell r="B2299" t="str">
            <v>Стол Sheffilton SHT-TU10/ТT4 70 БУК  хром лак/прозрачный лак</v>
          </cell>
          <cell r="C2299">
            <v>7086.67</v>
          </cell>
          <cell r="E2299">
            <v>467</v>
          </cell>
          <cell r="F2299">
            <v>607</v>
          </cell>
        </row>
        <row r="2300">
          <cell r="A2300">
            <v>164511</v>
          </cell>
          <cell r="B2300" t="str">
            <v>Стол Sheffilton SHT-TU12/120/80 ЛДСП SHT-T87 черный муар/темный орех/орех</v>
          </cell>
          <cell r="C2300">
            <v>4546.67</v>
          </cell>
          <cell r="E2300">
            <v>300</v>
          </cell>
          <cell r="F2300">
            <v>390</v>
          </cell>
        </row>
        <row r="2301">
          <cell r="A2301">
            <v>984882</v>
          </cell>
          <cell r="B2301" t="str">
            <v>Стол Sheffilton SHT-TU12/80 ЛДСП SHT-T88 черный/темный орех/орех</v>
          </cell>
          <cell r="C2301">
            <v>4306.67</v>
          </cell>
          <cell r="E2301">
            <v>284</v>
          </cell>
          <cell r="F2301">
            <v>369</v>
          </cell>
        </row>
        <row r="2302">
          <cell r="A2302">
            <v>200606</v>
          </cell>
          <cell r="B2302" t="str">
            <v>Стол Sheffilton SHT-TU12/90 МДФ  черный/темный орех/мрамор премиум</v>
          </cell>
          <cell r="C2302">
            <v>6286.67</v>
          </cell>
          <cell r="E2302">
            <v>414</v>
          </cell>
          <cell r="F2302">
            <v>538</v>
          </cell>
        </row>
        <row r="2303">
          <cell r="A2303">
            <v>203680</v>
          </cell>
          <cell r="B2303" t="str">
            <v>Стол Sheffilton SHT-TU12/90 МДФ SHT-T156 черный/темный орех/дуб верона белый</v>
          </cell>
          <cell r="C2303">
            <v>6166.67</v>
          </cell>
          <cell r="E2303">
            <v>406</v>
          </cell>
          <cell r="F2303">
            <v>528</v>
          </cell>
        </row>
        <row r="2304">
          <cell r="A2304">
            <v>184503</v>
          </cell>
          <cell r="B2304" t="str">
            <v>Стол Sheffilton SHT-TU13/TT30 83/83  черный муар/белый</v>
          </cell>
          <cell r="C2304">
            <v>4660</v>
          </cell>
          <cell r="E2304">
            <v>307</v>
          </cell>
          <cell r="F2304">
            <v>399</v>
          </cell>
        </row>
        <row r="2305">
          <cell r="A2305">
            <v>174445</v>
          </cell>
          <cell r="B2305" t="str">
            <v>Стол Sheffilton SHT-TU13/TT 60 ЛДСП  черный муар/орех тьеполо</v>
          </cell>
          <cell r="C2305">
            <v>3153.33</v>
          </cell>
          <cell r="E2305">
            <v>208</v>
          </cell>
          <cell r="F2305">
            <v>270</v>
          </cell>
        </row>
        <row r="2306">
          <cell r="A2306">
            <v>193554</v>
          </cell>
          <cell r="B2306" t="str">
            <v>Стол Sheffilton SHT-TU14/100/75 керамика  коричневая сепия/черный муар/золото</v>
          </cell>
          <cell r="C2306">
            <v>11753.33</v>
          </cell>
          <cell r="E2306">
            <v>774</v>
          </cell>
          <cell r="F2306">
            <v>1006</v>
          </cell>
        </row>
        <row r="2307">
          <cell r="A2307">
            <v>201423</v>
          </cell>
          <cell r="B2307" t="str">
            <v>Стол Sheffilton SHT-TU14/120/80 ЛДСП  белый муар/дуб выбеленный</v>
          </cell>
          <cell r="C2307">
            <v>5133.33</v>
          </cell>
          <cell r="E2307">
            <v>338</v>
          </cell>
          <cell r="F2307">
            <v>439</v>
          </cell>
        </row>
        <row r="2308">
          <cell r="A2308">
            <v>193553</v>
          </cell>
          <cell r="B2308" t="str">
            <v>Стол Sheffilton SHT-TU14/120/80 ЛДСП  черный муар/золото/дуб сонома</v>
          </cell>
          <cell r="C2308">
            <v>4540</v>
          </cell>
          <cell r="E2308">
            <v>299</v>
          </cell>
          <cell r="F2308">
            <v>389</v>
          </cell>
        </row>
        <row r="2309">
          <cell r="A2309">
            <v>164056</v>
          </cell>
          <cell r="B2309" t="str">
            <v>Стол Sheffilton SHT-TU14/120/80 ЛДСП SHT-T105 черный муар/дуб беленый</v>
          </cell>
          <cell r="C2309">
            <v>5026.67</v>
          </cell>
          <cell r="E2309">
            <v>331</v>
          </cell>
          <cell r="F2309">
            <v>430</v>
          </cell>
        </row>
        <row r="2310">
          <cell r="A2310">
            <v>193557</v>
          </cell>
          <cell r="B2310" t="str">
            <v>Стол Sheffilton SHT-TU14/120/80 ЛДСП SHT-T105 черный муар/золото/белый шагрень</v>
          </cell>
          <cell r="C2310">
            <v>4826.67</v>
          </cell>
          <cell r="E2310">
            <v>318</v>
          </cell>
          <cell r="F2310">
            <v>413</v>
          </cell>
        </row>
        <row r="2311">
          <cell r="A2311">
            <v>201424</v>
          </cell>
          <cell r="B2311" t="str">
            <v>Стол Sheffilton SHT-TU14/120-80 МДФ  белый муар/белая шагрень</v>
          </cell>
          <cell r="C2311">
            <v>6166.67</v>
          </cell>
          <cell r="E2311">
            <v>406</v>
          </cell>
          <cell r="F2311">
            <v>528</v>
          </cell>
        </row>
        <row r="2312">
          <cell r="A2312">
            <v>201288</v>
          </cell>
          <cell r="B2312" t="str">
            <v>Стол Sheffilton SHT-TU14/120/80 МДФ  белый муар/белая шагрень</v>
          </cell>
          <cell r="C2312">
            <v>6166.67</v>
          </cell>
          <cell r="E2312">
            <v>406</v>
          </cell>
          <cell r="F2312">
            <v>528</v>
          </cell>
        </row>
        <row r="2313">
          <cell r="A2313">
            <v>201425</v>
          </cell>
          <cell r="B2313" t="str">
            <v>Стол Sheffilton SHT-TU14/120/80 МДФ  белый муар/бетон голубой</v>
          </cell>
          <cell r="C2313">
            <v>5896.67</v>
          </cell>
          <cell r="E2313">
            <v>388</v>
          </cell>
          <cell r="F2313">
            <v>504</v>
          </cell>
        </row>
        <row r="2314">
          <cell r="A2314">
            <v>201418</v>
          </cell>
          <cell r="B2314" t="str">
            <v>Стол Sheffilton SHT-TU14/120/80 МДФ  белый муар/бетон крем</v>
          </cell>
          <cell r="C2314">
            <v>6213.33</v>
          </cell>
          <cell r="E2314">
            <v>409</v>
          </cell>
          <cell r="F2314">
            <v>532</v>
          </cell>
        </row>
        <row r="2315">
          <cell r="A2315">
            <v>201417</v>
          </cell>
          <cell r="B2315" t="str">
            <v>Стол Sheffilton SHT-TU14/120/80 МДФ  белый муар/дуб сонома светлый</v>
          </cell>
          <cell r="C2315">
            <v>5720</v>
          </cell>
          <cell r="E2315">
            <v>377</v>
          </cell>
          <cell r="F2315">
            <v>490</v>
          </cell>
        </row>
        <row r="2316">
          <cell r="A2316">
            <v>209141</v>
          </cell>
          <cell r="B2316" t="str">
            <v>Стол Sheffilton SHT-TU14/120/80 МДФ  белый муар/золото/белый шагрень</v>
          </cell>
          <cell r="C2316">
            <v>6326.67</v>
          </cell>
          <cell r="E2316">
            <v>417</v>
          </cell>
          <cell r="F2316">
            <v>542</v>
          </cell>
        </row>
        <row r="2317">
          <cell r="A2317">
            <v>209139</v>
          </cell>
          <cell r="B2317" t="str">
            <v>Стол Sheffilton SHT-TU14/120/80 МДФ  белый муар/золото/голубой бетон</v>
          </cell>
          <cell r="C2317">
            <v>6056.67</v>
          </cell>
          <cell r="E2317">
            <v>399</v>
          </cell>
          <cell r="F2317">
            <v>519</v>
          </cell>
        </row>
        <row r="2318">
          <cell r="A2318">
            <v>209142</v>
          </cell>
          <cell r="B2318" t="str">
            <v>Стол Sheffilton SHT-TU14/120/80 МДФ  белый муар/золото/дуб сонома светлый</v>
          </cell>
          <cell r="C2318">
            <v>5880</v>
          </cell>
          <cell r="E2318">
            <v>387</v>
          </cell>
          <cell r="F2318">
            <v>503</v>
          </cell>
        </row>
        <row r="2319">
          <cell r="A2319">
            <v>183453</v>
          </cell>
          <cell r="B2319" t="str">
            <v>Стол Sheffilton SHT-TU14/120/80 МДФ SHT-T126 черный муар/бетон голубой</v>
          </cell>
          <cell r="C2319">
            <v>5790</v>
          </cell>
          <cell r="E2319">
            <v>381</v>
          </cell>
          <cell r="F2319">
            <v>495</v>
          </cell>
        </row>
        <row r="2320">
          <cell r="A2320">
            <v>193555</v>
          </cell>
          <cell r="B2320" t="str">
            <v>Стол Sheffilton SHT-TU14/120/80 МДФ SHT-T126 черный муар/золото/бетон голубой</v>
          </cell>
          <cell r="C2320">
            <v>5950</v>
          </cell>
          <cell r="E2320">
            <v>392</v>
          </cell>
          <cell r="F2320">
            <v>510</v>
          </cell>
        </row>
        <row r="2321">
          <cell r="A2321">
            <v>193558</v>
          </cell>
          <cell r="B2321" t="str">
            <v>Стол Sheffilton SHT-TU14/120/80 МДФ SHT-T126 черный муар/золото/дуб сонома светлый</v>
          </cell>
          <cell r="C2321">
            <v>5773.33</v>
          </cell>
          <cell r="E2321">
            <v>380</v>
          </cell>
          <cell r="F2321">
            <v>494</v>
          </cell>
        </row>
        <row r="2322">
          <cell r="A2322">
            <v>984879</v>
          </cell>
          <cell r="B2322" t="str">
            <v>Стол Sheffilton SHT-TU14/120/80 МДФ SHT-T126 черный муар/палисандр</v>
          </cell>
          <cell r="C2322">
            <v>5540</v>
          </cell>
          <cell r="E2322">
            <v>365</v>
          </cell>
          <cell r="F2322">
            <v>475</v>
          </cell>
        </row>
        <row r="2323">
          <cell r="A2323">
            <v>193559</v>
          </cell>
          <cell r="B2323" t="str">
            <v>Стол Sheffilton SHT-TU14/120/80 МДФ SHT-T126 чёрный муар/золото/белый шагрень</v>
          </cell>
          <cell r="C2323">
            <v>6220</v>
          </cell>
          <cell r="E2323">
            <v>410</v>
          </cell>
          <cell r="F2323">
            <v>533</v>
          </cell>
        </row>
        <row r="2324">
          <cell r="A2324">
            <v>193556</v>
          </cell>
          <cell r="B2324" t="str">
            <v>Стол Sheffilton SHT-TU14/120/80 МДФ SHT-T126 чёрный муар/золото/палисандр</v>
          </cell>
          <cell r="C2324">
            <v>5700</v>
          </cell>
          <cell r="E2324">
            <v>376</v>
          </cell>
          <cell r="F2324">
            <v>489</v>
          </cell>
        </row>
        <row r="2325">
          <cell r="A2325">
            <v>209140</v>
          </cell>
          <cell r="B2325" t="str">
            <v>Стол Sheffilton SHT-TU14/120/80 МДФ овальная SHT-T163 белый муар/золото/белый шагрень</v>
          </cell>
          <cell r="C2325">
            <v>6326.67</v>
          </cell>
          <cell r="E2325">
            <v>417</v>
          </cell>
          <cell r="F2325">
            <v>542</v>
          </cell>
        </row>
        <row r="2326">
          <cell r="A2326">
            <v>209145</v>
          </cell>
          <cell r="B2326" t="str">
            <v>Стол Sheffilton SHT-TU14/120/80 МДФ овальная SHT-T163 белый муар/золото/бетон крем</v>
          </cell>
          <cell r="C2326">
            <v>6373.33</v>
          </cell>
          <cell r="E2326">
            <v>420</v>
          </cell>
          <cell r="F2326">
            <v>546</v>
          </cell>
        </row>
        <row r="2327">
          <cell r="A2327">
            <v>177424</v>
          </cell>
          <cell r="B2327" t="str">
            <v>Стол Sheffilton SHT-TU14/120-80 МДФ овальный  черный муар/бетон крем</v>
          </cell>
          <cell r="C2327">
            <v>6106.67</v>
          </cell>
          <cell r="E2327">
            <v>402</v>
          </cell>
          <cell r="F2327">
            <v>523</v>
          </cell>
        </row>
        <row r="2328">
          <cell r="A2328">
            <v>214608</v>
          </cell>
          <cell r="B2328" t="str">
            <v>Стол Sheffilton SHT-TU14/140/80 ЛДСП  белый муар/золото/хромикс белый</v>
          </cell>
          <cell r="C2328">
            <v>5726.67</v>
          </cell>
          <cell r="E2328">
            <v>377</v>
          </cell>
          <cell r="F2328">
            <v>490</v>
          </cell>
        </row>
        <row r="2329">
          <cell r="A2329">
            <v>214607</v>
          </cell>
          <cell r="B2329" t="str">
            <v>Стол Sheffilton SHT-TU14/140/80 ЛДСП  белый муар/хромикс белый</v>
          </cell>
          <cell r="C2329">
            <v>5566.67</v>
          </cell>
          <cell r="E2329">
            <v>367</v>
          </cell>
          <cell r="F2329">
            <v>477</v>
          </cell>
        </row>
        <row r="2330">
          <cell r="A2330">
            <v>211174</v>
          </cell>
          <cell r="B2330" t="str">
            <v>Стол Sheffilton SHT-TU14/140/80 МДФ овальная  белый муар/мрамор премиум светлый</v>
          </cell>
          <cell r="C2330">
            <v>7333.33</v>
          </cell>
          <cell r="E2330">
            <v>483</v>
          </cell>
          <cell r="F2330">
            <v>628</v>
          </cell>
        </row>
        <row r="2331">
          <cell r="A2331">
            <v>211175</v>
          </cell>
          <cell r="B2331" t="str">
            <v>Стол Sheffilton SHT-TU14/140/80 МДФ овальная  черный муар/золото/мрамор премиум светл.</v>
          </cell>
          <cell r="C2331">
            <v>7386.67</v>
          </cell>
          <cell r="E2331">
            <v>487</v>
          </cell>
          <cell r="F2331">
            <v>633</v>
          </cell>
        </row>
        <row r="2332">
          <cell r="A2332">
            <v>211176</v>
          </cell>
          <cell r="B2332" t="str">
            <v>Стол Sheffilton SHT-TU14/140/80 МДФ овальная SHT-Т166 белый муар/золото/мрамор премиум светл.</v>
          </cell>
          <cell r="C2332">
            <v>7493.33</v>
          </cell>
          <cell r="E2332">
            <v>494</v>
          </cell>
          <cell r="F2332">
            <v>642</v>
          </cell>
        </row>
        <row r="2333">
          <cell r="A2333">
            <v>201419</v>
          </cell>
          <cell r="B2333" t="str">
            <v>Стол Sheffilton SHT-TU14/60/60 ЛДСП  белый муар/дуб сонома</v>
          </cell>
          <cell r="C2333">
            <v>3240</v>
          </cell>
          <cell r="E2333">
            <v>213</v>
          </cell>
          <cell r="F2333">
            <v>277</v>
          </cell>
        </row>
        <row r="2334">
          <cell r="A2334">
            <v>209144</v>
          </cell>
          <cell r="B2334" t="str">
            <v>Стол Sheffilton SHT-TU14/60/60 ЛДСП SHT-T118 белый муар/золото/дуб сонома</v>
          </cell>
          <cell r="C2334">
            <v>3400</v>
          </cell>
          <cell r="E2334">
            <v>224</v>
          </cell>
          <cell r="F2334">
            <v>291</v>
          </cell>
        </row>
        <row r="2335">
          <cell r="A2335">
            <v>178700</v>
          </cell>
          <cell r="B2335" t="str">
            <v>Стол Sheffilton SHT-TU14/60/60 ЛДСП SHT-T118 ваниль/дуб сонома</v>
          </cell>
          <cell r="C2335">
            <v>3266.67</v>
          </cell>
          <cell r="E2335">
            <v>215</v>
          </cell>
          <cell r="F2335">
            <v>280</v>
          </cell>
        </row>
        <row r="2336">
          <cell r="A2336">
            <v>201287</v>
          </cell>
          <cell r="B2336" t="str">
            <v>Стол Sheffilton SHT-TU14/70/70 МДФ  белый муар/акация светлая поперечная</v>
          </cell>
          <cell r="C2336">
            <v>4066.67</v>
          </cell>
          <cell r="E2336">
            <v>268</v>
          </cell>
          <cell r="F2336">
            <v>348</v>
          </cell>
        </row>
        <row r="2337">
          <cell r="A2337">
            <v>201284</v>
          </cell>
          <cell r="B2337" t="str">
            <v>Стол Sheffilton SHT-TU14/70 МДФ  белый муар/акация светлая поперечная</v>
          </cell>
          <cell r="C2337">
            <v>4286.67</v>
          </cell>
          <cell r="E2337">
            <v>282</v>
          </cell>
          <cell r="F2337">
            <v>367</v>
          </cell>
        </row>
        <row r="2338">
          <cell r="A2338">
            <v>209136</v>
          </cell>
          <cell r="B2338" t="str">
            <v>Стол Sheffilton SHT-TU14/70 МДФ  белый муар/золото/акация светл. попер.</v>
          </cell>
          <cell r="C2338">
            <v>4446.67</v>
          </cell>
          <cell r="E2338">
            <v>293</v>
          </cell>
          <cell r="F2338">
            <v>381</v>
          </cell>
        </row>
        <row r="2339">
          <cell r="A2339">
            <v>193455</v>
          </cell>
          <cell r="B2339" t="str">
            <v>Стол Sheffilton SHT-TU14/70 МДФ  черный муар/золото/орех светлый</v>
          </cell>
          <cell r="C2339">
            <v>5080</v>
          </cell>
          <cell r="E2339">
            <v>335</v>
          </cell>
          <cell r="F2339">
            <v>436</v>
          </cell>
        </row>
        <row r="2340">
          <cell r="A2340">
            <v>201280</v>
          </cell>
          <cell r="B2340" t="str">
            <v>Стол Sheffilton SHT-TU14/70 МДФ SHT-T159 белый муар/орех светлый</v>
          </cell>
          <cell r="C2340">
            <v>5026.67</v>
          </cell>
          <cell r="E2340">
            <v>331</v>
          </cell>
          <cell r="F2340">
            <v>430</v>
          </cell>
        </row>
        <row r="2341">
          <cell r="A2341">
            <v>201421</v>
          </cell>
          <cell r="B2341" t="str">
            <v>Стол Sheffilton SHT-TU14/80/80 ЛДСП  белый муар/белый</v>
          </cell>
          <cell r="C2341">
            <v>3953.33</v>
          </cell>
          <cell r="E2341">
            <v>260</v>
          </cell>
          <cell r="F2341">
            <v>338</v>
          </cell>
        </row>
        <row r="2342">
          <cell r="A2342">
            <v>201420</v>
          </cell>
          <cell r="B2342" t="str">
            <v>Стол Sheffilton SHT-TU14/80/80 ЛДСП  белый муар/дуб выбеленный</v>
          </cell>
          <cell r="C2342">
            <v>4220</v>
          </cell>
          <cell r="E2342">
            <v>278</v>
          </cell>
          <cell r="F2342">
            <v>361</v>
          </cell>
        </row>
        <row r="2343">
          <cell r="A2343">
            <v>209143</v>
          </cell>
          <cell r="B2343" t="str">
            <v>Стол Sheffilton SHT-TU14/80/80 ЛДСП  белый муар/золото/белый снег</v>
          </cell>
          <cell r="C2343">
            <v>4113.33</v>
          </cell>
          <cell r="E2343">
            <v>271</v>
          </cell>
          <cell r="F2343">
            <v>352</v>
          </cell>
        </row>
        <row r="2344">
          <cell r="A2344">
            <v>193403</v>
          </cell>
          <cell r="B2344" t="str">
            <v>Стол Sheffilton SHT-TU14/80/80 ЛДСП  черный муар/золото/венге</v>
          </cell>
          <cell r="C2344">
            <v>4006.67</v>
          </cell>
          <cell r="E2344">
            <v>264</v>
          </cell>
          <cell r="F2344">
            <v>343</v>
          </cell>
        </row>
        <row r="2345">
          <cell r="A2345">
            <v>193407</v>
          </cell>
          <cell r="B2345" t="str">
            <v>Стол Sheffilton SHT-TU14/80/80 ЛДСП  черный муар/золото/дуб беленый</v>
          </cell>
          <cell r="C2345">
            <v>4273.33</v>
          </cell>
          <cell r="E2345">
            <v>282</v>
          </cell>
          <cell r="F2345">
            <v>367</v>
          </cell>
        </row>
        <row r="2346">
          <cell r="A2346">
            <v>193405</v>
          </cell>
          <cell r="B2346" t="str">
            <v>Стол Sheffilton SHT-TU14/80/80 ЛДСП  черный муар/золото/орех</v>
          </cell>
          <cell r="C2346">
            <v>4006.67</v>
          </cell>
          <cell r="E2346">
            <v>264</v>
          </cell>
          <cell r="F2346">
            <v>343</v>
          </cell>
        </row>
        <row r="2347">
          <cell r="A2347">
            <v>201286</v>
          </cell>
          <cell r="B2347" t="str">
            <v>Стол Sheffilton SHT-TU14/80/80 МДФ  белый муар/дуб сонома светлый</v>
          </cell>
          <cell r="C2347">
            <v>5286.67</v>
          </cell>
          <cell r="E2347">
            <v>348</v>
          </cell>
          <cell r="F2347">
            <v>452</v>
          </cell>
        </row>
        <row r="2348">
          <cell r="A2348">
            <v>193412</v>
          </cell>
          <cell r="B2348" t="str">
            <v>Стол Sheffilton SHT-TU14/80/80 МДФ  черный муар/золото/палисандр</v>
          </cell>
          <cell r="C2348">
            <v>5326.67</v>
          </cell>
          <cell r="E2348">
            <v>351</v>
          </cell>
          <cell r="F2348">
            <v>456</v>
          </cell>
        </row>
        <row r="2349">
          <cell r="A2349">
            <v>193411</v>
          </cell>
          <cell r="B2349" t="str">
            <v>Стол Sheffilton SHT-TU14/80/80 МДФ SHT-T145 черный муар/золото/дуб сонома светлый</v>
          </cell>
          <cell r="C2349">
            <v>5340</v>
          </cell>
          <cell r="E2349">
            <v>352</v>
          </cell>
          <cell r="F2349">
            <v>458</v>
          </cell>
        </row>
        <row r="2350">
          <cell r="A2350">
            <v>201422</v>
          </cell>
          <cell r="B2350" t="str">
            <v>Стол Sheffilton SHT-TU14/80 ЛДСП  белый муар/дуб выбеленный</v>
          </cell>
          <cell r="C2350">
            <v>4573.33</v>
          </cell>
          <cell r="E2350">
            <v>301</v>
          </cell>
          <cell r="F2350">
            <v>391</v>
          </cell>
        </row>
        <row r="2351">
          <cell r="A2351">
            <v>193461</v>
          </cell>
          <cell r="B2351" t="str">
            <v>Стол Sheffilton SHT-TU14/80 ЛДСП SHT-T144 черный муар/золото/дуб беленый</v>
          </cell>
          <cell r="C2351">
            <v>4626.67</v>
          </cell>
          <cell r="E2351">
            <v>305</v>
          </cell>
          <cell r="F2351">
            <v>397</v>
          </cell>
        </row>
        <row r="2352">
          <cell r="A2352">
            <v>201285</v>
          </cell>
          <cell r="B2352" t="str">
            <v>Стол Sheffilton SHT-TU14/80 МДФ  белый муар/белая шагрень</v>
          </cell>
          <cell r="C2352">
            <v>5153.33</v>
          </cell>
          <cell r="E2352">
            <v>339</v>
          </cell>
          <cell r="F2352">
            <v>441</v>
          </cell>
        </row>
        <row r="2353">
          <cell r="A2353">
            <v>201282</v>
          </cell>
          <cell r="B2353" t="str">
            <v>Стол Sheffilton SHT-TU14/80 МДФ  белый муар/бетон светлый</v>
          </cell>
          <cell r="C2353">
            <v>5373.33</v>
          </cell>
          <cell r="E2353">
            <v>354</v>
          </cell>
          <cell r="F2353">
            <v>460</v>
          </cell>
        </row>
        <row r="2354">
          <cell r="A2354">
            <v>201283</v>
          </cell>
          <cell r="B2354" t="str">
            <v>Стол Sheffilton SHT-TU14/80 МДФ  белый муар/дуб сонома светлый</v>
          </cell>
          <cell r="C2354">
            <v>5273.33</v>
          </cell>
          <cell r="E2354">
            <v>347</v>
          </cell>
          <cell r="F2354">
            <v>451</v>
          </cell>
        </row>
        <row r="2355">
          <cell r="A2355">
            <v>209134</v>
          </cell>
          <cell r="B2355" t="str">
            <v>Стол Sheffilton SHT-TU14/80 МДФ  белый муар/золото/бетон светлый</v>
          </cell>
          <cell r="C2355">
            <v>5533.33</v>
          </cell>
          <cell r="E2355">
            <v>365</v>
          </cell>
          <cell r="F2355">
            <v>475</v>
          </cell>
        </row>
        <row r="2356">
          <cell r="A2356">
            <v>209137</v>
          </cell>
          <cell r="B2356" t="str">
            <v>Стол Sheffilton SHT-TU14/80 МДФ  белый муар/золото/дуб сонома светлый</v>
          </cell>
          <cell r="C2356">
            <v>5433.33</v>
          </cell>
          <cell r="E2356">
            <v>358</v>
          </cell>
          <cell r="F2356">
            <v>465</v>
          </cell>
        </row>
        <row r="2357">
          <cell r="A2357">
            <v>201281</v>
          </cell>
          <cell r="B2357" t="str">
            <v>Стол Sheffilton SHT-TU14/80 МДФ  белый муар/лофт медь</v>
          </cell>
          <cell r="C2357">
            <v>5380</v>
          </cell>
          <cell r="E2357">
            <v>354</v>
          </cell>
          <cell r="F2357">
            <v>460</v>
          </cell>
        </row>
        <row r="2358">
          <cell r="A2358">
            <v>209138</v>
          </cell>
          <cell r="B2358" t="str">
            <v>Стол Sheffilton SHT-TU14/80 МДФ SHT-T49 белый муар/золото/белоснежная шагрень</v>
          </cell>
          <cell r="C2358">
            <v>5313.33</v>
          </cell>
          <cell r="E2358">
            <v>350</v>
          </cell>
          <cell r="F2358">
            <v>455</v>
          </cell>
        </row>
        <row r="2359">
          <cell r="A2359">
            <v>178703</v>
          </cell>
          <cell r="B2359" t="str">
            <v>Стол Sheffilton SHT-TU14/80 МДФ SHT-T49 ваниль/дуб сонома светлый</v>
          </cell>
          <cell r="C2359">
            <v>4713.33</v>
          </cell>
          <cell r="E2359">
            <v>311</v>
          </cell>
          <cell r="F2359">
            <v>404</v>
          </cell>
        </row>
        <row r="2360">
          <cell r="A2360">
            <v>983123</v>
          </cell>
          <cell r="B2360" t="str">
            <v>Стол Sheffilton SHT-TU14/80 МДФ SHT-T49 черный муар/белый</v>
          </cell>
          <cell r="C2360">
            <v>5046.67</v>
          </cell>
          <cell r="E2360">
            <v>332</v>
          </cell>
          <cell r="F2360">
            <v>432</v>
          </cell>
        </row>
        <row r="2361">
          <cell r="A2361">
            <v>193459</v>
          </cell>
          <cell r="B2361" t="str">
            <v>Стол Sheffilton SHT-TU14/80 МДФ SHT-T49 черный муар/золото/белоснежная шагрень</v>
          </cell>
          <cell r="C2361">
            <v>5206.67</v>
          </cell>
          <cell r="E2361">
            <v>343</v>
          </cell>
          <cell r="F2361">
            <v>446</v>
          </cell>
        </row>
        <row r="2362">
          <cell r="A2362">
            <v>193458</v>
          </cell>
          <cell r="B2362" t="str">
            <v>Стол Sheffilton SHT-TU14/80 МДФ SHT-T49 черный муар/золото/бетон светлый</v>
          </cell>
          <cell r="C2362">
            <v>5426.67</v>
          </cell>
          <cell r="E2362">
            <v>358</v>
          </cell>
          <cell r="F2362">
            <v>465</v>
          </cell>
        </row>
        <row r="2363">
          <cell r="A2363">
            <v>193457</v>
          </cell>
          <cell r="B2363" t="str">
            <v>Стол Sheffilton SHT-TU14/80 МДФ SHT-T49 черный муар/золото/палисандр</v>
          </cell>
          <cell r="C2363">
            <v>5200</v>
          </cell>
          <cell r="E2363">
            <v>343</v>
          </cell>
          <cell r="F2363">
            <v>446</v>
          </cell>
        </row>
        <row r="2364">
          <cell r="A2364">
            <v>193453</v>
          </cell>
          <cell r="B2364" t="str">
            <v>Стол Sheffilton SHT-TU14/80 МДФ SHT-T49 чёрный муар/золото/дуб сонома светлый</v>
          </cell>
          <cell r="C2364">
            <v>5326.67</v>
          </cell>
          <cell r="E2364">
            <v>351</v>
          </cell>
          <cell r="F2364">
            <v>456</v>
          </cell>
        </row>
        <row r="2365">
          <cell r="A2365">
            <v>193456</v>
          </cell>
          <cell r="B2365" t="str">
            <v>Стол Sheffilton SHT-TU14/80 МДФ SHT-T49 чёрный муар/золото/лофт медь</v>
          </cell>
          <cell r="C2365">
            <v>5433.33</v>
          </cell>
          <cell r="E2365">
            <v>358</v>
          </cell>
          <cell r="F2365">
            <v>465</v>
          </cell>
        </row>
        <row r="2366">
          <cell r="A2366">
            <v>212662</v>
          </cell>
          <cell r="B2366" t="str">
            <v>Стол Sheffilton SHT-TU14/90 ЛДСП  ваниль/дуб галифакс табак</v>
          </cell>
          <cell r="C2366">
            <v>5473.33</v>
          </cell>
          <cell r="E2366">
            <v>361</v>
          </cell>
          <cell r="F2366">
            <v>469</v>
          </cell>
        </row>
        <row r="2367">
          <cell r="A2367">
            <v>212661</v>
          </cell>
          <cell r="B2367" t="str">
            <v>Стол Sheffilton SHT-TU14/90 ЛДСП SHT-T171 черный муар/дуб галифакс табак</v>
          </cell>
          <cell r="C2367">
            <v>5340</v>
          </cell>
          <cell r="E2367">
            <v>352</v>
          </cell>
          <cell r="F2367">
            <v>458</v>
          </cell>
        </row>
        <row r="2368">
          <cell r="A2368">
            <v>208868</v>
          </cell>
          <cell r="B2368" t="str">
            <v>Стол Sheffilton SHT-TU14/90 МДФ  белый/мрамор премиум светлый</v>
          </cell>
          <cell r="C2368">
            <v>5526.67</v>
          </cell>
          <cell r="E2368">
            <v>364</v>
          </cell>
          <cell r="F2368">
            <v>473</v>
          </cell>
        </row>
        <row r="2369">
          <cell r="A2369">
            <v>203675</v>
          </cell>
          <cell r="B2369" t="str">
            <v>Стол Sheffilton SHT-TU14/90 МДФ  белый муар/дуб верона белый</v>
          </cell>
          <cell r="C2369">
            <v>5366.67</v>
          </cell>
          <cell r="E2369">
            <v>354</v>
          </cell>
          <cell r="F2369">
            <v>460</v>
          </cell>
        </row>
        <row r="2370">
          <cell r="A2370">
            <v>209135</v>
          </cell>
          <cell r="B2370" t="str">
            <v>Стол Sheffilton SHT-TU14/90 МДФ  белый муар/золото/мрамор премиум темн.</v>
          </cell>
          <cell r="C2370">
            <v>5646.67</v>
          </cell>
          <cell r="E2370">
            <v>372</v>
          </cell>
          <cell r="F2370">
            <v>484</v>
          </cell>
        </row>
        <row r="2371">
          <cell r="A2371">
            <v>201279</v>
          </cell>
          <cell r="B2371" t="str">
            <v>Стол Sheffilton SHT-TU14/90 МДФ  белый муар/мрамор премиум</v>
          </cell>
          <cell r="C2371">
            <v>5486.67</v>
          </cell>
          <cell r="E2371">
            <v>361</v>
          </cell>
          <cell r="F2371">
            <v>469</v>
          </cell>
        </row>
        <row r="2372">
          <cell r="A2372">
            <v>203674</v>
          </cell>
          <cell r="B2372" t="str">
            <v>Стол Sheffilton SHT-TU14/90 МДФ  черный муар/золото/дуб верона белый</v>
          </cell>
          <cell r="C2372">
            <v>5420</v>
          </cell>
          <cell r="E2372">
            <v>357</v>
          </cell>
          <cell r="F2372">
            <v>464</v>
          </cell>
        </row>
        <row r="2373">
          <cell r="A2373">
            <v>200604</v>
          </cell>
          <cell r="B2373" t="str">
            <v>Стол Sheffilton SHT-TU14/90 МДФ SHT-T162 черный муар/золото/мрамор премиум</v>
          </cell>
          <cell r="C2373">
            <v>5540</v>
          </cell>
          <cell r="E2373">
            <v>365</v>
          </cell>
          <cell r="F2373">
            <v>475</v>
          </cell>
        </row>
        <row r="2374">
          <cell r="A2374">
            <v>208864</v>
          </cell>
          <cell r="B2374" t="str">
            <v>Стол Sheffilton SHT-TU14/90 МДФ SHT-T162 черный муар/золото/мрамор премиум светл.</v>
          </cell>
          <cell r="C2374">
            <v>5580</v>
          </cell>
          <cell r="E2374">
            <v>368</v>
          </cell>
          <cell r="F2374">
            <v>478</v>
          </cell>
        </row>
        <row r="2375">
          <cell r="A2375">
            <v>200605</v>
          </cell>
          <cell r="B2375" t="str">
            <v>Стол Sheffilton SHT-TU14/90 МДФ SHT-T162 черный муар/мрамор премиум</v>
          </cell>
          <cell r="C2375">
            <v>5380</v>
          </cell>
          <cell r="E2375">
            <v>354</v>
          </cell>
          <cell r="F2375">
            <v>460</v>
          </cell>
        </row>
        <row r="2376">
          <cell r="A2376">
            <v>192597</v>
          </cell>
          <cell r="B2376" t="str">
            <v>Стол Sheffilton SHT-TU14/TT21-6 100/75 керамика  черный муар/гранитно-серый</v>
          </cell>
          <cell r="C2376">
            <v>12586.67</v>
          </cell>
          <cell r="E2376">
            <v>829</v>
          </cell>
          <cell r="F2376">
            <v>1078</v>
          </cell>
        </row>
        <row r="2377">
          <cell r="A2377">
            <v>196211</v>
          </cell>
          <cell r="B2377" t="str">
            <v>Стол Sheffilton SHT-TU14/TT21-6 100/75 керамика  черный муар/коричневая сепия</v>
          </cell>
          <cell r="C2377">
            <v>11593.33</v>
          </cell>
          <cell r="E2377">
            <v>764</v>
          </cell>
          <cell r="F2377">
            <v>993</v>
          </cell>
        </row>
        <row r="2378">
          <cell r="A2378">
            <v>196193</v>
          </cell>
          <cell r="B2378" t="str">
            <v>Стол Sheffilton SHT-TU14/TT21-6 100/75 керамика  чёрный/тёмный орех/гранитно-серый</v>
          </cell>
          <cell r="C2378">
            <v>13493.33</v>
          </cell>
          <cell r="E2378">
            <v>889</v>
          </cell>
          <cell r="F2378">
            <v>1156</v>
          </cell>
        </row>
        <row r="2379">
          <cell r="A2379">
            <v>196204</v>
          </cell>
          <cell r="B2379" t="str">
            <v>Стол Sheffilton SHT-TU14/TT21-6 90 керамика  ваниль/песчаное облако</v>
          </cell>
          <cell r="C2379">
            <v>16340</v>
          </cell>
          <cell r="E2379">
            <v>1076</v>
          </cell>
          <cell r="F2379">
            <v>1399</v>
          </cell>
        </row>
        <row r="2380">
          <cell r="A2380">
            <v>209146</v>
          </cell>
          <cell r="B2380" t="str">
            <v>Стол Sheffilton SHT-TU14/TT30  белый муар/золото/белый</v>
          </cell>
          <cell r="C2380">
            <v>5086.67</v>
          </cell>
          <cell r="E2380">
            <v>335</v>
          </cell>
          <cell r="F2380">
            <v>436</v>
          </cell>
        </row>
        <row r="2381">
          <cell r="A2381">
            <v>201426</v>
          </cell>
          <cell r="B2381" t="str">
            <v>Стол Sheffilton SHT-TU14/TT30 83/83  белый муар/белый</v>
          </cell>
          <cell r="C2381">
            <v>4926.67</v>
          </cell>
          <cell r="E2381">
            <v>325</v>
          </cell>
          <cell r="F2381">
            <v>423</v>
          </cell>
        </row>
        <row r="2382">
          <cell r="A2382">
            <v>193400</v>
          </cell>
          <cell r="B2382" t="str">
            <v>Стол Sheffilton SHT-TU14/TТ 83/83 SHT-T158 черный муар/золото/черный</v>
          </cell>
          <cell r="C2382">
            <v>4980</v>
          </cell>
          <cell r="E2382">
            <v>328</v>
          </cell>
          <cell r="F2382">
            <v>426</v>
          </cell>
        </row>
        <row r="2383">
          <cell r="A2383">
            <v>193446</v>
          </cell>
          <cell r="B2383" t="str">
            <v>Стол Sheffilton SHT-TU14/БУК 70  черный муар/золото/прозрачный лак</v>
          </cell>
          <cell r="C2383">
            <v>7620</v>
          </cell>
          <cell r="E2383">
            <v>502</v>
          </cell>
          <cell r="F2383">
            <v>653</v>
          </cell>
        </row>
        <row r="2384">
          <cell r="A2384">
            <v>193399</v>
          </cell>
          <cell r="B2384" t="str">
            <v>Стол Sheffilton SHT-TU14/ДУБ 70/70 / КЕРАМИКА  черн.муар/золото/прозр.лак/корич.сепия</v>
          </cell>
          <cell r="C2384">
            <v>13233.33</v>
          </cell>
          <cell r="E2384">
            <v>872</v>
          </cell>
          <cell r="F2384">
            <v>1134</v>
          </cell>
        </row>
        <row r="2385">
          <cell r="A2385">
            <v>193409</v>
          </cell>
          <cell r="B2385" t="str">
            <v>Стол Sheffilton SHT-TU14/ДУБ 80/80 SHT-T175 черный муар/золото/дуб браш.коричневый</v>
          </cell>
          <cell r="C2385">
            <v>9786.67</v>
          </cell>
          <cell r="E2385">
            <v>645</v>
          </cell>
          <cell r="F2385">
            <v>839</v>
          </cell>
        </row>
        <row r="2386">
          <cell r="A2386">
            <v>164509</v>
          </cell>
          <cell r="B2386" t="str">
            <v>Стол Sheffilton SHT-TU15/120/80 ЛДСП  медный металлик/орех</v>
          </cell>
          <cell r="C2386">
            <v>3986.67</v>
          </cell>
          <cell r="E2386">
            <v>263</v>
          </cell>
          <cell r="F2386">
            <v>342</v>
          </cell>
        </row>
        <row r="2387">
          <cell r="A2387">
            <v>164144</v>
          </cell>
          <cell r="B2387" t="str">
            <v>Стол Sheffilton SHT-TU15/120/80 ЛДСП SHT-T106 медный металлик/венге</v>
          </cell>
          <cell r="C2387">
            <v>5013.33</v>
          </cell>
          <cell r="E2387">
            <v>330</v>
          </cell>
          <cell r="F2387">
            <v>429</v>
          </cell>
        </row>
        <row r="2388">
          <cell r="A2388">
            <v>211173</v>
          </cell>
          <cell r="B2388" t="str">
            <v>Стол Sheffilton SHT-TU15/140/80 МДФ овальная  медный металлик/мрамор премиум светлый</v>
          </cell>
          <cell r="C2388">
            <v>7573.33</v>
          </cell>
          <cell r="E2388">
            <v>499</v>
          </cell>
          <cell r="F2388">
            <v>649</v>
          </cell>
        </row>
        <row r="2389">
          <cell r="A2389">
            <v>145460</v>
          </cell>
          <cell r="B2389" t="str">
            <v>Стол Sheffilton SHT-TU15/70 МДФ SHT-T77 медный металлик/орех светлый</v>
          </cell>
          <cell r="C2389">
            <v>5266.67</v>
          </cell>
          <cell r="E2389">
            <v>347</v>
          </cell>
          <cell r="F2389">
            <v>451</v>
          </cell>
        </row>
        <row r="2390">
          <cell r="A2390">
            <v>212664</v>
          </cell>
          <cell r="B2390" t="str">
            <v>Стол Sheffilton SHT-TU15/90 ЛДСП  медный металлик/дуб галифакс табак</v>
          </cell>
          <cell r="C2390">
            <v>5686.67</v>
          </cell>
          <cell r="E2390">
            <v>375</v>
          </cell>
          <cell r="F2390">
            <v>488</v>
          </cell>
        </row>
        <row r="2391">
          <cell r="A2391">
            <v>203679</v>
          </cell>
          <cell r="B2391" t="str">
            <v>Стол Sheffilton SHT-TU15/90 МДФ  медный металлик/дуб верона белый</v>
          </cell>
          <cell r="C2391">
            <v>5606.67</v>
          </cell>
          <cell r="E2391">
            <v>369</v>
          </cell>
          <cell r="F2391">
            <v>480</v>
          </cell>
        </row>
        <row r="2392">
          <cell r="A2392">
            <v>200607</v>
          </cell>
          <cell r="B2392" t="str">
            <v>Стол Sheffilton SHT-TU15/90 МДФ  медный металлик/мрамор премиум</v>
          </cell>
          <cell r="C2392">
            <v>5726.67</v>
          </cell>
          <cell r="E2392">
            <v>377</v>
          </cell>
          <cell r="F2392">
            <v>490</v>
          </cell>
        </row>
        <row r="2393">
          <cell r="A2393">
            <v>196215</v>
          </cell>
          <cell r="B2393" t="str">
            <v>Стол Sheffilton SHT-TU15/TT21-6 100/75 керамика  медный металлик/коричневая сепия</v>
          </cell>
          <cell r="C2393">
            <v>11940</v>
          </cell>
          <cell r="E2393">
            <v>787</v>
          </cell>
          <cell r="F2393">
            <v>1023</v>
          </cell>
        </row>
        <row r="2394">
          <cell r="A2394">
            <v>164510</v>
          </cell>
          <cell r="B2394" t="str">
            <v>Стол Sheffilton SHT-TU16/120/80 ЛДСП  темный орех/орех</v>
          </cell>
          <cell r="C2394">
            <v>5400</v>
          </cell>
          <cell r="E2394">
            <v>356</v>
          </cell>
          <cell r="F2394">
            <v>463</v>
          </cell>
        </row>
        <row r="2395">
          <cell r="A2395">
            <v>164059</v>
          </cell>
          <cell r="B2395" t="str">
            <v>Стол Sheffilton SHT-TU16/120/80 ЛДСП SHT-T89 прозрачный лак/дуб беленный</v>
          </cell>
          <cell r="C2395">
            <v>7186.67</v>
          </cell>
          <cell r="E2395">
            <v>473</v>
          </cell>
          <cell r="F2395">
            <v>615</v>
          </cell>
        </row>
        <row r="2396">
          <cell r="A2396">
            <v>982709</v>
          </cell>
          <cell r="B2396" t="str">
            <v>Стол Sheffilton SHT-TU16/120/80 МДФ  прозрачный лак/дуб сонома светлый</v>
          </cell>
          <cell r="C2396">
            <v>7773.33</v>
          </cell>
          <cell r="E2396">
            <v>512</v>
          </cell>
          <cell r="F2396">
            <v>666</v>
          </cell>
        </row>
        <row r="2397">
          <cell r="A2397">
            <v>987095</v>
          </cell>
          <cell r="B2397" t="str">
            <v>Стол Sheffilton SHT-TU16/80 ЛДСП SHT-T100 прозрачный лак/дуб беленый</v>
          </cell>
          <cell r="C2397">
            <v>6626.67</v>
          </cell>
          <cell r="E2397">
            <v>437</v>
          </cell>
          <cell r="F2397">
            <v>568</v>
          </cell>
        </row>
        <row r="2398">
          <cell r="A2398">
            <v>203678</v>
          </cell>
          <cell r="B2398" t="str">
            <v>Стол Sheffilton SHT-TU16/90 МДФ  венге/дуб верона белый</v>
          </cell>
          <cell r="C2398">
            <v>6940</v>
          </cell>
          <cell r="E2398">
            <v>457</v>
          </cell>
          <cell r="F2398">
            <v>594</v>
          </cell>
        </row>
        <row r="2399">
          <cell r="A2399">
            <v>200982</v>
          </cell>
          <cell r="B2399" t="str">
            <v>Стол Sheffilton SHT-TU16/90 МДФ  венге/мрамор премиум</v>
          </cell>
          <cell r="C2399">
            <v>7060</v>
          </cell>
          <cell r="E2399">
            <v>465</v>
          </cell>
          <cell r="F2399">
            <v>605</v>
          </cell>
        </row>
        <row r="2400">
          <cell r="A2400">
            <v>196214</v>
          </cell>
          <cell r="B2400" t="str">
            <v>Стол Sheffilton SHT-TU16/TT21-6 100/75 керамика  темный орех/коричневая сепия</v>
          </cell>
          <cell r="C2400">
            <v>13353.33</v>
          </cell>
          <cell r="E2400">
            <v>880</v>
          </cell>
          <cell r="F2400">
            <v>1144</v>
          </cell>
        </row>
        <row r="2401">
          <cell r="A2401">
            <v>164057</v>
          </cell>
          <cell r="B2401" t="str">
            <v>Стол Sheffilton SHT-TU17/120/80 ЛДСП SHT-T117 черный муар/дуб беленый</v>
          </cell>
          <cell r="C2401">
            <v>5506.67</v>
          </cell>
          <cell r="E2401">
            <v>363</v>
          </cell>
          <cell r="F2401">
            <v>472</v>
          </cell>
        </row>
        <row r="2402">
          <cell r="A2402">
            <v>965602</v>
          </cell>
          <cell r="B2402" t="str">
            <v>Стол Sheffilton SHT-TU17/80 МДФ SHT-T59 черный муар/белый</v>
          </cell>
          <cell r="C2402">
            <v>4853.33</v>
          </cell>
          <cell r="E2402">
            <v>320</v>
          </cell>
          <cell r="F2402">
            <v>416</v>
          </cell>
        </row>
        <row r="2403">
          <cell r="A2403">
            <v>985129</v>
          </cell>
          <cell r="B2403" t="str">
            <v>Стол Sheffilton SHT-TU17/80 МДФ SHT-T59 черный муар/палисандр</v>
          </cell>
          <cell r="C2403">
            <v>5520</v>
          </cell>
          <cell r="E2403">
            <v>364</v>
          </cell>
          <cell r="F2403">
            <v>473</v>
          </cell>
        </row>
        <row r="2404">
          <cell r="A2404">
            <v>174613</v>
          </cell>
          <cell r="B2404" t="str">
            <v>Стол Sheffilton SHT-TU20/120/80 ЛДСП  черный муар/белый</v>
          </cell>
          <cell r="C2404">
            <v>5546.67</v>
          </cell>
          <cell r="E2404">
            <v>365</v>
          </cell>
          <cell r="F2404">
            <v>475</v>
          </cell>
        </row>
        <row r="2405">
          <cell r="A2405">
            <v>164146</v>
          </cell>
          <cell r="B2405" t="str">
            <v>Стол Sheffilton SHT-TU20/120/80 ЛДСП  черный муар/венге</v>
          </cell>
          <cell r="C2405">
            <v>5546.67</v>
          </cell>
          <cell r="E2405">
            <v>365</v>
          </cell>
          <cell r="F2405">
            <v>475</v>
          </cell>
        </row>
        <row r="2406">
          <cell r="A2406">
            <v>174615</v>
          </cell>
          <cell r="B2406" t="str">
            <v>Стол Sheffilton SHT-TU20/120/80 МДФ  черный муар/дуб сонома светлый</v>
          </cell>
          <cell r="C2406">
            <v>6493.33</v>
          </cell>
          <cell r="E2406">
            <v>428</v>
          </cell>
          <cell r="F2406">
            <v>556</v>
          </cell>
        </row>
        <row r="2407">
          <cell r="A2407">
            <v>145653</v>
          </cell>
          <cell r="B2407" t="str">
            <v>Стол Sheffilton SHT-TU2-1/70/70 ДУБ/OSB SHT-T75 медный/прозрачный лак</v>
          </cell>
          <cell r="C2407">
            <v>6536.67</v>
          </cell>
          <cell r="E2407">
            <v>431</v>
          </cell>
          <cell r="F2407">
            <v>560</v>
          </cell>
        </row>
        <row r="2408">
          <cell r="A2408">
            <v>145521</v>
          </cell>
          <cell r="B2408" t="str">
            <v>Стол Sheffilton SHT-TU2-1/70 МДФ SHT-T84 медный/орех светлый</v>
          </cell>
          <cell r="C2408">
            <v>4173.33</v>
          </cell>
          <cell r="E2408">
            <v>275</v>
          </cell>
          <cell r="F2408">
            <v>358</v>
          </cell>
        </row>
        <row r="2409">
          <cell r="A2409">
            <v>970372</v>
          </cell>
          <cell r="B2409" t="str">
            <v>Стол Sheffilton SHT-TU2-1/76 SHT-T27 черный муар/белый</v>
          </cell>
          <cell r="C2409">
            <v>2686.67</v>
          </cell>
          <cell r="E2409">
            <v>177</v>
          </cell>
          <cell r="F2409">
            <v>230</v>
          </cell>
        </row>
        <row r="2410">
          <cell r="A2410">
            <v>177420</v>
          </cell>
          <cell r="B2410" t="str">
            <v>Стол Sheffilton SHT-TU2-1/80 МДФ SHT-T78 хром лак/бетон светлый</v>
          </cell>
          <cell r="C2410">
            <v>4640</v>
          </cell>
          <cell r="E2410">
            <v>306</v>
          </cell>
          <cell r="F2410">
            <v>398</v>
          </cell>
        </row>
        <row r="2411">
          <cell r="A2411">
            <v>145518</v>
          </cell>
          <cell r="B2411" t="str">
            <v>Стол Sheffilton SHT-TU2-1/80 МДФ SHT-T78 хром лак/дуб тортуга</v>
          </cell>
          <cell r="C2411">
            <v>4473.33</v>
          </cell>
          <cell r="E2411">
            <v>295</v>
          </cell>
          <cell r="F2411">
            <v>384</v>
          </cell>
        </row>
        <row r="2412">
          <cell r="A2412">
            <v>145520</v>
          </cell>
          <cell r="B2412" t="str">
            <v>Стол Sheffilton SHT-TU2-1/80 МДФ SHT-T78 черный/дуб тортуга</v>
          </cell>
          <cell r="C2412">
            <v>4306.67</v>
          </cell>
          <cell r="E2412">
            <v>284</v>
          </cell>
          <cell r="F2412">
            <v>369</v>
          </cell>
        </row>
        <row r="2413">
          <cell r="A2413">
            <v>986898</v>
          </cell>
          <cell r="B2413" t="str">
            <v>Стол Sheffilton SHT-TU2-1/80 МДФ SHT-Т78 хром лак/белый</v>
          </cell>
          <cell r="C2413">
            <v>4420</v>
          </cell>
          <cell r="E2413">
            <v>291</v>
          </cell>
          <cell r="F2413">
            <v>378</v>
          </cell>
        </row>
        <row r="2414">
          <cell r="A2414">
            <v>212657</v>
          </cell>
          <cell r="B2414" t="str">
            <v>Стол Sheffilton SHT-TU2-1/90 ЛДСП  черный муар/дуб галифакс табак</v>
          </cell>
          <cell r="C2414">
            <v>4546.67</v>
          </cell>
          <cell r="E2414">
            <v>300</v>
          </cell>
          <cell r="F2414">
            <v>390</v>
          </cell>
        </row>
        <row r="2415">
          <cell r="A2415">
            <v>203673</v>
          </cell>
          <cell r="B2415" t="str">
            <v>Стол Sheffilton SHT-TU2-1/90 МДФ  медный металлик/дуб верона белый</v>
          </cell>
          <cell r="C2415">
            <v>4513.33</v>
          </cell>
          <cell r="E2415">
            <v>297</v>
          </cell>
          <cell r="F2415">
            <v>386</v>
          </cell>
        </row>
        <row r="2416">
          <cell r="A2416">
            <v>208906</v>
          </cell>
          <cell r="B2416" t="str">
            <v>Стол Sheffilton SHT-TU2-1/90 МДФ  хром лак/мрамор премиум светлый</v>
          </cell>
          <cell r="C2416">
            <v>4793.33</v>
          </cell>
          <cell r="E2416">
            <v>316</v>
          </cell>
          <cell r="F2416">
            <v>411</v>
          </cell>
        </row>
        <row r="2417">
          <cell r="A2417">
            <v>203672</v>
          </cell>
          <cell r="B2417" t="str">
            <v>Стол Sheffilton SHT-TU2-1/90 МДФ  черный муар/дуб верона белый</v>
          </cell>
          <cell r="C2417">
            <v>4466.67</v>
          </cell>
          <cell r="E2417">
            <v>294</v>
          </cell>
          <cell r="F2417">
            <v>382</v>
          </cell>
        </row>
        <row r="2418">
          <cell r="A2418">
            <v>200611</v>
          </cell>
          <cell r="B2418" t="str">
            <v>Стол Sheffilton SHT-TU2-1/90 МДФ SHT-T142 черный муар/мрамор премиум</v>
          </cell>
          <cell r="C2418">
            <v>4586.67</v>
          </cell>
          <cell r="E2418">
            <v>302</v>
          </cell>
          <cell r="F2418">
            <v>393</v>
          </cell>
        </row>
        <row r="2419">
          <cell r="A2419">
            <v>196200</v>
          </cell>
          <cell r="B2419" t="str">
            <v>Стол Sheffilton SHT-TU2-1/TT21-6 100/75 керамика  черный муар/гранитно-серый</v>
          </cell>
          <cell r="C2419">
            <v>11793.33</v>
          </cell>
          <cell r="E2419">
            <v>777</v>
          </cell>
          <cell r="F2419">
            <v>1010</v>
          </cell>
        </row>
        <row r="2420">
          <cell r="A2420">
            <v>184312</v>
          </cell>
          <cell r="B2420" t="str">
            <v>Стол Sheffilton SHT-TU2-1/TT30 83/83 SHT-T123 белый/хром лак</v>
          </cell>
          <cell r="C2420">
            <v>4193.33</v>
          </cell>
          <cell r="E2420">
            <v>276</v>
          </cell>
          <cell r="F2420">
            <v>359</v>
          </cell>
        </row>
        <row r="2421">
          <cell r="A2421">
            <v>184304</v>
          </cell>
          <cell r="B2421" t="str">
            <v>Стол Sheffilton SHT-TU2-1/TT30 83/83 SHT-T123 медный мет./коричневый</v>
          </cell>
          <cell r="C2421">
            <v>4073.33</v>
          </cell>
          <cell r="E2421">
            <v>268</v>
          </cell>
          <cell r="F2421">
            <v>348</v>
          </cell>
        </row>
        <row r="2422">
          <cell r="A2422">
            <v>184320</v>
          </cell>
          <cell r="B2422" t="str">
            <v>Стол Sheffilton SHT-TU2-1/TT30 83/83 SHT-T123 черный муар/бежевый ral1013</v>
          </cell>
          <cell r="C2422">
            <v>4026.67</v>
          </cell>
          <cell r="E2422">
            <v>265</v>
          </cell>
          <cell r="F2422">
            <v>345</v>
          </cell>
        </row>
        <row r="2423">
          <cell r="A2423">
            <v>156491</v>
          </cell>
          <cell r="B2423" t="str">
            <v>Стол Sheffilton SHT-TU2-1/ТT4 70 БУК  хром лак/прозрачный лак</v>
          </cell>
          <cell r="C2423">
            <v>6833.33</v>
          </cell>
          <cell r="E2423">
            <v>450</v>
          </cell>
          <cell r="F2423">
            <v>585</v>
          </cell>
        </row>
        <row r="2424">
          <cell r="A2424">
            <v>148569</v>
          </cell>
          <cell r="B2424" t="str">
            <v>Стол Sheffilton SHT-TU2-1/ТT7 60/60 ДУБ/керамика SHT-T128 черный муар/браш.коричневый/песочный</v>
          </cell>
          <cell r="C2424">
            <v>7846.67</v>
          </cell>
          <cell r="E2424">
            <v>517</v>
          </cell>
          <cell r="F2424">
            <v>672</v>
          </cell>
        </row>
        <row r="2425">
          <cell r="A2425">
            <v>145686</v>
          </cell>
          <cell r="B2425" t="str">
            <v>Стол Sheffilton SHT-TU2-1/ТT8 60/60 ДУБ/керамика SHT-T76 медный/прозрачный лак/коричневая сепия</v>
          </cell>
          <cell r="C2425">
            <v>9873.33</v>
          </cell>
          <cell r="E2425">
            <v>650</v>
          </cell>
          <cell r="F2425">
            <v>845</v>
          </cell>
        </row>
        <row r="2426">
          <cell r="A2426">
            <v>151770</v>
          </cell>
          <cell r="B2426" t="str">
            <v>Стол Sheffilton SHT-TU22/TT10 ДУБ/слэб  натуральное дерево/металл</v>
          </cell>
          <cell r="C2426">
            <v>24506.67</v>
          </cell>
          <cell r="E2426">
            <v>1614</v>
          </cell>
          <cell r="F2426">
            <v>2098</v>
          </cell>
        </row>
        <row r="2427">
          <cell r="A2427">
            <v>151771</v>
          </cell>
          <cell r="B2427" t="str">
            <v>Стол Sheffilton SHT-TU22/TT5 ДУБ SHT-T116 массив дуба/металл</v>
          </cell>
          <cell r="C2427">
            <v>14893.33</v>
          </cell>
          <cell r="E2427">
            <v>981</v>
          </cell>
          <cell r="F2427">
            <v>1275</v>
          </cell>
        </row>
        <row r="2428">
          <cell r="A2428">
            <v>138223</v>
          </cell>
          <cell r="B2428" t="str">
            <v>Стол Sheffilton SHT-TU23/H71/80 МДФ SHT-T81 темно-серый RAL70/дуб тортуга</v>
          </cell>
          <cell r="C2428">
            <v>5613.33</v>
          </cell>
          <cell r="E2428">
            <v>370</v>
          </cell>
          <cell r="F2428">
            <v>481</v>
          </cell>
        </row>
        <row r="2429">
          <cell r="A2429">
            <v>138290</v>
          </cell>
          <cell r="B2429" t="str">
            <v>Стол Sheffilton SHT-TU23/H71/ЛДСП 80/80  темно-серый RAL70/белый</v>
          </cell>
          <cell r="C2429">
            <v>4360</v>
          </cell>
          <cell r="E2429">
            <v>287</v>
          </cell>
          <cell r="F2429">
            <v>373</v>
          </cell>
        </row>
        <row r="2430">
          <cell r="A2430">
            <v>196218</v>
          </cell>
          <cell r="B2430" t="str">
            <v>Стол Sheffilton SHT-TU23/Н21/TT21-6 100/75 керамика  темно-серый ral7021/коричневая сепия</v>
          </cell>
          <cell r="C2430">
            <v>12106.67</v>
          </cell>
          <cell r="E2430">
            <v>798</v>
          </cell>
          <cell r="F2430">
            <v>1037</v>
          </cell>
        </row>
        <row r="2431">
          <cell r="A2431">
            <v>200610</v>
          </cell>
          <cell r="B2431" t="str">
            <v>Стол Sheffilton SHT-TU23/Н71/90 МДФ  темно-серый/мрамор премиум</v>
          </cell>
          <cell r="C2431">
            <v>5893.33</v>
          </cell>
          <cell r="E2431">
            <v>388</v>
          </cell>
          <cell r="F2431">
            <v>504</v>
          </cell>
        </row>
        <row r="2432">
          <cell r="A2432">
            <v>147020</v>
          </cell>
          <cell r="B2432" t="str">
            <v>Стол Sheffilton SHT-TU25/70 МДФ  черный муар/орех светлый</v>
          </cell>
          <cell r="C2432">
            <v>5220</v>
          </cell>
          <cell r="E2432">
            <v>344</v>
          </cell>
          <cell r="F2432">
            <v>447</v>
          </cell>
        </row>
        <row r="2433">
          <cell r="A2433">
            <v>147033</v>
          </cell>
          <cell r="B2433" t="str">
            <v>Стол Sheffilton SHT-TU25/80 МДФ SHT-T72 черный муар/палисандр</v>
          </cell>
          <cell r="C2433">
            <v>5340</v>
          </cell>
          <cell r="E2433">
            <v>352</v>
          </cell>
          <cell r="F2433">
            <v>458</v>
          </cell>
        </row>
        <row r="2434">
          <cell r="A2434">
            <v>212658</v>
          </cell>
          <cell r="B2434" t="str">
            <v>Стол Sheffilton SHT-TU25/90 ЛДСП  черный муар/дуб галифакс табак</v>
          </cell>
          <cell r="C2434">
            <v>5640</v>
          </cell>
          <cell r="E2434">
            <v>372</v>
          </cell>
          <cell r="F2434">
            <v>484</v>
          </cell>
        </row>
        <row r="2435">
          <cell r="A2435">
            <v>203681</v>
          </cell>
          <cell r="B2435" t="str">
            <v>Стол Sheffilton SHT-TU25/90 МДФ  черный муар/дуб верона белый</v>
          </cell>
          <cell r="C2435">
            <v>5560</v>
          </cell>
          <cell r="E2435">
            <v>366</v>
          </cell>
          <cell r="F2435">
            <v>476</v>
          </cell>
        </row>
        <row r="2436">
          <cell r="A2436">
            <v>208861</v>
          </cell>
          <cell r="B2436" t="str">
            <v>Стол Sheffilton SHT-TU25/90 МДФ  черный муар/мрамор премиум светлый</v>
          </cell>
          <cell r="C2436">
            <v>5720</v>
          </cell>
          <cell r="E2436">
            <v>377</v>
          </cell>
          <cell r="F2436">
            <v>490</v>
          </cell>
        </row>
        <row r="2437">
          <cell r="A2437">
            <v>200603</v>
          </cell>
          <cell r="B2437" t="str">
            <v>Стол Sheffilton SHT-TU25/90 МДФ SHT-T161 черный муар/мрамор премиум</v>
          </cell>
          <cell r="C2437">
            <v>5680</v>
          </cell>
          <cell r="E2437">
            <v>374</v>
          </cell>
          <cell r="F2437">
            <v>486</v>
          </cell>
        </row>
        <row r="2438">
          <cell r="A2438">
            <v>196210</v>
          </cell>
          <cell r="B2438" t="str">
            <v>Стол Sheffilton SHT-TU25/TT21-6 90 керамика  черный муар/песчаное облако</v>
          </cell>
          <cell r="C2438">
            <v>16506.669999999998</v>
          </cell>
          <cell r="E2438">
            <v>1087</v>
          </cell>
          <cell r="F2438">
            <v>1413</v>
          </cell>
        </row>
        <row r="2439">
          <cell r="A2439">
            <v>184322</v>
          </cell>
          <cell r="B2439" t="str">
            <v>Стол Sheffilton SHT-TU25/TT30 83/83  черный муар/черный</v>
          </cell>
          <cell r="C2439">
            <v>5120</v>
          </cell>
          <cell r="E2439">
            <v>337</v>
          </cell>
          <cell r="F2439">
            <v>438</v>
          </cell>
        </row>
        <row r="2440">
          <cell r="A2440">
            <v>195360</v>
          </cell>
          <cell r="B2440" t="str">
            <v>Стол Sheffilton SHT-TU25/TU21-6 100-75 керамика  черный муар/гранитно-серый</v>
          </cell>
          <cell r="C2440">
            <v>12886.67</v>
          </cell>
          <cell r="E2440">
            <v>849</v>
          </cell>
          <cell r="F2440">
            <v>1104</v>
          </cell>
        </row>
        <row r="2441">
          <cell r="A2441">
            <v>167920</v>
          </cell>
          <cell r="B2441" t="str">
            <v>Стол Sheffilton SHT-TU28/120-80 МДФ  черный муар/дуб сонома</v>
          </cell>
          <cell r="C2441">
            <v>5883.33</v>
          </cell>
          <cell r="E2441">
            <v>388</v>
          </cell>
          <cell r="F2441">
            <v>504</v>
          </cell>
        </row>
        <row r="2442">
          <cell r="A2442">
            <v>167915</v>
          </cell>
          <cell r="B2442" t="str">
            <v>Стол Sheffilton SHT-TU28/120/80 МДФ  черный муар/палисандр</v>
          </cell>
          <cell r="C2442">
            <v>6540</v>
          </cell>
          <cell r="E2442">
            <v>431</v>
          </cell>
          <cell r="F2442">
            <v>560</v>
          </cell>
        </row>
        <row r="2443">
          <cell r="A2443">
            <v>196202</v>
          </cell>
          <cell r="B2443" t="str">
            <v>Стол Sheffilton SHT-TU28/TT21-6 100/75 керамика  черный муар/гранитно-серый</v>
          </cell>
          <cell r="C2443">
            <v>13586.67</v>
          </cell>
          <cell r="E2443">
            <v>895</v>
          </cell>
          <cell r="F2443">
            <v>1164</v>
          </cell>
        </row>
        <row r="2444">
          <cell r="A2444">
            <v>185746</v>
          </cell>
          <cell r="B2444" t="str">
            <v>Стол Sheffilton SHT-TU30-2/120/80 ЛДСП SHT-T164 бежевый/дуб беленый</v>
          </cell>
          <cell r="C2444">
            <v>4980</v>
          </cell>
          <cell r="E2444">
            <v>328</v>
          </cell>
          <cell r="F2444">
            <v>426</v>
          </cell>
        </row>
        <row r="2445">
          <cell r="A2445">
            <v>214603</v>
          </cell>
          <cell r="B2445" t="str">
            <v>Стол Sheffilton SHT-TU30-2/140/80 ЛДСП  белый/хромикс белый</v>
          </cell>
          <cell r="C2445">
            <v>5413.33</v>
          </cell>
          <cell r="E2445">
            <v>357</v>
          </cell>
          <cell r="F2445">
            <v>464</v>
          </cell>
        </row>
        <row r="2446">
          <cell r="A2446">
            <v>214604</v>
          </cell>
          <cell r="B2446" t="str">
            <v>Стол Sheffilton SHT-TU30-2/140/80 ЛДСП  черный/хромикс белый</v>
          </cell>
          <cell r="C2446">
            <v>5413.33</v>
          </cell>
          <cell r="E2446">
            <v>357</v>
          </cell>
          <cell r="F2446">
            <v>464</v>
          </cell>
        </row>
        <row r="2447">
          <cell r="A2447">
            <v>211169</v>
          </cell>
          <cell r="B2447" t="str">
            <v>Стол Sheffilton SHT-TU30-2/140/80 МДФ овальная  белый/мрамор премиум светлый</v>
          </cell>
          <cell r="C2447">
            <v>7180</v>
          </cell>
          <cell r="E2447">
            <v>473</v>
          </cell>
          <cell r="F2447">
            <v>615</v>
          </cell>
        </row>
        <row r="2448">
          <cell r="A2448">
            <v>211170</v>
          </cell>
          <cell r="B2448" t="str">
            <v>Стол Sheffilton SHT-TU30-2/140/80 МДФ овальная  черный/мрамор премиум светлый</v>
          </cell>
          <cell r="C2448">
            <v>7180</v>
          </cell>
          <cell r="E2448">
            <v>473</v>
          </cell>
          <cell r="F2448">
            <v>615</v>
          </cell>
        </row>
        <row r="2449">
          <cell r="A2449">
            <v>184792</v>
          </cell>
          <cell r="B2449" t="str">
            <v>Стол Sheffilton SHT-TU30-2/TT 120/80 SHT-CП07 белый/бетон голубой</v>
          </cell>
          <cell r="C2449">
            <v>5743.33</v>
          </cell>
          <cell r="E2449">
            <v>378</v>
          </cell>
          <cell r="F2449">
            <v>491</v>
          </cell>
        </row>
        <row r="2450">
          <cell r="A2450">
            <v>184804</v>
          </cell>
          <cell r="B2450" t="str">
            <v>Стол Sheffilton SHT-TU30-2/TT 120/80 SHT-СП07 коричневый/бетон крем</v>
          </cell>
          <cell r="C2450">
            <v>6060</v>
          </cell>
          <cell r="E2450">
            <v>399</v>
          </cell>
          <cell r="F2450">
            <v>519</v>
          </cell>
        </row>
        <row r="2451">
          <cell r="A2451">
            <v>185747</v>
          </cell>
          <cell r="B2451" t="str">
            <v>Стол Sheffilton SHT-TU30-2/TT 120/80 SHT-СП07 коричневый/палисандр</v>
          </cell>
          <cell r="C2451">
            <v>5493.33</v>
          </cell>
          <cell r="E2451">
            <v>362</v>
          </cell>
          <cell r="F2451">
            <v>471</v>
          </cell>
        </row>
        <row r="2452">
          <cell r="A2452">
            <v>196220</v>
          </cell>
          <cell r="B2452" t="str">
            <v>Стол Sheffilton SHT-TU30-2/TT21-6 100/75 керамика  черный/коричневая сепия</v>
          </cell>
          <cell r="C2452">
            <v>11546.67</v>
          </cell>
          <cell r="E2452">
            <v>761</v>
          </cell>
          <cell r="F2452">
            <v>989</v>
          </cell>
        </row>
        <row r="2453">
          <cell r="A2453">
            <v>208088</v>
          </cell>
          <cell r="B2453" t="str">
            <v>Стол Sheffilton SHT-TU30-2/TT26 118/77 стекло  бежевый/дымчатый</v>
          </cell>
          <cell r="C2453">
            <v>9786.67</v>
          </cell>
          <cell r="E2453">
            <v>645</v>
          </cell>
          <cell r="F2453">
            <v>839</v>
          </cell>
        </row>
        <row r="2454">
          <cell r="A2454">
            <v>208087</v>
          </cell>
          <cell r="B2454" t="str">
            <v>Стол Sheffilton SHT-TU30-2/TT26 118/77 стекло  коричневый/дымчатый</v>
          </cell>
          <cell r="C2454">
            <v>9786.67</v>
          </cell>
          <cell r="E2454">
            <v>645</v>
          </cell>
          <cell r="F2454">
            <v>839</v>
          </cell>
        </row>
        <row r="2455">
          <cell r="A2455">
            <v>208089</v>
          </cell>
          <cell r="B2455" t="str">
            <v>Стол Sheffilton SHT-TU30-2/TT26 118/77 стекло SHT-Т167 белый/дымчатый</v>
          </cell>
          <cell r="C2455">
            <v>9786.67</v>
          </cell>
          <cell r="E2455">
            <v>645</v>
          </cell>
          <cell r="F2455">
            <v>839</v>
          </cell>
        </row>
        <row r="2456">
          <cell r="A2456">
            <v>208086</v>
          </cell>
          <cell r="B2456" t="str">
            <v>Стол Sheffilton SHT-TU30-2/TT26 118/77 стекло SHT-Т167 черный/дымчатый</v>
          </cell>
          <cell r="C2456">
            <v>9786.67</v>
          </cell>
          <cell r="E2456">
            <v>645</v>
          </cell>
          <cell r="F2456">
            <v>839</v>
          </cell>
        </row>
        <row r="2457">
          <cell r="A2457">
            <v>213964</v>
          </cell>
          <cell r="B2457" t="str">
            <v>Стол Sheffilton SHT-TU30-2/TT26 118/77 СТЕКЛО  серый/дымчатый</v>
          </cell>
          <cell r="C2457">
            <v>9786.67</v>
          </cell>
          <cell r="E2457">
            <v>645</v>
          </cell>
          <cell r="F2457">
            <v>839</v>
          </cell>
        </row>
        <row r="2458">
          <cell r="A2458">
            <v>212655</v>
          </cell>
          <cell r="B2458" t="str">
            <v>Стол Sheffilton SHT-TU30/90 ЛДСП  коричневый/дуб галифакс табак</v>
          </cell>
          <cell r="C2458">
            <v>4966.67</v>
          </cell>
          <cell r="E2458">
            <v>327</v>
          </cell>
          <cell r="F2458">
            <v>425</v>
          </cell>
        </row>
        <row r="2459">
          <cell r="A2459">
            <v>212654</v>
          </cell>
          <cell r="B2459" t="str">
            <v>Стол Sheffilton SHT-TU30/90 ЛДСП SHT-T165 черный/дуб галифакс табак</v>
          </cell>
          <cell r="C2459">
            <v>4966.67</v>
          </cell>
          <cell r="E2459">
            <v>327</v>
          </cell>
          <cell r="F2459">
            <v>425</v>
          </cell>
        </row>
        <row r="2460">
          <cell r="A2460">
            <v>203687</v>
          </cell>
          <cell r="B2460" t="str">
            <v>Стол Sheffilton SHT-TU30/90 МДФ  белый/дуб верона белый</v>
          </cell>
          <cell r="C2460">
            <v>4886.67</v>
          </cell>
          <cell r="E2460">
            <v>322</v>
          </cell>
          <cell r="F2460">
            <v>419</v>
          </cell>
        </row>
        <row r="2461">
          <cell r="A2461">
            <v>208912</v>
          </cell>
          <cell r="B2461" t="str">
            <v>Стол Sheffilton SHT-TU30/90 МДФ SHT-CП16 белый/мрамор премиум светлый</v>
          </cell>
          <cell r="C2461">
            <v>5046.67</v>
          </cell>
          <cell r="E2461">
            <v>332</v>
          </cell>
          <cell r="F2461">
            <v>432</v>
          </cell>
        </row>
        <row r="2462">
          <cell r="A2462">
            <v>203686</v>
          </cell>
          <cell r="B2462" t="str">
            <v>Стол Sheffilton SHT-TU30/90 МДФ SHT-CП16 черный/дуб верона белый</v>
          </cell>
          <cell r="C2462">
            <v>4886.67</v>
          </cell>
          <cell r="E2462">
            <v>322</v>
          </cell>
          <cell r="F2462">
            <v>419</v>
          </cell>
        </row>
        <row r="2463">
          <cell r="A2463">
            <v>200958</v>
          </cell>
          <cell r="B2463" t="str">
            <v>Стол Sheffilton SHT-TU30/90 МДФ SHT-СП16 черный/мрамор премиум</v>
          </cell>
          <cell r="C2463">
            <v>5006.67</v>
          </cell>
          <cell r="E2463">
            <v>330</v>
          </cell>
          <cell r="F2463">
            <v>429</v>
          </cell>
        </row>
        <row r="2464">
          <cell r="A2464">
            <v>196219</v>
          </cell>
          <cell r="B2464" t="str">
            <v>Стол Sheffilton SHT-TU30/TT21-6 100/75 керамика  коричневый/коричневая сепия</v>
          </cell>
          <cell r="C2464">
            <v>11220</v>
          </cell>
          <cell r="E2464">
            <v>739</v>
          </cell>
          <cell r="F2464">
            <v>961</v>
          </cell>
        </row>
        <row r="2465">
          <cell r="A2465">
            <v>196203</v>
          </cell>
          <cell r="B2465" t="str">
            <v>Стол Sheffilton SHT-TU30/TT21-6 100/75 керамика  черный/гранитно-серый</v>
          </cell>
          <cell r="C2465">
            <v>12213.33</v>
          </cell>
          <cell r="E2465">
            <v>805</v>
          </cell>
          <cell r="F2465">
            <v>1047</v>
          </cell>
        </row>
        <row r="2466">
          <cell r="A2466">
            <v>212915</v>
          </cell>
          <cell r="B2466" t="str">
            <v>Стол Sheffilton SHT-TU30/TT26 90 СТЕКЛО  бежевый/дымчатый</v>
          </cell>
          <cell r="C2466">
            <v>11113.33</v>
          </cell>
          <cell r="E2466">
            <v>732</v>
          </cell>
          <cell r="F2466">
            <v>952</v>
          </cell>
        </row>
        <row r="2467">
          <cell r="A2467">
            <v>212916</v>
          </cell>
          <cell r="B2467" t="str">
            <v>Стол Sheffilton SHT-TU30/TT26 90 СТЕКЛО  белый/дымчатый</v>
          </cell>
          <cell r="C2467">
            <v>11113.33</v>
          </cell>
          <cell r="E2467">
            <v>732</v>
          </cell>
          <cell r="F2467">
            <v>952</v>
          </cell>
        </row>
        <row r="2468">
          <cell r="A2468">
            <v>212914</v>
          </cell>
          <cell r="B2468" t="str">
            <v>Стол Sheffilton SHT-TU30/TT26 90 СТЕКЛО  коричневый/дымчатый</v>
          </cell>
          <cell r="C2468">
            <v>11113.33</v>
          </cell>
          <cell r="E2468">
            <v>732</v>
          </cell>
          <cell r="F2468">
            <v>952</v>
          </cell>
        </row>
        <row r="2469">
          <cell r="A2469">
            <v>213963</v>
          </cell>
          <cell r="B2469" t="str">
            <v>Стол Sheffilton SHT-TU30/TT26 90 СТЕКЛО  серый/дымчатый</v>
          </cell>
          <cell r="C2469">
            <v>11113.33</v>
          </cell>
          <cell r="E2469">
            <v>732</v>
          </cell>
          <cell r="F2469">
            <v>952</v>
          </cell>
        </row>
        <row r="2470">
          <cell r="A2470">
            <v>212913</v>
          </cell>
          <cell r="B2470" t="str">
            <v>Стол Sheffilton SHT-TU30/TT26 90 СТЕКЛО  черный/дымчатый</v>
          </cell>
          <cell r="C2470">
            <v>11113.33</v>
          </cell>
          <cell r="E2470">
            <v>732</v>
          </cell>
          <cell r="F2470">
            <v>952</v>
          </cell>
        </row>
        <row r="2471">
          <cell r="A2471">
            <v>213962</v>
          </cell>
          <cell r="B2471" t="str">
            <v>Стол Sheffilton SHT-TU30/TT30 83/83  серый/серый</v>
          </cell>
          <cell r="C2471">
            <v>4446.67</v>
          </cell>
          <cell r="E2471">
            <v>293</v>
          </cell>
          <cell r="F2471">
            <v>381</v>
          </cell>
        </row>
        <row r="2472">
          <cell r="A2472">
            <v>183583</v>
          </cell>
          <cell r="B2472" t="str">
            <v>Стол Sheffilton SHT-TU30/TT30 83/83 SHT-СП01 бежевый/бежевый</v>
          </cell>
          <cell r="C2472">
            <v>4446.67</v>
          </cell>
          <cell r="E2472">
            <v>293</v>
          </cell>
          <cell r="F2472">
            <v>381</v>
          </cell>
        </row>
        <row r="2473">
          <cell r="A2473">
            <v>183585</v>
          </cell>
          <cell r="B2473" t="str">
            <v>Стол Sheffilton SHT-TU30/TT30 83/83 SHT-СП01 бежевый/коричневый</v>
          </cell>
          <cell r="C2473">
            <v>4446.67</v>
          </cell>
          <cell r="E2473">
            <v>293</v>
          </cell>
          <cell r="F2473">
            <v>381</v>
          </cell>
        </row>
        <row r="2474">
          <cell r="A2474">
            <v>183581</v>
          </cell>
          <cell r="B2474" t="str">
            <v>Стол Sheffilton SHT-TU30/TT30 83/83 SHT-СП01 белый/белый</v>
          </cell>
          <cell r="C2474">
            <v>4446.67</v>
          </cell>
          <cell r="E2474">
            <v>293</v>
          </cell>
          <cell r="F2474">
            <v>381</v>
          </cell>
        </row>
        <row r="2475">
          <cell r="A2475">
            <v>183584</v>
          </cell>
          <cell r="B2475" t="str">
            <v>Стол Sheffilton SHT-TU30/TT30 83/83 SHT-СП01 белый/черный</v>
          </cell>
          <cell r="C2475">
            <v>4446.67</v>
          </cell>
          <cell r="E2475">
            <v>293</v>
          </cell>
          <cell r="F2475">
            <v>381</v>
          </cell>
        </row>
        <row r="2476">
          <cell r="A2476">
            <v>183582</v>
          </cell>
          <cell r="B2476" t="str">
            <v>Стол Sheffilton SHT-TU30/TT30 83/83 SHT-СП01 коричневый/коричневый</v>
          </cell>
          <cell r="C2476">
            <v>4446.67</v>
          </cell>
          <cell r="E2476">
            <v>293</v>
          </cell>
          <cell r="F2476">
            <v>381</v>
          </cell>
        </row>
        <row r="2477">
          <cell r="A2477">
            <v>179897</v>
          </cell>
          <cell r="B2477" t="str">
            <v>Стол Sheffilton SHT-TU30/TT30 83/83 SHT-СП01 черный/черный</v>
          </cell>
          <cell r="C2477">
            <v>4446.67</v>
          </cell>
          <cell r="E2477">
            <v>293</v>
          </cell>
          <cell r="F2477">
            <v>381</v>
          </cell>
        </row>
        <row r="2478">
          <cell r="A2478">
            <v>184505</v>
          </cell>
          <cell r="B2478" t="str">
            <v>Стол Sheffilton SHT-TU30/TT76 SHT-СП09 белый/белый</v>
          </cell>
          <cell r="C2478">
            <v>3106.67</v>
          </cell>
          <cell r="E2478">
            <v>205</v>
          </cell>
          <cell r="F2478">
            <v>267</v>
          </cell>
        </row>
        <row r="2479">
          <cell r="A2479">
            <v>184541</v>
          </cell>
          <cell r="B2479" t="str">
            <v>Стол Sheffilton SHT-TU30/TT80 SHT-СП10 ваниль/дуб беленый</v>
          </cell>
          <cell r="C2479">
            <v>4093.33</v>
          </cell>
          <cell r="E2479">
            <v>270</v>
          </cell>
          <cell r="F2479">
            <v>351</v>
          </cell>
        </row>
        <row r="2480">
          <cell r="A2480">
            <v>184540</v>
          </cell>
          <cell r="B2480" t="str">
            <v>Стол Sheffilton SHT-TU30/TT80/80 SHT-СП08 ваниль/белый</v>
          </cell>
          <cell r="C2480">
            <v>3473.33</v>
          </cell>
          <cell r="E2480">
            <v>229</v>
          </cell>
          <cell r="F2480">
            <v>298</v>
          </cell>
        </row>
        <row r="2481">
          <cell r="A2481">
            <v>195358</v>
          </cell>
          <cell r="B2481" t="str">
            <v>Стол Sheffilton SHT-TU30/TU21-6 90 керамика  белый/песчаное облако</v>
          </cell>
          <cell r="C2481">
            <v>15833.33</v>
          </cell>
          <cell r="E2481">
            <v>1043</v>
          </cell>
          <cell r="F2481">
            <v>1356</v>
          </cell>
        </row>
        <row r="2482">
          <cell r="A2482">
            <v>985078</v>
          </cell>
          <cell r="B2482" t="str">
            <v>Стол Sheffilton SHT-TU3-1/80/80 ЛДСП SHT-T58 медный металлик/венге</v>
          </cell>
          <cell r="C2482">
            <v>6100</v>
          </cell>
          <cell r="E2482">
            <v>402</v>
          </cell>
          <cell r="F2482">
            <v>523</v>
          </cell>
        </row>
        <row r="2483">
          <cell r="A2483">
            <v>986900</v>
          </cell>
          <cell r="B2483" t="str">
            <v>Стол Sheffilton SHT-TU3-1/80/80 ЛДСП SHT-T58 черный/белый</v>
          </cell>
          <cell r="C2483">
            <v>6100</v>
          </cell>
          <cell r="E2483">
            <v>402</v>
          </cell>
          <cell r="F2483">
            <v>523</v>
          </cell>
        </row>
        <row r="2484">
          <cell r="A2484">
            <v>982919</v>
          </cell>
          <cell r="B2484" t="str">
            <v>Стол Sheffilton SHT-TU3-1/80 МДФ SHT-T50 черный муар/белый</v>
          </cell>
          <cell r="C2484">
            <v>7300</v>
          </cell>
          <cell r="E2484">
            <v>481</v>
          </cell>
          <cell r="F2484">
            <v>625</v>
          </cell>
        </row>
        <row r="2485">
          <cell r="A2485">
            <v>212656</v>
          </cell>
          <cell r="B2485" t="str">
            <v>Стол Sheffilton SHT-TU3-1/90 ЛДСП  черный муар/дуб галифакс табак</v>
          </cell>
          <cell r="C2485">
            <v>7593.33</v>
          </cell>
          <cell r="E2485">
            <v>500</v>
          </cell>
          <cell r="F2485">
            <v>650</v>
          </cell>
        </row>
        <row r="2486">
          <cell r="A2486">
            <v>203682</v>
          </cell>
          <cell r="B2486" t="str">
            <v>Стол Sheffilton SHT-TU3-1/90 МДФ  черный муар/дуб верона белый</v>
          </cell>
          <cell r="C2486">
            <v>7513.33</v>
          </cell>
          <cell r="E2486">
            <v>495</v>
          </cell>
          <cell r="F2486">
            <v>644</v>
          </cell>
        </row>
        <row r="2487">
          <cell r="A2487">
            <v>208911</v>
          </cell>
          <cell r="B2487" t="str">
            <v>Стол Sheffilton SHT-TU3-1/90 МДФ  черный муар/мрамор премиум светлый</v>
          </cell>
          <cell r="C2487">
            <v>7673.33</v>
          </cell>
          <cell r="E2487">
            <v>506</v>
          </cell>
          <cell r="F2487">
            <v>658</v>
          </cell>
        </row>
        <row r="2488">
          <cell r="A2488">
            <v>200612</v>
          </cell>
          <cell r="B2488" t="str">
            <v>Стол Sheffilton SHT-TU3-1/90 МДФ SHT-T139 черный муар/мрамор премиум</v>
          </cell>
          <cell r="C2488">
            <v>7633.33</v>
          </cell>
          <cell r="E2488">
            <v>503</v>
          </cell>
          <cell r="F2488">
            <v>654</v>
          </cell>
        </row>
        <row r="2489">
          <cell r="A2489">
            <v>196199</v>
          </cell>
          <cell r="B2489" t="str">
            <v>Стол Sheffilton SHT-TU3-1/TT21-6 100/75 керамика  черный муар/гранитно-серый</v>
          </cell>
          <cell r="C2489">
            <v>14840</v>
          </cell>
          <cell r="E2489">
            <v>978</v>
          </cell>
          <cell r="F2489">
            <v>1271</v>
          </cell>
        </row>
        <row r="2490">
          <cell r="A2490">
            <v>196209</v>
          </cell>
          <cell r="B2490" t="str">
            <v>Стол Sheffilton SHT-TU3-1/TT21-6 90 керамика  черный муар/песчаное облако</v>
          </cell>
          <cell r="C2490">
            <v>18460</v>
          </cell>
          <cell r="E2490">
            <v>1216</v>
          </cell>
          <cell r="F2490">
            <v>1581</v>
          </cell>
        </row>
        <row r="2491">
          <cell r="A2491">
            <v>193842</v>
          </cell>
          <cell r="B2491" t="str">
            <v>Стол Sheffilton SHT-TU34-P/70/70 МДФ  черный муар/акация светлая поперечная</v>
          </cell>
          <cell r="C2491">
            <v>3480</v>
          </cell>
          <cell r="E2491">
            <v>229</v>
          </cell>
          <cell r="F2491">
            <v>298</v>
          </cell>
        </row>
        <row r="2492">
          <cell r="A2492">
            <v>193843</v>
          </cell>
          <cell r="B2492" t="str">
            <v>Стол Sheffilton SHT-TU34-P/70 БУК  черный муар/прозрачный лак</v>
          </cell>
          <cell r="C2492">
            <v>6980</v>
          </cell>
          <cell r="E2492">
            <v>460</v>
          </cell>
          <cell r="F2492">
            <v>598</v>
          </cell>
        </row>
        <row r="2493">
          <cell r="A2493">
            <v>193834</v>
          </cell>
          <cell r="B2493" t="str">
            <v>Стол Sheffilton SHT-TU34-P/80/80 ДУБ SHT-T174 черный муар/дуб браш.коричневый</v>
          </cell>
          <cell r="C2493">
            <v>9146.67</v>
          </cell>
          <cell r="E2493">
            <v>603</v>
          </cell>
          <cell r="F2493">
            <v>784</v>
          </cell>
        </row>
        <row r="2494">
          <cell r="A2494">
            <v>193833</v>
          </cell>
          <cell r="B2494" t="str">
            <v>Стол Sheffilton SHT-TU34-P/80/80 ЛДСП SHT-T146 черный муар/дуб беленый</v>
          </cell>
          <cell r="C2494">
            <v>3633.33</v>
          </cell>
          <cell r="E2494">
            <v>239</v>
          </cell>
          <cell r="F2494">
            <v>311</v>
          </cell>
        </row>
        <row r="2495">
          <cell r="A2495">
            <v>193835</v>
          </cell>
          <cell r="B2495" t="str">
            <v>Стол Sheffilton SHT-TU34-P/80/80 МДФ  черный муар/дуб сонома светлый</v>
          </cell>
          <cell r="C2495">
            <v>4700</v>
          </cell>
          <cell r="E2495">
            <v>310</v>
          </cell>
          <cell r="F2495">
            <v>403</v>
          </cell>
        </row>
        <row r="2496">
          <cell r="A2496">
            <v>193830</v>
          </cell>
          <cell r="B2496" t="str">
            <v>Стол Sheffilton SHT-TU34-P/80 ЛДСП  черный муар/венге</v>
          </cell>
          <cell r="C2496">
            <v>3693.33</v>
          </cell>
          <cell r="E2496">
            <v>243</v>
          </cell>
          <cell r="F2496">
            <v>316</v>
          </cell>
        </row>
        <row r="2497">
          <cell r="A2497">
            <v>193832</v>
          </cell>
          <cell r="B2497" t="str">
            <v>Стол Sheffilton SHT-TU34-P/80 ЛДСП  черный муар/дуб беленый</v>
          </cell>
          <cell r="C2497">
            <v>3986.67</v>
          </cell>
          <cell r="E2497">
            <v>263</v>
          </cell>
          <cell r="F2497">
            <v>342</v>
          </cell>
        </row>
        <row r="2498">
          <cell r="A2498">
            <v>193841</v>
          </cell>
          <cell r="B2498" t="str">
            <v>Стол Sheffilton SHT-TU34-P/80 МДФ  черный муар/дуб сонома светлый</v>
          </cell>
          <cell r="C2498">
            <v>4686.67</v>
          </cell>
          <cell r="E2498">
            <v>309</v>
          </cell>
          <cell r="F2498">
            <v>402</v>
          </cell>
        </row>
        <row r="2499">
          <cell r="A2499">
            <v>193838</v>
          </cell>
          <cell r="B2499" t="str">
            <v>Стол Sheffilton SHT-TU34-P/80 МДФ SHT-T143 черный муар/белоснежная шагрень</v>
          </cell>
          <cell r="C2499">
            <v>4566.67</v>
          </cell>
          <cell r="E2499">
            <v>301</v>
          </cell>
          <cell r="F2499">
            <v>391</v>
          </cell>
        </row>
        <row r="2500">
          <cell r="A2500">
            <v>193839</v>
          </cell>
          <cell r="B2500" t="str">
            <v>Стол Sheffilton SHT-TU34-P/80 МДФ SHT-T143 черный муар/бетон светлый</v>
          </cell>
          <cell r="C2500">
            <v>4786.67</v>
          </cell>
          <cell r="E2500">
            <v>315</v>
          </cell>
          <cell r="F2500">
            <v>410</v>
          </cell>
        </row>
        <row r="2501">
          <cell r="A2501">
            <v>193840</v>
          </cell>
          <cell r="B2501" t="str">
            <v>Стол Sheffilton SHT-TU34-P/80 МДФ SHT-T143 черный муар/палисандр</v>
          </cell>
          <cell r="C2501">
            <v>4560</v>
          </cell>
          <cell r="E2501">
            <v>300</v>
          </cell>
          <cell r="F2501">
            <v>390</v>
          </cell>
        </row>
        <row r="2502">
          <cell r="A2502">
            <v>196221</v>
          </cell>
          <cell r="B2502" t="str">
            <v>Стол Sheffilton SHT-TU34-P/TT21-6 100/75 керамика  черный муар/коричневая сепия</v>
          </cell>
          <cell r="C2502">
            <v>11113.33</v>
          </cell>
          <cell r="E2502">
            <v>732</v>
          </cell>
          <cell r="F2502">
            <v>952</v>
          </cell>
        </row>
        <row r="2503">
          <cell r="A2503">
            <v>193829</v>
          </cell>
          <cell r="B2503" t="str">
            <v>Стол Sheffilton SHT-TU34-P/TT30 83/83  черный муар/коричневый</v>
          </cell>
          <cell r="C2503">
            <v>4340</v>
          </cell>
          <cell r="E2503">
            <v>286</v>
          </cell>
          <cell r="F2503">
            <v>372</v>
          </cell>
        </row>
        <row r="2504">
          <cell r="A2504">
            <v>986902</v>
          </cell>
          <cell r="B2504" t="str">
            <v>Стол Sheffilton SHT-TU4-1/80/80 ЛДСП SHT-T79 черный/белый</v>
          </cell>
          <cell r="C2504">
            <v>4080</v>
          </cell>
          <cell r="E2504">
            <v>269</v>
          </cell>
          <cell r="F2504">
            <v>350</v>
          </cell>
        </row>
        <row r="2505">
          <cell r="A2505">
            <v>145497</v>
          </cell>
          <cell r="B2505" t="str">
            <v>Стол Sheffilton SHT-TU4-1/80 МДФ SHT-T86 медный/дуб тортуга</v>
          </cell>
          <cell r="C2505">
            <v>5693.33</v>
          </cell>
          <cell r="E2505">
            <v>375</v>
          </cell>
          <cell r="F2505">
            <v>488</v>
          </cell>
        </row>
        <row r="2506">
          <cell r="A2506">
            <v>200968</v>
          </cell>
          <cell r="B2506" t="str">
            <v>Стол Sheffilton SHT-TU4-1/90 МДФ  черный муар/мрамор премиум</v>
          </cell>
          <cell r="C2506">
            <v>5613.33</v>
          </cell>
          <cell r="E2506">
            <v>370</v>
          </cell>
          <cell r="F2506">
            <v>481</v>
          </cell>
        </row>
        <row r="2507">
          <cell r="A2507">
            <v>203683</v>
          </cell>
          <cell r="B2507" t="str">
            <v>Стол Sheffilton SHT-TU4-1/90 МДФ SHT-T153 черный муар/дуб верона белый</v>
          </cell>
          <cell r="C2507">
            <v>5493.33</v>
          </cell>
          <cell r="E2507">
            <v>362</v>
          </cell>
          <cell r="F2507">
            <v>471</v>
          </cell>
        </row>
        <row r="2508">
          <cell r="A2508">
            <v>208910</v>
          </cell>
          <cell r="B2508" t="str">
            <v>Стол Sheffilton SHT-TU4-1/90 МДФ SHT-T157 черный муар/мрамор премиум светлый</v>
          </cell>
          <cell r="C2508">
            <v>5653.33</v>
          </cell>
          <cell r="E2508">
            <v>372</v>
          </cell>
          <cell r="F2508">
            <v>484</v>
          </cell>
        </row>
        <row r="2509">
          <cell r="A2509">
            <v>196198</v>
          </cell>
          <cell r="B2509" t="str">
            <v>Стол Sheffilton SHT-TU4-1/TT21-6 100/75 керамика  черный муар/гранитно-серый</v>
          </cell>
          <cell r="C2509">
            <v>12820</v>
          </cell>
          <cell r="E2509">
            <v>845</v>
          </cell>
          <cell r="F2509">
            <v>1099</v>
          </cell>
        </row>
        <row r="2510">
          <cell r="A2510">
            <v>196208</v>
          </cell>
          <cell r="B2510" t="str">
            <v>Стол Sheffilton SHT-TU4-1/TT21-6 90 керамика SHT-Т169 черный муар/песчаное облако</v>
          </cell>
          <cell r="C2510">
            <v>16440</v>
          </cell>
          <cell r="E2510">
            <v>1083</v>
          </cell>
          <cell r="F2510">
            <v>1408</v>
          </cell>
        </row>
        <row r="2511">
          <cell r="A2511">
            <v>148570</v>
          </cell>
          <cell r="B2511" t="str">
            <v>Стол Sheffilton SHT-TU4-1/ТT7 60/60 ДУБ/керамика  медный/браш.коричневый/песочный</v>
          </cell>
          <cell r="C2511">
            <v>9233.33</v>
          </cell>
          <cell r="E2511">
            <v>608</v>
          </cell>
          <cell r="F2511">
            <v>790</v>
          </cell>
        </row>
        <row r="2512">
          <cell r="A2512">
            <v>986546</v>
          </cell>
          <cell r="B2512" t="str">
            <v>Стол Sheffilton SHT-TU5-BS1/120/80 ЛДСП SHT-T60 черный/дуб беленый</v>
          </cell>
          <cell r="C2512">
            <v>13240</v>
          </cell>
          <cell r="E2512">
            <v>872</v>
          </cell>
          <cell r="F2512">
            <v>1134</v>
          </cell>
        </row>
        <row r="2513">
          <cell r="A2513">
            <v>203684</v>
          </cell>
          <cell r="B2513" t="str">
            <v>Стол Sheffilton SHT-TU5-BS1/90 МДФ SHT-T155 черный муар/дуб верона белый</v>
          </cell>
          <cell r="C2513">
            <v>8260</v>
          </cell>
          <cell r="E2513">
            <v>544</v>
          </cell>
          <cell r="F2513">
            <v>707</v>
          </cell>
        </row>
        <row r="2514">
          <cell r="A2514">
            <v>172590</v>
          </cell>
          <cell r="B2514" t="str">
            <v>Стол Sheffilton SHT-TU5-BS2/70/70 МДФ  черный/акация светлая поперечная</v>
          </cell>
          <cell r="C2514">
            <v>6233.33</v>
          </cell>
          <cell r="E2514">
            <v>411</v>
          </cell>
          <cell r="F2514">
            <v>534</v>
          </cell>
        </row>
        <row r="2515">
          <cell r="A2515">
            <v>196216</v>
          </cell>
          <cell r="B2515" t="str">
            <v>Стол Sheffilton SHT-TU5-BS2/TT21-6 100/75 керамика  черный/коричневая сепия</v>
          </cell>
          <cell r="C2515">
            <v>13866.67</v>
          </cell>
          <cell r="E2515">
            <v>914</v>
          </cell>
          <cell r="F2515">
            <v>1188</v>
          </cell>
        </row>
        <row r="2516">
          <cell r="A2516">
            <v>986545</v>
          </cell>
          <cell r="B2516" t="str">
            <v>Стол Sheffilton SHT-TU6-BS1/120/80 МДФ SHT-T24 черный муар/палисандр</v>
          </cell>
          <cell r="C2516">
            <v>15393.33</v>
          </cell>
          <cell r="E2516">
            <v>1014</v>
          </cell>
          <cell r="F2516">
            <v>1318</v>
          </cell>
        </row>
        <row r="2517">
          <cell r="A2517">
            <v>981315</v>
          </cell>
          <cell r="B2517" t="str">
            <v>Стол Sheffilton SHT-TU6-BS1/80/80 ЛДСП  черный/дуб беленый</v>
          </cell>
          <cell r="C2517">
            <v>7933.33</v>
          </cell>
          <cell r="E2517">
            <v>523</v>
          </cell>
          <cell r="F2517">
            <v>680</v>
          </cell>
        </row>
        <row r="2518">
          <cell r="A2518">
            <v>981224</v>
          </cell>
          <cell r="B2518" t="str">
            <v>Стол Sheffilton SHT-TU6-BS1/80 МДФ SHT-T149 черный муар/палисандр</v>
          </cell>
          <cell r="C2518">
            <v>8860</v>
          </cell>
          <cell r="E2518">
            <v>584</v>
          </cell>
          <cell r="F2518">
            <v>759</v>
          </cell>
        </row>
        <row r="2519">
          <cell r="A2519">
            <v>203685</v>
          </cell>
          <cell r="B2519" t="str">
            <v>Стол Sheffilton SHT-TU6-BS1/90 МДФ  черный муар/дуб верона белый</v>
          </cell>
          <cell r="C2519">
            <v>9080</v>
          </cell>
          <cell r="E2519">
            <v>598</v>
          </cell>
          <cell r="F2519">
            <v>777</v>
          </cell>
        </row>
        <row r="2520">
          <cell r="A2520">
            <v>987335</v>
          </cell>
          <cell r="B2520" t="str">
            <v>Стол Sheffilton SHT-TU6-BS2/80/80 ЛДСП SHT-T61 черный/венге</v>
          </cell>
          <cell r="C2520">
            <v>6940</v>
          </cell>
          <cell r="E2520">
            <v>457</v>
          </cell>
          <cell r="F2520">
            <v>594</v>
          </cell>
        </row>
        <row r="2521">
          <cell r="A2521">
            <v>161696</v>
          </cell>
          <cell r="B2521" t="str">
            <v>Стол Sheffilton SHT-TU6-BS2/80 МДФ  черный муар/белый шагрень</v>
          </cell>
          <cell r="C2521">
            <v>8140</v>
          </cell>
          <cell r="E2521">
            <v>536</v>
          </cell>
          <cell r="F2521">
            <v>697</v>
          </cell>
        </row>
        <row r="2522">
          <cell r="A2522">
            <v>196217</v>
          </cell>
          <cell r="B2522" t="str">
            <v>Стол Sheffilton SHT-TU6-BS2/TT21-6 100/75 керамика  черный/коричневая сепия</v>
          </cell>
          <cell r="C2522">
            <v>15413.33</v>
          </cell>
          <cell r="E2522">
            <v>1015</v>
          </cell>
          <cell r="F2522">
            <v>1320</v>
          </cell>
        </row>
        <row r="2523">
          <cell r="A2523">
            <v>196197</v>
          </cell>
          <cell r="B2523" t="str">
            <v>Стол Sheffilton SHT-TU6-BS2/TT21-6 100/75 керамика SHT-T172 черный/гранитно-серый</v>
          </cell>
          <cell r="C2523">
            <v>15680</v>
          </cell>
          <cell r="E2523">
            <v>1033</v>
          </cell>
          <cell r="F2523">
            <v>1343</v>
          </cell>
        </row>
        <row r="2524">
          <cell r="A2524">
            <v>200974</v>
          </cell>
          <cell r="B2524" t="str">
            <v>Стол Sheffilton SHT-TU6-ВS1/90 МДФ  черный/мрамор премиум</v>
          </cell>
          <cell r="C2524">
            <v>9200</v>
          </cell>
          <cell r="E2524">
            <v>606</v>
          </cell>
          <cell r="F2524">
            <v>788</v>
          </cell>
        </row>
        <row r="2525">
          <cell r="A2525">
            <v>988817</v>
          </cell>
          <cell r="B2525" t="str">
            <v>Стол Sheffilton SHT-TU7/76 Металл SHT-T25 коричневый (цинк) / коричневый (цинк)</v>
          </cell>
          <cell r="C2525">
            <v>5853.33</v>
          </cell>
          <cell r="E2525">
            <v>386</v>
          </cell>
          <cell r="F2525">
            <v>502</v>
          </cell>
        </row>
        <row r="2526">
          <cell r="A2526">
            <v>982925</v>
          </cell>
          <cell r="B2526" t="str">
            <v>Стол Sheffilton SHT-TU7/80 ЛДСП SHT-Т26 хром лак/дуб беленый</v>
          </cell>
          <cell r="C2526">
            <v>3773.33</v>
          </cell>
          <cell r="E2526">
            <v>249</v>
          </cell>
          <cell r="F2526">
            <v>324</v>
          </cell>
        </row>
        <row r="2527">
          <cell r="A2527">
            <v>167529</v>
          </cell>
          <cell r="B2527" t="str">
            <v>Стол Sheffilton SHT-TU9-2/120/80  прозрачный лак</v>
          </cell>
          <cell r="C2527">
            <v>14753.33</v>
          </cell>
          <cell r="E2527">
            <v>972</v>
          </cell>
          <cell r="F2527">
            <v>1264</v>
          </cell>
        </row>
        <row r="2528">
          <cell r="A2528">
            <v>961896</v>
          </cell>
          <cell r="B2528" t="str">
            <v>Стол Sheffilton SHT-TU9-2/120/80 ЛДСП  венге/венге</v>
          </cell>
          <cell r="C2528">
            <v>6633.33</v>
          </cell>
          <cell r="E2528">
            <v>437</v>
          </cell>
          <cell r="F2528">
            <v>568</v>
          </cell>
        </row>
        <row r="2529">
          <cell r="A2529">
            <v>164142</v>
          </cell>
          <cell r="B2529" t="str">
            <v>Стол Sheffilton SHT-TU9-2/120/80 МДФ  светлый орех/дуб сонома светлый</v>
          </cell>
          <cell r="C2529">
            <v>7533.33</v>
          </cell>
          <cell r="E2529">
            <v>496</v>
          </cell>
          <cell r="F2529">
            <v>645</v>
          </cell>
        </row>
        <row r="2530">
          <cell r="A2530">
            <v>183451</v>
          </cell>
          <cell r="B2530" t="str">
            <v>Стол Sheffilton SHT-TU9-2/120/80 МДФ  темный орех/бетон голубой</v>
          </cell>
          <cell r="C2530">
            <v>7696.67</v>
          </cell>
          <cell r="E2530">
            <v>507</v>
          </cell>
          <cell r="F2530">
            <v>659</v>
          </cell>
        </row>
        <row r="2531">
          <cell r="A2531">
            <v>167528</v>
          </cell>
          <cell r="B2531" t="str">
            <v>Стол Sheffilton SHT-TU9-2/120/80 МДФ SHT-T125 прозрачный лак/дуб сонома светлый</v>
          </cell>
          <cell r="C2531">
            <v>7453.33</v>
          </cell>
          <cell r="E2531">
            <v>491</v>
          </cell>
          <cell r="F2531">
            <v>638</v>
          </cell>
        </row>
        <row r="2532">
          <cell r="A2532">
            <v>167530</v>
          </cell>
          <cell r="B2532" t="str">
            <v>Стол Sheffilton SHT-TU9-2/120-80 МДФ овальный  прозрачный лак/белый шагрень</v>
          </cell>
          <cell r="C2532">
            <v>7900</v>
          </cell>
          <cell r="E2532">
            <v>520</v>
          </cell>
          <cell r="F2532">
            <v>676</v>
          </cell>
        </row>
        <row r="2533">
          <cell r="A2533">
            <v>214602</v>
          </cell>
          <cell r="B2533" t="str">
            <v>Стол Sheffilton SHT-TU9-2/140/80 ЛДСП  темный орех/хромикс белый</v>
          </cell>
          <cell r="C2533">
            <v>7366.67</v>
          </cell>
          <cell r="E2533">
            <v>485</v>
          </cell>
          <cell r="F2533">
            <v>631</v>
          </cell>
        </row>
        <row r="2534">
          <cell r="A2534">
            <v>211168</v>
          </cell>
          <cell r="B2534" t="str">
            <v>Стол Sheffilton SHT-TU9-2/140/80 МДФ овальная  венги/мрамор премиум светлый</v>
          </cell>
          <cell r="C2534">
            <v>9193.33</v>
          </cell>
          <cell r="E2534">
            <v>606</v>
          </cell>
          <cell r="F2534">
            <v>788</v>
          </cell>
        </row>
        <row r="2535">
          <cell r="A2535">
            <v>211167</v>
          </cell>
          <cell r="B2535" t="str">
            <v>Стол Sheffilton SHT-TU9-2/140/80 МДФ овальная  темный орех/мрамор премиум светлый</v>
          </cell>
          <cell r="C2535">
            <v>9133.33</v>
          </cell>
          <cell r="E2535">
            <v>602</v>
          </cell>
          <cell r="F2535">
            <v>783</v>
          </cell>
        </row>
        <row r="2536">
          <cell r="A2536">
            <v>196213</v>
          </cell>
          <cell r="B2536" t="str">
            <v>Стол Sheffilton SHT-TU9-2/TT21-6 100/75 керамика  венге/коричневая сепия</v>
          </cell>
          <cell r="C2536">
            <v>13560</v>
          </cell>
          <cell r="E2536">
            <v>893</v>
          </cell>
          <cell r="F2536">
            <v>1161</v>
          </cell>
        </row>
        <row r="2537">
          <cell r="A2537">
            <v>145513</v>
          </cell>
          <cell r="B2537" t="str">
            <v>Стол Sheffilton SHT-TU9/70 МДФ SHT-T127 темный орех/орех светлый</v>
          </cell>
          <cell r="C2537">
            <v>6406.67</v>
          </cell>
          <cell r="E2537">
            <v>422</v>
          </cell>
          <cell r="F2537">
            <v>549</v>
          </cell>
        </row>
        <row r="2538">
          <cell r="A2538">
            <v>970149</v>
          </cell>
          <cell r="B2538" t="str">
            <v>Стол Sheffilton SHT-TU9/76 Металл SHT-T62 прозрачный лак/белый</v>
          </cell>
          <cell r="C2538">
            <v>4866.67</v>
          </cell>
          <cell r="E2538">
            <v>321</v>
          </cell>
          <cell r="F2538">
            <v>417</v>
          </cell>
        </row>
        <row r="2539">
          <cell r="A2539">
            <v>189698</v>
          </cell>
          <cell r="B2539" t="str">
            <v>Стол Sheffilton SHT-TU9/80/80 МДФ SHT-T141 венге/палисандр</v>
          </cell>
          <cell r="C2539">
            <v>6653.33</v>
          </cell>
          <cell r="E2539">
            <v>438</v>
          </cell>
          <cell r="F2539">
            <v>569</v>
          </cell>
        </row>
        <row r="2540">
          <cell r="A2540">
            <v>981137</v>
          </cell>
          <cell r="B2540" t="str">
            <v>Стол Sheffilton SHT-TU9/80 ЛДСП SHT-T140 темный орех/орех</v>
          </cell>
          <cell r="C2540">
            <v>5666.67</v>
          </cell>
          <cell r="E2540">
            <v>373</v>
          </cell>
          <cell r="F2540">
            <v>485</v>
          </cell>
        </row>
        <row r="2541">
          <cell r="A2541">
            <v>177418</v>
          </cell>
          <cell r="B2541" t="str">
            <v>Стол Sheffilton SHT-TU9/80 МДФ  выбеленный/бетон светлый</v>
          </cell>
          <cell r="C2541">
            <v>6846.67</v>
          </cell>
          <cell r="E2541">
            <v>451</v>
          </cell>
          <cell r="F2541">
            <v>586</v>
          </cell>
        </row>
        <row r="2542">
          <cell r="A2542">
            <v>982930</v>
          </cell>
          <cell r="B2542" t="str">
            <v>Стол Sheffilton SHT-TU9/80 МДФ SHT-T71 венге/палисандр</v>
          </cell>
          <cell r="C2542">
            <v>6526.67</v>
          </cell>
          <cell r="E2542">
            <v>430</v>
          </cell>
          <cell r="F2542">
            <v>559</v>
          </cell>
        </row>
        <row r="2543">
          <cell r="A2543">
            <v>172058</v>
          </cell>
          <cell r="B2543" t="str">
            <v>Стол Sheffilton SHT-TU9/80 МДФ SHT-T71 прозрачный лак/белый шагрень</v>
          </cell>
          <cell r="C2543">
            <v>6433.33</v>
          </cell>
          <cell r="E2543">
            <v>424</v>
          </cell>
          <cell r="F2543">
            <v>551</v>
          </cell>
        </row>
        <row r="2544">
          <cell r="A2544">
            <v>145506</v>
          </cell>
          <cell r="B2544" t="str">
            <v>Стол Sheffilton SHT-TU9/80 МДФ SHT-T71 прозрачный лак/дуб сонома светлый</v>
          </cell>
          <cell r="C2544">
            <v>6553.33</v>
          </cell>
          <cell r="E2544">
            <v>432</v>
          </cell>
          <cell r="F2544">
            <v>562</v>
          </cell>
        </row>
        <row r="2545">
          <cell r="A2545">
            <v>961891</v>
          </cell>
          <cell r="B2545" t="str">
            <v>Стол Sheffilton SHT-TU9/80 МДФ SHT-T71 светлый орех/белый</v>
          </cell>
          <cell r="C2545">
            <v>7566.67</v>
          </cell>
          <cell r="E2545">
            <v>498</v>
          </cell>
          <cell r="F2545">
            <v>647</v>
          </cell>
        </row>
        <row r="2546">
          <cell r="A2546">
            <v>212659</v>
          </cell>
          <cell r="B2546" t="str">
            <v>Стол Sheffilton SHT-TU9/90 ЛДСП  венге/дуб галифакс табак</v>
          </cell>
          <cell r="C2546">
            <v>6826.67</v>
          </cell>
          <cell r="E2546">
            <v>450</v>
          </cell>
          <cell r="F2546">
            <v>585</v>
          </cell>
        </row>
        <row r="2547">
          <cell r="A2547">
            <v>212660</v>
          </cell>
          <cell r="B2547" t="str">
            <v>Стол Sheffilton SHT-TU9/90 ЛДСП  темный орех/дуб галифакс табак</v>
          </cell>
          <cell r="C2547">
            <v>6826.67</v>
          </cell>
          <cell r="E2547">
            <v>450</v>
          </cell>
          <cell r="F2547">
            <v>585</v>
          </cell>
        </row>
        <row r="2548">
          <cell r="A2548">
            <v>203542</v>
          </cell>
          <cell r="B2548" t="str">
            <v>Стол Sheffilton SHT-TU9/90 МДФ  венге/дуб верона белый</v>
          </cell>
          <cell r="C2548">
            <v>6746.67</v>
          </cell>
          <cell r="E2548">
            <v>444</v>
          </cell>
          <cell r="F2548">
            <v>577</v>
          </cell>
        </row>
        <row r="2549">
          <cell r="A2549">
            <v>208895</v>
          </cell>
          <cell r="B2549" t="str">
            <v>Стол Sheffilton SHT-TU9/90 МДФ  венге/мрамор премиум светлый</v>
          </cell>
          <cell r="C2549">
            <v>6906.67</v>
          </cell>
          <cell r="E2549">
            <v>455</v>
          </cell>
          <cell r="F2549">
            <v>592</v>
          </cell>
        </row>
        <row r="2550">
          <cell r="A2550">
            <v>203541</v>
          </cell>
          <cell r="B2550" t="str">
            <v>Стол Sheffilton SHT-TU9/90 МДФ  выбеленный/дуб верона белый</v>
          </cell>
          <cell r="C2550">
            <v>6840</v>
          </cell>
          <cell r="E2550">
            <v>451</v>
          </cell>
          <cell r="F2550">
            <v>586</v>
          </cell>
        </row>
        <row r="2551">
          <cell r="A2551">
            <v>208889</v>
          </cell>
          <cell r="B2551" t="str">
            <v>Стол Sheffilton SHT-TU9/90 МДФ  прозрачный лак/мрамор премиум светлый</v>
          </cell>
          <cell r="C2551">
            <v>6806.67</v>
          </cell>
          <cell r="E2551">
            <v>448</v>
          </cell>
          <cell r="F2551">
            <v>582</v>
          </cell>
        </row>
        <row r="2552">
          <cell r="A2552">
            <v>203540</v>
          </cell>
          <cell r="B2552" t="str">
            <v>Стол Sheffilton SHT-TU9/90 МДФ  темный орех/дуб верона белый</v>
          </cell>
          <cell r="C2552">
            <v>6746.67</v>
          </cell>
          <cell r="E2552">
            <v>444</v>
          </cell>
          <cell r="F2552">
            <v>577</v>
          </cell>
        </row>
        <row r="2553">
          <cell r="A2553">
            <v>200989</v>
          </cell>
          <cell r="B2553" t="str">
            <v>Стол Sheffilton SHT-TU9/90 МДФ  темный орех/мрамор премиум</v>
          </cell>
          <cell r="C2553">
            <v>6866.67</v>
          </cell>
          <cell r="E2553">
            <v>452</v>
          </cell>
          <cell r="F2553">
            <v>588</v>
          </cell>
        </row>
        <row r="2554">
          <cell r="A2554">
            <v>200994</v>
          </cell>
          <cell r="B2554" t="str">
            <v>Стол Sheffilton SHT-TU9/90 МДФ SHT-T147 прозрачный лак/мрамор премиум</v>
          </cell>
          <cell r="C2554">
            <v>6766.67</v>
          </cell>
          <cell r="E2554">
            <v>446</v>
          </cell>
          <cell r="F2554">
            <v>580</v>
          </cell>
        </row>
        <row r="2555">
          <cell r="A2555">
            <v>145681</v>
          </cell>
          <cell r="B2555" t="str">
            <v>Стол Sheffilton SHT-TU9/TT10 ДУБ/слэб  натуральное дерево/темный орех</v>
          </cell>
          <cell r="C2555">
            <v>20726.669999999998</v>
          </cell>
          <cell r="E2555">
            <v>1365</v>
          </cell>
          <cell r="F2555">
            <v>1775</v>
          </cell>
        </row>
        <row r="2556">
          <cell r="A2556">
            <v>196195</v>
          </cell>
          <cell r="B2556" t="str">
            <v>Стол Sheffilton SHT-TU9/TT21-6 100/75 керамика  венге/гранитно-серый</v>
          </cell>
          <cell r="C2556">
            <v>14073.33</v>
          </cell>
          <cell r="E2556">
            <v>927</v>
          </cell>
          <cell r="F2556">
            <v>1205</v>
          </cell>
        </row>
        <row r="2557">
          <cell r="A2557">
            <v>196201</v>
          </cell>
          <cell r="B2557" t="str">
            <v>Стол Sheffilton SHT-TU9/TT21-6 100/75 керамика  прозрачный лак/гранитно-серый</v>
          </cell>
          <cell r="C2557">
            <v>13973.33</v>
          </cell>
          <cell r="E2557">
            <v>921</v>
          </cell>
          <cell r="F2557">
            <v>1197</v>
          </cell>
        </row>
        <row r="2558">
          <cell r="A2558">
            <v>196196</v>
          </cell>
          <cell r="B2558" t="str">
            <v>Стол Sheffilton SHT-TU9/TT21-6 100/75 керамика  светлый орех/гранитно-серый</v>
          </cell>
          <cell r="C2558">
            <v>14093.33</v>
          </cell>
          <cell r="E2558">
            <v>928</v>
          </cell>
          <cell r="F2558">
            <v>1206</v>
          </cell>
        </row>
        <row r="2559">
          <cell r="A2559">
            <v>196212</v>
          </cell>
          <cell r="B2559" t="str">
            <v>Стол Sheffilton SHT-TU9/TT21-6 100/75 керамика  светлый орех/коричневая сепия</v>
          </cell>
          <cell r="C2559">
            <v>13100</v>
          </cell>
          <cell r="E2559">
            <v>863</v>
          </cell>
          <cell r="F2559">
            <v>1122</v>
          </cell>
        </row>
        <row r="2560">
          <cell r="A2560">
            <v>196206</v>
          </cell>
          <cell r="B2560" t="str">
            <v>Стол Sheffilton SHT-TU9/TT21-6 90 керамика  выбеленный/песчаное облако</v>
          </cell>
          <cell r="C2560">
            <v>17786.669999999998</v>
          </cell>
          <cell r="E2560">
            <v>1172</v>
          </cell>
          <cell r="F2560">
            <v>1524</v>
          </cell>
        </row>
        <row r="2561">
          <cell r="A2561">
            <v>196207</v>
          </cell>
          <cell r="B2561" t="str">
            <v>Стол Sheffilton SHT-TU9/TT21-6 90 керамика  прозрачный лак/песчаное облако</v>
          </cell>
          <cell r="C2561">
            <v>17593.330000000002</v>
          </cell>
          <cell r="E2561">
            <v>1159</v>
          </cell>
          <cell r="F2561">
            <v>1507</v>
          </cell>
        </row>
        <row r="2562">
          <cell r="A2562">
            <v>148606</v>
          </cell>
          <cell r="B2562" t="str">
            <v>Стол Sheffilton SHT-TU9/ТT8 70/70 ДУБ/керамика  прозрачный лак/коричневая сепия</v>
          </cell>
          <cell r="C2562">
            <v>14460</v>
          </cell>
          <cell r="E2562">
            <v>953</v>
          </cell>
          <cell r="F2562">
            <v>1239</v>
          </cell>
        </row>
        <row r="2563">
          <cell r="A2563">
            <v>193398</v>
          </cell>
          <cell r="B2563" t="str">
            <v>Стол Sheffilton SHT-ТU14/60/60 ЛДСП SHT-T118 черный муар/золото/дуб сонома</v>
          </cell>
          <cell r="C2563">
            <v>3293.33</v>
          </cell>
          <cell r="E2563">
            <v>217</v>
          </cell>
          <cell r="F2563">
            <v>282</v>
          </cell>
        </row>
        <row r="2564">
          <cell r="A2564">
            <v>191180</v>
          </cell>
          <cell r="B2564" t="str">
            <v>Стол SHT-TU10/80 МДФ  хром лак/лофт медь</v>
          </cell>
          <cell r="C2564">
            <v>5513.33</v>
          </cell>
          <cell r="E2564">
            <v>363</v>
          </cell>
          <cell r="F2564">
            <v>472</v>
          </cell>
        </row>
        <row r="2565">
          <cell r="A2565">
            <v>191181</v>
          </cell>
          <cell r="B2565" t="str">
            <v>Стол SHT-TU14/80 МДФ  черный муар/лофт медь</v>
          </cell>
          <cell r="C2565">
            <v>5273.33</v>
          </cell>
          <cell r="E2565">
            <v>347</v>
          </cell>
          <cell r="F2565">
            <v>451</v>
          </cell>
        </row>
        <row r="2566">
          <cell r="A2566">
            <v>191182</v>
          </cell>
          <cell r="B2566" t="str">
            <v>Стол SHT-TU16/80 МДФ  венге/лофт медь</v>
          </cell>
          <cell r="C2566">
            <v>6953.33</v>
          </cell>
          <cell r="E2566">
            <v>458</v>
          </cell>
          <cell r="F2566">
            <v>595</v>
          </cell>
        </row>
        <row r="2567">
          <cell r="A2567">
            <v>191183</v>
          </cell>
          <cell r="B2567" t="str">
            <v>Стол SHT-TU17/80 МДФ  черный муар/лофт медь</v>
          </cell>
          <cell r="C2567">
            <v>5753.33</v>
          </cell>
          <cell r="E2567">
            <v>379</v>
          </cell>
          <cell r="F2567">
            <v>493</v>
          </cell>
        </row>
        <row r="2568">
          <cell r="A2568">
            <v>191171</v>
          </cell>
          <cell r="B2568" t="str">
            <v>Стол SHT-TU2-1/80 МДФ  медный металлик/лофт медь</v>
          </cell>
          <cell r="C2568">
            <v>4526.67</v>
          </cell>
          <cell r="E2568">
            <v>298</v>
          </cell>
          <cell r="F2568">
            <v>387</v>
          </cell>
        </row>
        <row r="2569">
          <cell r="A2569">
            <v>191172</v>
          </cell>
          <cell r="B2569" t="str">
            <v>Стол SHT-TU2-1/80 МДФ SHT-T78 черный муар/лофт медь</v>
          </cell>
          <cell r="C2569">
            <v>4480</v>
          </cell>
          <cell r="E2569">
            <v>295</v>
          </cell>
          <cell r="F2569">
            <v>384</v>
          </cell>
        </row>
        <row r="2570">
          <cell r="A2570">
            <v>191185</v>
          </cell>
          <cell r="B2570" t="str">
            <v>Стол SHT-TU23/80 МДФ  темно-серый/лофт медь</v>
          </cell>
          <cell r="C2570">
            <v>5786.67</v>
          </cell>
          <cell r="E2570">
            <v>381</v>
          </cell>
          <cell r="F2570">
            <v>495</v>
          </cell>
        </row>
        <row r="2571">
          <cell r="A2571">
            <v>191184</v>
          </cell>
          <cell r="B2571" t="str">
            <v>Стол SHT-TU25/80 МДФ  черный муар/лофт медь</v>
          </cell>
          <cell r="C2571">
            <v>5573.33</v>
          </cell>
          <cell r="E2571">
            <v>367</v>
          </cell>
          <cell r="F2571">
            <v>477</v>
          </cell>
        </row>
        <row r="2572">
          <cell r="A2572">
            <v>191173</v>
          </cell>
          <cell r="B2572" t="str">
            <v>Стол SHT-TU30/80 МДФ  белый/лофт медь</v>
          </cell>
          <cell r="C2572">
            <v>4900</v>
          </cell>
          <cell r="E2572">
            <v>323</v>
          </cell>
          <cell r="F2572">
            <v>420</v>
          </cell>
        </row>
        <row r="2573">
          <cell r="A2573">
            <v>191174</v>
          </cell>
          <cell r="B2573" t="str">
            <v>Стол SHT-TU30/80 МДФ  черный/лофт медь</v>
          </cell>
          <cell r="C2573">
            <v>4900</v>
          </cell>
          <cell r="E2573">
            <v>323</v>
          </cell>
          <cell r="F2573">
            <v>420</v>
          </cell>
        </row>
        <row r="2574">
          <cell r="A2574">
            <v>191177</v>
          </cell>
          <cell r="B2574" t="str">
            <v>Стол SHT-TU4-1/80 МДФ  черный муар/лофт медь</v>
          </cell>
          <cell r="C2574">
            <v>5506.67</v>
          </cell>
          <cell r="E2574">
            <v>363</v>
          </cell>
          <cell r="F2574">
            <v>472</v>
          </cell>
        </row>
        <row r="2575">
          <cell r="A2575">
            <v>191178</v>
          </cell>
          <cell r="B2575" t="str">
            <v>Стол SHT-TU6-BS1/80 МДФ  черный муар/лофт медь</v>
          </cell>
          <cell r="C2575">
            <v>9093.33</v>
          </cell>
          <cell r="E2575">
            <v>599</v>
          </cell>
          <cell r="F2575">
            <v>779</v>
          </cell>
        </row>
        <row r="2576">
          <cell r="A2576">
            <v>191179</v>
          </cell>
          <cell r="B2576" t="str">
            <v>Стол SHT-TU7/80 МДФ  хром лак/лофт медь</v>
          </cell>
          <cell r="C2576">
            <v>4580</v>
          </cell>
          <cell r="E2576">
            <v>302</v>
          </cell>
          <cell r="F2576">
            <v>393</v>
          </cell>
        </row>
        <row r="2577">
          <cell r="A2577">
            <v>191175</v>
          </cell>
          <cell r="B2577" t="str">
            <v>Стол SHT-TU9/80 МДФ  выбеленный/лофт медь</v>
          </cell>
          <cell r="C2577">
            <v>6853.33</v>
          </cell>
          <cell r="E2577">
            <v>451</v>
          </cell>
          <cell r="F2577">
            <v>586</v>
          </cell>
        </row>
        <row r="2578">
          <cell r="A2578">
            <v>191176</v>
          </cell>
          <cell r="B2578" t="str">
            <v>Стол SHT-TU9/80 МДФ  темный орех/лофт медь</v>
          </cell>
          <cell r="C2578">
            <v>6760</v>
          </cell>
          <cell r="E2578">
            <v>445</v>
          </cell>
          <cell r="F2578">
            <v>579</v>
          </cell>
        </row>
        <row r="2579">
          <cell r="A2579">
            <v>974465</v>
          </cell>
          <cell r="B2579" t="str">
            <v>Стол барный Sheffilton SHT-TU13/H110/80 ЛДСП SHT-T130 черный муар/венге</v>
          </cell>
          <cell r="C2579">
            <v>4300</v>
          </cell>
          <cell r="E2579">
            <v>283</v>
          </cell>
          <cell r="F2579">
            <v>368</v>
          </cell>
        </row>
        <row r="2580">
          <cell r="A2580">
            <v>974471</v>
          </cell>
          <cell r="B2580" t="str">
            <v>Стол барный Sheffilton SHT-TU5-BS2/H110/80 ЛДСП SHT-T137 черный/дуб беленый</v>
          </cell>
          <cell r="C2580">
            <v>7153.33</v>
          </cell>
          <cell r="E2580">
            <v>471</v>
          </cell>
          <cell r="F2580">
            <v>612</v>
          </cell>
        </row>
        <row r="2581">
          <cell r="A2581">
            <v>180932</v>
          </cell>
          <cell r="B2581" t="str">
            <v>Кресло-реклайнер Sheffilton SHT-AMS32 SHT-КР01 какао/темный орех</v>
          </cell>
          <cell r="C2581">
            <v>15560</v>
          </cell>
          <cell r="E2581">
            <v>1025</v>
          </cell>
          <cell r="F2581">
            <v>1333</v>
          </cell>
        </row>
        <row r="2582">
          <cell r="A2582">
            <v>180946</v>
          </cell>
          <cell r="B2582" t="str">
            <v>Кресло-реклайнер Sheffilton SHT-AMS32 SHT-КР01 крем-брюле/темный орех</v>
          </cell>
          <cell r="C2582">
            <v>15560</v>
          </cell>
          <cell r="E2582">
            <v>1025</v>
          </cell>
          <cell r="F2582">
            <v>1333</v>
          </cell>
        </row>
        <row r="2583">
          <cell r="A2583">
            <v>180959</v>
          </cell>
          <cell r="B2583" t="str">
            <v>Кресло-реклайнер Sheffilton SHT-AMS32 SHT-КР01 черный/темный орех</v>
          </cell>
          <cell r="C2583">
            <v>15560</v>
          </cell>
          <cell r="E2583">
            <v>1025</v>
          </cell>
          <cell r="F2583">
            <v>1333</v>
          </cell>
        </row>
        <row r="2584">
          <cell r="A2584">
            <v>583794</v>
          </cell>
          <cell r="B2584" t="str">
            <v>Корзина Sheffilton  белый</v>
          </cell>
          <cell r="C2584">
            <v>246.67</v>
          </cell>
          <cell r="E2584">
            <v>16</v>
          </cell>
          <cell r="F2584">
            <v>21</v>
          </cell>
        </row>
        <row r="2585">
          <cell r="A2585">
            <v>184414</v>
          </cell>
          <cell r="B2585" t="str">
            <v>Вешалка Sheffilton SHT-CR22 В-04 орех/черный</v>
          </cell>
          <cell r="C2585">
            <v>1643.33</v>
          </cell>
          <cell r="E2585">
            <v>108</v>
          </cell>
          <cell r="F2585">
            <v>140</v>
          </cell>
        </row>
        <row r="2586">
          <cell r="A2586">
            <v>881449</v>
          </cell>
          <cell r="B2586" t="str">
            <v>Вешалка Sheffilton CH-4043 CH-4043 хром/светлый орех (+)</v>
          </cell>
          <cell r="C2586">
            <v>1380</v>
          </cell>
          <cell r="E2586">
            <v>91</v>
          </cell>
          <cell r="F2586">
            <v>118</v>
          </cell>
        </row>
        <row r="2587">
          <cell r="A2587">
            <v>847446</v>
          </cell>
          <cell r="B2587" t="str">
            <v>Вешалка Sheffilton CH-4089-W CH-4089-W серебро/темный орех (+)</v>
          </cell>
          <cell r="C2587">
            <v>1820</v>
          </cell>
          <cell r="E2587">
            <v>120</v>
          </cell>
          <cell r="F2587">
            <v>156</v>
          </cell>
        </row>
        <row r="2588">
          <cell r="A2588">
            <v>183720</v>
          </cell>
          <cell r="B2588" t="str">
            <v>Вешалка Sheffilton SHT-SUR8 В-03 хром/венге</v>
          </cell>
          <cell r="C2588">
            <v>1900</v>
          </cell>
          <cell r="E2588">
            <v>125</v>
          </cell>
          <cell r="F2588">
            <v>163</v>
          </cell>
        </row>
        <row r="2589">
          <cell r="A2589">
            <v>184412</v>
          </cell>
          <cell r="B2589" t="str">
            <v>Вешалка Sheffilton SHT-SUR9 В-02 хром/венге</v>
          </cell>
          <cell r="C2589">
            <v>1496.67</v>
          </cell>
          <cell r="E2589">
            <v>99</v>
          </cell>
          <cell r="F2589">
            <v>129</v>
          </cell>
        </row>
        <row r="2590">
          <cell r="A2590">
            <v>191693</v>
          </cell>
          <cell r="B2590" t="str">
            <v>Столик журнальный Sheffilton SHT-CT16 SHT-СТЖ4 светлый мрамор/латунь/черный</v>
          </cell>
          <cell r="C2590">
            <v>4586.67</v>
          </cell>
          <cell r="E2590">
            <v>302</v>
          </cell>
          <cell r="F2590">
            <v>393</v>
          </cell>
        </row>
        <row r="2591">
          <cell r="A2591">
            <v>191710</v>
          </cell>
          <cell r="B2591" t="str">
            <v>Столик журнальный Sheffilton SHT-CT18 SHT-СТЖ6 орех неаполь/хром</v>
          </cell>
          <cell r="C2591">
            <v>7726.67</v>
          </cell>
          <cell r="E2591">
            <v>509</v>
          </cell>
          <cell r="F2591">
            <v>662</v>
          </cell>
        </row>
        <row r="2592">
          <cell r="A2592">
            <v>868690</v>
          </cell>
          <cell r="B2592" t="str">
            <v>Вешалка Sheffilton CH-4004-1 CH-4004-1 хром/черный (+)</v>
          </cell>
          <cell r="C2592">
            <v>566.66999999999996</v>
          </cell>
          <cell r="E2592">
            <v>37</v>
          </cell>
          <cell r="F2592">
            <v>48</v>
          </cell>
        </row>
        <row r="2593">
          <cell r="A2593">
            <v>868696</v>
          </cell>
          <cell r="B2593" t="str">
            <v>Вешалка Sheffilton SHT-4150B2-1 SHT-4150B2-1 хром/черный (+)</v>
          </cell>
          <cell r="C2593">
            <v>3323.33</v>
          </cell>
          <cell r="E2593">
            <v>219</v>
          </cell>
          <cell r="F2593">
            <v>285</v>
          </cell>
        </row>
        <row r="2594">
          <cell r="A2594">
            <v>868692</v>
          </cell>
          <cell r="B2594" t="str">
            <v>Вешалка Sheffilton SHT-WR1-1 SHT-WR1-1 хром/черный (+)</v>
          </cell>
          <cell r="C2594">
            <v>2153.33</v>
          </cell>
          <cell r="E2594">
            <v>142</v>
          </cell>
          <cell r="F2594">
            <v>185</v>
          </cell>
        </row>
        <row r="2595">
          <cell r="A2595">
            <v>185710</v>
          </cell>
          <cell r="B2595" t="str">
            <v>Вешалка Sheffilton SHT-WR22 В-05 белый</v>
          </cell>
          <cell r="C2595">
            <v>3730</v>
          </cell>
          <cell r="E2595">
            <v>246</v>
          </cell>
          <cell r="F2595">
            <v>320</v>
          </cell>
        </row>
        <row r="2596">
          <cell r="A2596">
            <v>185718</v>
          </cell>
          <cell r="B2596" t="str">
            <v>Вешалка Sheffilton SHT-WR23 В-06 белый</v>
          </cell>
          <cell r="C2596">
            <v>2320</v>
          </cell>
          <cell r="E2596">
            <v>153</v>
          </cell>
          <cell r="F2596">
            <v>199</v>
          </cell>
        </row>
        <row r="2597">
          <cell r="A2597">
            <v>185721</v>
          </cell>
          <cell r="B2597" t="str">
            <v>Вешалка Sheffilton SHT-WR24 В-07 белый</v>
          </cell>
          <cell r="C2597">
            <v>2600</v>
          </cell>
          <cell r="E2597">
            <v>171</v>
          </cell>
          <cell r="F2597">
            <v>222</v>
          </cell>
        </row>
        <row r="2598">
          <cell r="A2598">
            <v>857407</v>
          </cell>
          <cell r="B2598" t="str">
            <v>Зеркало Sheffilton 12600SS 12600SS светлый орех (+)</v>
          </cell>
          <cell r="C2598">
            <v>2793.33</v>
          </cell>
          <cell r="E2598">
            <v>184</v>
          </cell>
          <cell r="F2598">
            <v>239</v>
          </cell>
        </row>
        <row r="2599">
          <cell r="A2599">
            <v>857409</v>
          </cell>
          <cell r="B2599" t="str">
            <v>Зеркало Sheffilton 12600SS 12600SS темный орех (+)</v>
          </cell>
          <cell r="C2599">
            <v>2793.33</v>
          </cell>
          <cell r="E2599">
            <v>184</v>
          </cell>
          <cell r="F2599">
            <v>239</v>
          </cell>
        </row>
        <row r="2600">
          <cell r="A2600">
            <v>191688</v>
          </cell>
          <cell r="B2600" t="str">
            <v>Столик журнальный Sheffilton SHT-CT13 SHT-СТЖ1 прозрачный/латунь</v>
          </cell>
          <cell r="C2600">
            <v>3660</v>
          </cell>
          <cell r="E2600">
            <v>241</v>
          </cell>
          <cell r="F2600">
            <v>313</v>
          </cell>
        </row>
        <row r="2601">
          <cell r="A2601">
            <v>191689</v>
          </cell>
          <cell r="B2601" t="str">
            <v>Столик журнальный Sheffilton SHT-CT14 SHT-СТЖ2 прозрачный/дуб шампань/золото</v>
          </cell>
          <cell r="C2601">
            <v>4433.33</v>
          </cell>
          <cell r="E2601">
            <v>292</v>
          </cell>
          <cell r="F2601">
            <v>380</v>
          </cell>
        </row>
        <row r="2602">
          <cell r="A2602">
            <v>191691</v>
          </cell>
          <cell r="B2602" t="str">
            <v>Столик журнальный Sheffilton SHT-CT15 SHT-СТЖ3 светлый мрамор/латунь/черный</v>
          </cell>
          <cell r="C2602">
            <v>4520</v>
          </cell>
          <cell r="E2602">
            <v>298</v>
          </cell>
          <cell r="F2602">
            <v>387</v>
          </cell>
        </row>
        <row r="2603">
          <cell r="A2603">
            <v>191690</v>
          </cell>
          <cell r="B2603" t="str">
            <v>Столик журнальный Sheffilton SHT-CT15 SHT-СТЖ3 темный мрамор/латунь/черный</v>
          </cell>
          <cell r="C2603">
            <v>4520</v>
          </cell>
          <cell r="E2603">
            <v>298</v>
          </cell>
          <cell r="F2603">
            <v>387</v>
          </cell>
        </row>
        <row r="2604">
          <cell r="A2604">
            <v>191692</v>
          </cell>
          <cell r="B2604" t="str">
            <v>Столик журнальный Sheffilton SHT-CT16 SHT-СТЖ4 темный мрамор/латунь/черный</v>
          </cell>
          <cell r="C2604">
            <v>4586.67</v>
          </cell>
          <cell r="E2604">
            <v>302</v>
          </cell>
          <cell r="F2604">
            <v>393</v>
          </cell>
        </row>
        <row r="2605">
          <cell r="A2605">
            <v>191695</v>
          </cell>
          <cell r="B2605" t="str">
            <v>Столик журнальный Sheffilton SHT-CT17 SHT-СТЖ5 дуб весенний/черное дерево/латунь</v>
          </cell>
          <cell r="C2605">
            <v>2926.67</v>
          </cell>
          <cell r="E2605">
            <v>193</v>
          </cell>
          <cell r="F2605">
            <v>251</v>
          </cell>
        </row>
        <row r="2606">
          <cell r="A2606">
            <v>191712</v>
          </cell>
          <cell r="B2606" t="str">
            <v>Столик журнальный Sheffilton SHT-CT19 SHT-СТЖ7 зеркальный/хром</v>
          </cell>
          <cell r="C2606">
            <v>9166.67</v>
          </cell>
          <cell r="E2606">
            <v>604</v>
          </cell>
          <cell r="F2606">
            <v>785</v>
          </cell>
        </row>
        <row r="2607">
          <cell r="A2607">
            <v>929724</v>
          </cell>
          <cell r="B2607" t="str">
            <v>Чехол Sheffilton SHT-CS1 SHT-CS1 коричневый/бежевый</v>
          </cell>
          <cell r="C2607">
            <v>276.67</v>
          </cell>
          <cell r="E2607">
            <v>18</v>
          </cell>
          <cell r="F2607">
            <v>23</v>
          </cell>
        </row>
        <row r="2608">
          <cell r="A2608">
            <v>933323</v>
          </cell>
          <cell r="B2608" t="str">
            <v>Чехол Sheffilton SHT-CS2 SHT-CS2 салатовый</v>
          </cell>
          <cell r="C2608">
            <v>276.67</v>
          </cell>
          <cell r="E2608">
            <v>18</v>
          </cell>
          <cell r="F2608">
            <v>23</v>
          </cell>
        </row>
        <row r="2609">
          <cell r="A2609">
            <v>881431</v>
          </cell>
          <cell r="B2609" t="str">
            <v>Вешалка-гардероб с чехлом Sheffilton 2012 2012 темно-коричневый</v>
          </cell>
          <cell r="C2609">
            <v>806.67</v>
          </cell>
          <cell r="E2609">
            <v>53</v>
          </cell>
          <cell r="F2609">
            <v>69</v>
          </cell>
        </row>
        <row r="2610">
          <cell r="A2610">
            <v>855432</v>
          </cell>
          <cell r="B2610" t="str">
            <v>Полка д/обуви с чехлом Sheffilton SHT-SR1 SHT-SR1 темно-коричневый</v>
          </cell>
          <cell r="C2610">
            <v>1160</v>
          </cell>
          <cell r="E2610">
            <v>76</v>
          </cell>
          <cell r="F2610">
            <v>99</v>
          </cell>
        </row>
        <row r="2611">
          <cell r="A2611">
            <v>908566</v>
          </cell>
          <cell r="B2611" t="str">
            <v>Стул Sheffilton SHT-S11 SHT-S11 зеленое яблоко/хром</v>
          </cell>
          <cell r="C2611">
            <v>1762.5</v>
          </cell>
          <cell r="E2611">
            <v>116</v>
          </cell>
          <cell r="F2611">
            <v>151</v>
          </cell>
        </row>
        <row r="2612">
          <cell r="A2612">
            <v>878298</v>
          </cell>
          <cell r="B2612" t="str">
            <v>Столешница Sheffilton SHT-TT 80 МДФ ТТ1 белый</v>
          </cell>
          <cell r="C2612">
            <v>1840</v>
          </cell>
          <cell r="E2612">
            <v>121</v>
          </cell>
          <cell r="F2612">
            <v>157</v>
          </cell>
        </row>
        <row r="2613">
          <cell r="A2613">
            <v>988414</v>
          </cell>
          <cell r="B2613" t="str">
            <v>Столешница Sheffilton SHT-TT 80/80 ЛДСП ТТ2 бук (+)</v>
          </cell>
          <cell r="C2613">
            <v>946.67</v>
          </cell>
          <cell r="E2613">
            <v>62</v>
          </cell>
          <cell r="F2613">
            <v>81</v>
          </cell>
        </row>
        <row r="2614">
          <cell r="A2614">
            <v>870512</v>
          </cell>
          <cell r="B2614" t="str">
            <v>Столешница Sheffilton SHT-ТT 80/80 МДФ ТТ2 бук</v>
          </cell>
          <cell r="C2614">
            <v>1513.33</v>
          </cell>
          <cell r="E2614">
            <v>100</v>
          </cell>
          <cell r="F2614">
            <v>130</v>
          </cell>
        </row>
        <row r="2615">
          <cell r="A2615">
            <v>989812</v>
          </cell>
          <cell r="B2615" t="str">
            <v>Столешница Sheffilton SHT-ТT 80/80 МДФ ТТ2 бук 5113</v>
          </cell>
          <cell r="C2615">
            <v>1453.33</v>
          </cell>
          <cell r="E2615">
            <v>96</v>
          </cell>
          <cell r="F2615">
            <v>125</v>
          </cell>
        </row>
        <row r="2616">
          <cell r="A2616">
            <v>932094</v>
          </cell>
          <cell r="B2616" t="str">
            <v>Столешница Sheffilton SHT-ТT 80/80 ДУБ ТТ4 дуб коричневый/диагональ</v>
          </cell>
          <cell r="C2616">
            <v>10000</v>
          </cell>
          <cell r="E2616">
            <v>659</v>
          </cell>
          <cell r="F2616">
            <v>857</v>
          </cell>
        </row>
        <row r="2617">
          <cell r="A2617">
            <v>932105</v>
          </cell>
          <cell r="B2617" t="str">
            <v>Столешница Sheffilton SHT-ТT 80/80 ДУБ ТТ4 дуб коричневый/золото</v>
          </cell>
          <cell r="C2617">
            <v>10880</v>
          </cell>
          <cell r="E2617">
            <v>717</v>
          </cell>
          <cell r="F2617">
            <v>932</v>
          </cell>
        </row>
        <row r="2618">
          <cell r="A2618">
            <v>923519</v>
          </cell>
          <cell r="B2618" t="str">
            <v>Столешница Sheffilton SHT-ТT 80/80 ДУБ ТТ4 дуб коричневый/квадрат</v>
          </cell>
          <cell r="C2618">
            <v>10000</v>
          </cell>
          <cell r="E2618">
            <v>659</v>
          </cell>
          <cell r="F2618">
            <v>857</v>
          </cell>
        </row>
        <row r="2619">
          <cell r="A2619">
            <v>932092</v>
          </cell>
          <cell r="B2619" t="str">
            <v>Столешница Sheffilton SHT-ТT 80/80 ДУБ ТТ4 дуб коричневый/конверт</v>
          </cell>
          <cell r="C2619">
            <v>10000</v>
          </cell>
          <cell r="E2619">
            <v>659</v>
          </cell>
          <cell r="F2619">
            <v>857</v>
          </cell>
        </row>
        <row r="2620">
          <cell r="A2620">
            <v>932099</v>
          </cell>
          <cell r="B2620" t="str">
            <v>Столешница Sheffilton SHT-ТT 80/80 ДУБ ТТ4 дуб коричневый/ламель</v>
          </cell>
          <cell r="C2620">
            <v>10000</v>
          </cell>
          <cell r="E2620">
            <v>659</v>
          </cell>
          <cell r="F2620">
            <v>857</v>
          </cell>
        </row>
        <row r="2621">
          <cell r="A2621">
            <v>932097</v>
          </cell>
          <cell r="B2621" t="str">
            <v>Столешница Sheffilton SHT-ТT 80/80 ДУБ ТТ4 МДФ, дерево</v>
          </cell>
          <cell r="C2621">
            <v>10000</v>
          </cell>
          <cell r="E2621">
            <v>659</v>
          </cell>
          <cell r="F2621">
            <v>857</v>
          </cell>
        </row>
        <row r="2622">
          <cell r="A2622">
            <v>179340</v>
          </cell>
          <cell r="B2622" t="str">
            <v>Вешалка Sheffilton SHT-WR19 ВК-3 матовый черный</v>
          </cell>
          <cell r="C2622">
            <v>570</v>
          </cell>
          <cell r="E2622">
            <v>38</v>
          </cell>
          <cell r="F2622">
            <v>49</v>
          </cell>
        </row>
        <row r="2623">
          <cell r="A2623">
            <v>179341</v>
          </cell>
          <cell r="B2623" t="str">
            <v>Вешалка Sheffilton SHT-WR20 ВК-4 черный муар</v>
          </cell>
          <cell r="C2623">
            <v>633.33000000000004</v>
          </cell>
          <cell r="E2623">
            <v>42</v>
          </cell>
          <cell r="F2623">
            <v>55</v>
          </cell>
        </row>
        <row r="2624">
          <cell r="A2624">
            <v>179345</v>
          </cell>
          <cell r="B2624" t="str">
            <v>Вешалка Sheffilton SHT-WR21 ВК-1 черный муар/скандинавский дуб</v>
          </cell>
          <cell r="C2624">
            <v>3353.33</v>
          </cell>
          <cell r="E2624">
            <v>221</v>
          </cell>
          <cell r="F2624">
            <v>287</v>
          </cell>
        </row>
        <row r="2625">
          <cell r="A2625">
            <v>179344</v>
          </cell>
          <cell r="B2625" t="str">
            <v>Полка для обуви Sheffilton SHT-SR12 SR-01 черный муар/скандинавский орех</v>
          </cell>
          <cell r="C2625">
            <v>1053.33</v>
          </cell>
          <cell r="E2625">
            <v>69</v>
          </cell>
          <cell r="F2625">
            <v>90</v>
          </cell>
        </row>
        <row r="2626">
          <cell r="A2626">
            <v>179343</v>
          </cell>
          <cell r="B2626" t="str">
            <v>Стол Sheffilton SHT-T36 ТК-1 черный муар/скандинавский орех</v>
          </cell>
          <cell r="C2626">
            <v>2976.67</v>
          </cell>
          <cell r="E2626">
            <v>196</v>
          </cell>
          <cell r="F2626">
            <v>255</v>
          </cell>
        </row>
        <row r="2627">
          <cell r="A2627">
            <v>206495</v>
          </cell>
          <cell r="B2627" t="str">
            <v>Столешница Sheffilton SHT-TT 140/80 ЛДСП ТТ91 хромикс белый</v>
          </cell>
          <cell r="C2627">
            <v>3246.67</v>
          </cell>
          <cell r="E2627">
            <v>214</v>
          </cell>
          <cell r="F2627">
            <v>278</v>
          </cell>
        </row>
        <row r="2628">
          <cell r="A2628">
            <v>151576</v>
          </cell>
          <cell r="B2628" t="str">
            <v>Столешница Sheffilton SHT-TT17 70/70 ЛДСП/Бук  дуб нагано/прозрачный лак</v>
          </cell>
          <cell r="C2628">
            <v>1533.33</v>
          </cell>
          <cell r="E2628">
            <v>101</v>
          </cell>
          <cell r="F2628">
            <v>131</v>
          </cell>
        </row>
        <row r="2629">
          <cell r="A2629">
            <v>188441</v>
          </cell>
          <cell r="B2629" t="str">
            <v>Столешница Sheffilton SHT-TT23 120/77ЛДСП/пластик ТТ76 бежевый глянец</v>
          </cell>
          <cell r="C2629">
            <v>3400</v>
          </cell>
          <cell r="E2629">
            <v>224</v>
          </cell>
          <cell r="F2629">
            <v>291</v>
          </cell>
        </row>
        <row r="2630">
          <cell r="A2630">
            <v>188442</v>
          </cell>
          <cell r="B2630" t="str">
            <v>Столешница Sheffilton SHT-TT23 77/77 ЛДСП/пластик ТТ75 бежевый глянец</v>
          </cell>
          <cell r="C2630">
            <v>2600</v>
          </cell>
          <cell r="E2630">
            <v>171</v>
          </cell>
          <cell r="F2630">
            <v>222</v>
          </cell>
        </row>
        <row r="2631">
          <cell r="A2631">
            <v>986303</v>
          </cell>
          <cell r="B2631" t="str">
            <v>Столешница Sheffilton SHT-TT 70 МДФ ТТ26 акация светлая поперечная</v>
          </cell>
          <cell r="C2631">
            <v>1966.67</v>
          </cell>
          <cell r="E2631">
            <v>130</v>
          </cell>
          <cell r="F2631">
            <v>169</v>
          </cell>
        </row>
        <row r="2632">
          <cell r="A2632">
            <v>191240</v>
          </cell>
          <cell r="B2632" t="str">
            <v>Столешница Sheffilton SHT-TT 80/80  ЛДСП ТТ2 белый снег (+)</v>
          </cell>
          <cell r="C2632">
            <v>1633.33</v>
          </cell>
          <cell r="E2632">
            <v>108</v>
          </cell>
          <cell r="F2632">
            <v>140</v>
          </cell>
        </row>
        <row r="2633">
          <cell r="A2633">
            <v>206496</v>
          </cell>
          <cell r="B2633" t="str">
            <v>Столешница Sheffilton SHT-TT 80 ЛДСП TT1 сосна Касцина</v>
          </cell>
          <cell r="C2633">
            <v>2460</v>
          </cell>
          <cell r="E2633">
            <v>162</v>
          </cell>
          <cell r="F2633">
            <v>211</v>
          </cell>
        </row>
        <row r="2634">
          <cell r="A2634">
            <v>988328</v>
          </cell>
          <cell r="B2634" t="str">
            <v>Столешница Sheffilton SHT-TT 80 ЛДСП ТТ1 венге (+)</v>
          </cell>
          <cell r="C2634">
            <v>1960</v>
          </cell>
          <cell r="E2634">
            <v>129</v>
          </cell>
          <cell r="F2634">
            <v>168</v>
          </cell>
        </row>
        <row r="2635">
          <cell r="A2635">
            <v>988394</v>
          </cell>
          <cell r="B2635" t="str">
            <v>Столешница Sheffilton SHT-TT 80 ЛДСП ТТ1 дуб беленый (+)</v>
          </cell>
          <cell r="C2635">
            <v>2253.33</v>
          </cell>
          <cell r="E2635">
            <v>148</v>
          </cell>
          <cell r="F2635">
            <v>192</v>
          </cell>
        </row>
        <row r="2636">
          <cell r="A2636">
            <v>988406</v>
          </cell>
          <cell r="B2636" t="str">
            <v>Столешница Sheffilton SHT-TT 80 ЛДСП ТТ1 орех (+)</v>
          </cell>
          <cell r="C2636">
            <v>1966.67</v>
          </cell>
          <cell r="E2636">
            <v>130</v>
          </cell>
          <cell r="F2636">
            <v>169</v>
          </cell>
        </row>
        <row r="2637">
          <cell r="A2637">
            <v>206494</v>
          </cell>
          <cell r="B2637" t="str">
            <v>Столешница Sheffilton SHT-TT 90 ЛДСП TT92 бетон Чикаго светло-серый</v>
          </cell>
          <cell r="C2637">
            <v>2586.67</v>
          </cell>
          <cell r="E2637">
            <v>170</v>
          </cell>
          <cell r="F2637">
            <v>221</v>
          </cell>
        </row>
        <row r="2638">
          <cell r="A2638">
            <v>206493</v>
          </cell>
          <cell r="B2638" t="str">
            <v>Столешница Sheffilton SHT-TT 90 ЛДСП TT92 дуб галифакс табак</v>
          </cell>
          <cell r="C2638">
            <v>3126.67</v>
          </cell>
          <cell r="E2638">
            <v>206</v>
          </cell>
          <cell r="F2638">
            <v>268</v>
          </cell>
        </row>
        <row r="2639">
          <cell r="A2639">
            <v>987606</v>
          </cell>
          <cell r="B2639" t="str">
            <v>Столешница Sheffilton SHT-ТT 120/80 ЛДСП ТТ3 белый шагрень 0101PE (+)</v>
          </cell>
          <cell r="C2639">
            <v>2453.33</v>
          </cell>
          <cell r="E2639">
            <v>162</v>
          </cell>
          <cell r="F2639">
            <v>211</v>
          </cell>
        </row>
        <row r="2640">
          <cell r="A2640">
            <v>988323</v>
          </cell>
          <cell r="B2640" t="str">
            <v>Столешница Sheffilton SHT-ТT 120/80 ЛДСП ТТ3 венге (+)</v>
          </cell>
          <cell r="C2640">
            <v>2453.33</v>
          </cell>
          <cell r="E2640">
            <v>162</v>
          </cell>
          <cell r="F2640">
            <v>211</v>
          </cell>
        </row>
        <row r="2641">
          <cell r="A2641">
            <v>988381</v>
          </cell>
          <cell r="B2641" t="str">
            <v>Столешница Sheffilton SHT-ТT 120/80 ЛДСП ТТ3 дуб беленый (+)</v>
          </cell>
          <cell r="C2641">
            <v>2813.33</v>
          </cell>
          <cell r="E2641">
            <v>185</v>
          </cell>
          <cell r="F2641">
            <v>241</v>
          </cell>
        </row>
        <row r="2642">
          <cell r="A2642">
            <v>987620</v>
          </cell>
          <cell r="B2642" t="str">
            <v>Столешница Sheffilton SHT-ТT 120/80 МДФ ТТ3 белый шагрень (+)</v>
          </cell>
          <cell r="C2642">
            <v>3846.67</v>
          </cell>
          <cell r="E2642">
            <v>253</v>
          </cell>
          <cell r="F2642">
            <v>329</v>
          </cell>
        </row>
        <row r="2643">
          <cell r="A2643">
            <v>206499</v>
          </cell>
          <cell r="B2643" t="str">
            <v>Столешница Sheffilton SHT-ТT20 60 ЛДСП TT61 мрамор каррара белый</v>
          </cell>
          <cell r="C2643">
            <v>1713.33</v>
          </cell>
          <cell r="E2643">
            <v>113</v>
          </cell>
          <cell r="F2643">
            <v>147</v>
          </cell>
        </row>
        <row r="2644">
          <cell r="A2644">
            <v>157315</v>
          </cell>
          <cell r="B2644" t="str">
            <v>Столешница Sheffilton SHT-ТT20 60 ЛДСП ТТ61 дуб песочный</v>
          </cell>
          <cell r="C2644">
            <v>993.33</v>
          </cell>
          <cell r="E2644">
            <v>65</v>
          </cell>
          <cell r="F2644">
            <v>85</v>
          </cell>
        </row>
        <row r="2645">
          <cell r="A2645">
            <v>206498</v>
          </cell>
          <cell r="B2645" t="str">
            <v>Столешница Sheffilton SHT-ТT20 70 ЛДСП TT64 бетон Чикаго темно-серый</v>
          </cell>
          <cell r="C2645">
            <v>1980</v>
          </cell>
          <cell r="E2645">
            <v>130</v>
          </cell>
          <cell r="F2645">
            <v>169</v>
          </cell>
        </row>
        <row r="2646">
          <cell r="A2646">
            <v>157320</v>
          </cell>
          <cell r="B2646" t="str">
            <v>Столешница Sheffilton SHT-ТT20 70 ЛДСП ТТ64 орех тьеполо</v>
          </cell>
          <cell r="C2646">
            <v>1120</v>
          </cell>
          <cell r="E2646">
            <v>74</v>
          </cell>
          <cell r="F2646">
            <v>96</v>
          </cell>
        </row>
        <row r="2647">
          <cell r="A2647">
            <v>981580</v>
          </cell>
          <cell r="B2647" t="str">
            <v>Столешница Sheffilton SHT-ТT 60/60 ЛДСП ТТ24 дуб сонома</v>
          </cell>
          <cell r="C2647">
            <v>920</v>
          </cell>
          <cell r="E2647">
            <v>61</v>
          </cell>
          <cell r="F2647">
            <v>79</v>
          </cell>
        </row>
        <row r="2648">
          <cell r="A2648">
            <v>206500</v>
          </cell>
          <cell r="B2648" t="str">
            <v>Столешница Sheffilton SHT-ТT 60 ЛДСП TT22 камень пьетра гриджио черный</v>
          </cell>
          <cell r="C2648">
            <v>1713.33</v>
          </cell>
          <cell r="E2648">
            <v>113</v>
          </cell>
          <cell r="F2648">
            <v>147</v>
          </cell>
        </row>
        <row r="2649">
          <cell r="A2649">
            <v>206516</v>
          </cell>
          <cell r="B2649" t="str">
            <v>Столешница Sheffilton SHT-ТT 60 ЛДСП TT22 хромикс белый</v>
          </cell>
          <cell r="C2649">
            <v>1713.33</v>
          </cell>
          <cell r="E2649">
            <v>113</v>
          </cell>
          <cell r="F2649">
            <v>147</v>
          </cell>
        </row>
        <row r="2650">
          <cell r="A2650">
            <v>171204</v>
          </cell>
          <cell r="B2650" t="str">
            <v>Столешница Sheffilton SHT-ТT 60 ЛДСП ТТ22 дуб песочный</v>
          </cell>
          <cell r="C2650">
            <v>1100</v>
          </cell>
          <cell r="E2650">
            <v>72</v>
          </cell>
          <cell r="F2650">
            <v>94</v>
          </cell>
        </row>
        <row r="2651">
          <cell r="A2651">
            <v>171205</v>
          </cell>
          <cell r="B2651" t="str">
            <v>Столешница Sheffilton SHT-ТT 60 ЛДСП ТТ22 орех тьеполо</v>
          </cell>
          <cell r="C2651">
            <v>1100</v>
          </cell>
          <cell r="E2651">
            <v>72</v>
          </cell>
          <cell r="F2651">
            <v>94</v>
          </cell>
        </row>
        <row r="2652">
          <cell r="A2652">
            <v>988325</v>
          </cell>
          <cell r="B2652" t="str">
            <v>Столешница Sheffilton SHT-ТT 80/80 ЛДСП ТТ2 венге (+)</v>
          </cell>
          <cell r="C2652">
            <v>1633.33</v>
          </cell>
          <cell r="E2652">
            <v>108</v>
          </cell>
          <cell r="F2652">
            <v>140</v>
          </cell>
        </row>
        <row r="2653">
          <cell r="A2653">
            <v>987601</v>
          </cell>
          <cell r="B2653" t="str">
            <v>Столешница Sheffilton SHT-ТT 80/80 ЛДСП ТТ2 дуб беленый (+)</v>
          </cell>
          <cell r="C2653">
            <v>1900</v>
          </cell>
          <cell r="E2653">
            <v>125</v>
          </cell>
          <cell r="F2653">
            <v>163</v>
          </cell>
        </row>
        <row r="2654">
          <cell r="A2654">
            <v>988400</v>
          </cell>
          <cell r="B2654" t="str">
            <v>Столешница Sheffilton SHT-ТT 80/80 ЛДСП ТТ2 орех (+)</v>
          </cell>
          <cell r="C2654">
            <v>1633.33</v>
          </cell>
          <cell r="E2654">
            <v>108</v>
          </cell>
          <cell r="F2654">
            <v>140</v>
          </cell>
        </row>
        <row r="2655">
          <cell r="A2655">
            <v>161824</v>
          </cell>
          <cell r="B2655" t="str">
            <v>Кресло Sheffilton SHT-AMS114  нефритовый/коричневый</v>
          </cell>
          <cell r="C2655">
            <v>11666.67</v>
          </cell>
          <cell r="E2655">
            <v>769</v>
          </cell>
          <cell r="F2655">
            <v>1000</v>
          </cell>
        </row>
        <row r="2656">
          <cell r="A2656">
            <v>161825</v>
          </cell>
          <cell r="B2656" t="str">
            <v>Кресло Sheffilton SHT-AMS115  мятный лед/коричневый</v>
          </cell>
          <cell r="C2656">
            <v>10333.33</v>
          </cell>
          <cell r="E2656">
            <v>681</v>
          </cell>
          <cell r="F2656">
            <v>885</v>
          </cell>
        </row>
        <row r="2657">
          <cell r="A2657">
            <v>161826</v>
          </cell>
          <cell r="B2657" t="str">
            <v>Кресло Sheffilton SHT-AMS116  черный/черный</v>
          </cell>
          <cell r="C2657">
            <v>8233.33</v>
          </cell>
          <cell r="E2657">
            <v>542</v>
          </cell>
          <cell r="F2657">
            <v>705</v>
          </cell>
        </row>
        <row r="2658">
          <cell r="A2658">
            <v>161827</v>
          </cell>
          <cell r="B2658" t="str">
            <v>Кресло Sheffilton SHT-AMS117  серый гранит/коричневый</v>
          </cell>
          <cell r="C2658">
            <v>10333.33</v>
          </cell>
          <cell r="E2658">
            <v>681</v>
          </cell>
          <cell r="F2658">
            <v>885</v>
          </cell>
        </row>
        <row r="2659">
          <cell r="A2659">
            <v>161828</v>
          </cell>
          <cell r="B2659" t="str">
            <v>Кресло Sheffilton SHT-AMS118  горчичный/антрацит/черный</v>
          </cell>
          <cell r="C2659">
            <v>7133.33</v>
          </cell>
          <cell r="E2659">
            <v>470</v>
          </cell>
          <cell r="F2659">
            <v>611</v>
          </cell>
        </row>
        <row r="2660">
          <cell r="A2660">
            <v>192142</v>
          </cell>
          <cell r="B2660" t="str">
            <v>Стул Sheffilton SHT-S124-CN1 CK-1 белый/белый</v>
          </cell>
          <cell r="C2660">
            <v>4000</v>
          </cell>
          <cell r="E2660">
            <v>264</v>
          </cell>
          <cell r="F2660">
            <v>343</v>
          </cell>
        </row>
        <row r="2661">
          <cell r="A2661">
            <v>192149</v>
          </cell>
          <cell r="B2661" t="str">
            <v>Стул Sheffilton SHT-S126 СК-3 белый</v>
          </cell>
          <cell r="C2661">
            <v>4266.67</v>
          </cell>
          <cell r="E2661">
            <v>281</v>
          </cell>
          <cell r="F2661">
            <v>365</v>
          </cell>
        </row>
        <row r="2662">
          <cell r="A2662">
            <v>192150</v>
          </cell>
          <cell r="B2662" t="str">
            <v>Стул Sheffilton SHT-S126 СК-3 черный</v>
          </cell>
          <cell r="C2662">
            <v>4266.67</v>
          </cell>
          <cell r="E2662">
            <v>281</v>
          </cell>
          <cell r="F2662">
            <v>365</v>
          </cell>
        </row>
        <row r="2663">
          <cell r="A2663">
            <v>192160</v>
          </cell>
          <cell r="B2663" t="str">
            <v>Стул Sheffilton SHT-S127-CN1 СК-4 белый/белый</v>
          </cell>
          <cell r="C2663">
            <v>4666.67</v>
          </cell>
          <cell r="E2663">
            <v>307</v>
          </cell>
          <cell r="F2663">
            <v>399</v>
          </cell>
        </row>
        <row r="2664">
          <cell r="A2664">
            <v>192162</v>
          </cell>
          <cell r="B2664" t="str">
            <v>Стул Sheffilton SHT-S127-CN1 СК-4 черный/черный</v>
          </cell>
          <cell r="C2664">
            <v>4666.67</v>
          </cell>
          <cell r="E2664">
            <v>307</v>
          </cell>
          <cell r="F2664">
            <v>399</v>
          </cell>
        </row>
        <row r="2665">
          <cell r="A2665">
            <v>192145</v>
          </cell>
          <cell r="B2665" t="str">
            <v>Стул барный Sheffilton SHT-S125-CN1 СК-2 белый/белый</v>
          </cell>
          <cell r="C2665">
            <v>4400</v>
          </cell>
          <cell r="E2665">
            <v>290</v>
          </cell>
          <cell r="F2665">
            <v>377</v>
          </cell>
        </row>
        <row r="2666">
          <cell r="A2666">
            <v>192148</v>
          </cell>
          <cell r="B2666" t="str">
            <v>Стул барный Sheffilton SHT-S125-CN1 СК-2 черный/черный</v>
          </cell>
          <cell r="C2666">
            <v>4400</v>
          </cell>
          <cell r="E2666">
            <v>290</v>
          </cell>
          <cell r="F2666">
            <v>377</v>
          </cell>
        </row>
        <row r="2667">
          <cell r="A2667">
            <v>183719</v>
          </cell>
          <cell r="B2667" t="str">
            <v>Вешалка Sheffilton SHT-SUR7 В-01 хром</v>
          </cell>
          <cell r="C2667">
            <v>893.33</v>
          </cell>
          <cell r="E2667">
            <v>59</v>
          </cell>
          <cell r="F2667">
            <v>77</v>
          </cell>
        </row>
        <row r="2668">
          <cell r="A2668">
            <v>193267</v>
          </cell>
          <cell r="B2668" t="str">
            <v>Стол Sheffilton SHT-T39/110-155 SHT-T201 индийское дерево/черный</v>
          </cell>
          <cell r="C2668">
            <v>10666.67</v>
          </cell>
          <cell r="E2668">
            <v>703</v>
          </cell>
          <cell r="F2668">
            <v>914</v>
          </cell>
        </row>
        <row r="2669">
          <cell r="A2669">
            <v>193268</v>
          </cell>
          <cell r="B2669" t="str">
            <v>Стол Sheffilton SHT-T40/130-160 SHT-T202 белый глянцевый/белый</v>
          </cell>
          <cell r="C2669">
            <v>13200</v>
          </cell>
          <cell r="E2669">
            <v>870</v>
          </cell>
          <cell r="F2669">
            <v>1131</v>
          </cell>
        </row>
        <row r="2670">
          <cell r="A2670">
            <v>202919</v>
          </cell>
          <cell r="B2670" t="str">
            <v>Стол Sheffilton SHT-T40/130-160 SHT-T202 дуб аляска/черный</v>
          </cell>
          <cell r="C2670">
            <v>11533.33</v>
          </cell>
          <cell r="E2670">
            <v>760</v>
          </cell>
          <cell r="F2670">
            <v>988</v>
          </cell>
        </row>
        <row r="2671">
          <cell r="A2671">
            <v>213017</v>
          </cell>
          <cell r="B2671" t="str">
            <v>Стол Sheffilton SHT-T41/100-140 SHT-T203 браун cтоун/черный</v>
          </cell>
          <cell r="C2671">
            <v>12566.67</v>
          </cell>
          <cell r="E2671">
            <v>828</v>
          </cell>
          <cell r="F2671">
            <v>1076</v>
          </cell>
        </row>
        <row r="2672">
          <cell r="A2672">
            <v>193270</v>
          </cell>
          <cell r="B2672" t="str">
            <v>Стол Sheffilton SHT-T41/100-140 SHT-T203 статуарио венато/черный</v>
          </cell>
          <cell r="C2672">
            <v>12566.67</v>
          </cell>
          <cell r="E2672">
            <v>828</v>
          </cell>
          <cell r="F2672">
            <v>1076</v>
          </cell>
        </row>
      </sheetData>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75"/>
  <sheetViews>
    <sheetView tabSelected="1" topLeftCell="A40" zoomScale="70" zoomScaleNormal="70" workbookViewId="0">
      <selection activeCell="S4" sqref="S4"/>
    </sheetView>
  </sheetViews>
  <sheetFormatPr defaultRowHeight="12.75" x14ac:dyDescent="0.2"/>
  <cols>
    <col min="3" max="3" width="26" customWidth="1"/>
    <col min="4" max="4" width="28.42578125" customWidth="1"/>
    <col min="5" max="5" width="13" customWidth="1"/>
    <col min="6" max="6" width="13.7109375" customWidth="1"/>
    <col min="7" max="7" width="10.85546875" customWidth="1"/>
    <col min="8" max="9" width="11" customWidth="1"/>
    <col min="10" max="10" width="9" customWidth="1"/>
    <col min="11" max="11" width="11" customWidth="1"/>
    <col min="12" max="12" width="18.7109375" customWidth="1"/>
    <col min="13" max="13" width="71.5703125" customWidth="1"/>
    <col min="14" max="14" width="13.140625" style="9" customWidth="1"/>
  </cols>
  <sheetData>
    <row r="1" spans="1:14" ht="25.5" x14ac:dyDescent="0.2">
      <c r="A1" s="1" t="s">
        <v>0</v>
      </c>
      <c r="B1" s="1" t="s">
        <v>1</v>
      </c>
      <c r="C1" s="1" t="s">
        <v>2</v>
      </c>
      <c r="D1" s="1" t="s">
        <v>3</v>
      </c>
      <c r="E1" s="1" t="s">
        <v>4</v>
      </c>
      <c r="F1" s="1" t="s">
        <v>5</v>
      </c>
      <c r="G1" s="1" t="s">
        <v>6</v>
      </c>
      <c r="H1" s="1" t="s">
        <v>7</v>
      </c>
      <c r="I1" s="1" t="s">
        <v>8</v>
      </c>
      <c r="J1" s="1" t="s">
        <v>9</v>
      </c>
      <c r="K1" s="1" t="s">
        <v>10</v>
      </c>
      <c r="L1" s="1" t="s">
        <v>11</v>
      </c>
      <c r="M1" s="1" t="s">
        <v>12</v>
      </c>
      <c r="N1" s="1" t="s">
        <v>13</v>
      </c>
    </row>
    <row r="2" spans="1:14" x14ac:dyDescent="0.2">
      <c r="A2" s="1"/>
      <c r="B2" s="1"/>
      <c r="C2" s="1"/>
      <c r="D2" s="1"/>
      <c r="E2" s="1"/>
      <c r="F2" s="1"/>
      <c r="G2" s="1"/>
      <c r="H2" s="1"/>
      <c r="I2" s="1"/>
      <c r="J2" s="1"/>
      <c r="K2" s="1"/>
      <c r="L2" s="1"/>
      <c r="M2" s="1"/>
      <c r="N2" s="2"/>
    </row>
    <row r="3" spans="1:14" ht="138.6" customHeight="1" x14ac:dyDescent="0.2">
      <c r="A3" s="3">
        <v>1</v>
      </c>
      <c r="B3" s="3">
        <v>743978</v>
      </c>
      <c r="C3" s="4" t="str">
        <f>HYPERLINK("http://optservis.net:5080/photo?tov_code_internet=743978","Увеличить")</f>
        <v>Увеличить</v>
      </c>
      <c r="D3" s="3" t="s">
        <v>14</v>
      </c>
      <c r="E3" s="3" t="s">
        <v>15</v>
      </c>
      <c r="F3" s="3" t="s">
        <v>16</v>
      </c>
      <c r="G3" s="3" t="s">
        <v>17</v>
      </c>
      <c r="H3" s="3">
        <v>1</v>
      </c>
      <c r="I3" s="3">
        <v>1</v>
      </c>
      <c r="J3" s="3" t="s">
        <v>18</v>
      </c>
      <c r="K3" s="5">
        <v>0.05</v>
      </c>
      <c r="L3" s="6">
        <v>4690654993450</v>
      </c>
      <c r="M3" s="7" t="s">
        <v>19</v>
      </c>
      <c r="N3" s="8">
        <f>VLOOKUP(B3,'[1]новый без картинок'!$A$5:$F$2672,6,0)</f>
        <v>150</v>
      </c>
    </row>
    <row r="4" spans="1:14" ht="138.6" customHeight="1" x14ac:dyDescent="0.2">
      <c r="A4" s="3">
        <v>2</v>
      </c>
      <c r="B4" s="3">
        <v>743338</v>
      </c>
      <c r="C4" s="4" t="str">
        <f>HYPERLINK("http://optservis.net:5080/photo?tov_code_internet=743338","Увеличить")</f>
        <v>Увеличить</v>
      </c>
      <c r="D4" s="3" t="s">
        <v>14</v>
      </c>
      <c r="E4" s="3" t="s">
        <v>15</v>
      </c>
      <c r="F4" s="3" t="s">
        <v>20</v>
      </c>
      <c r="G4" s="3" t="s">
        <v>17</v>
      </c>
      <c r="H4" s="3">
        <v>1</v>
      </c>
      <c r="I4" s="3">
        <v>1</v>
      </c>
      <c r="J4" s="3" t="s">
        <v>18</v>
      </c>
      <c r="K4" s="5">
        <v>0.05</v>
      </c>
      <c r="L4" s="6">
        <v>4690654993443</v>
      </c>
      <c r="M4" s="7" t="s">
        <v>21</v>
      </c>
      <c r="N4" s="8">
        <f>VLOOKUP(B4,'[1]новый без картинок'!$A$5:$F$2672,6,0)</f>
        <v>142</v>
      </c>
    </row>
    <row r="5" spans="1:14" ht="138.6" customHeight="1" x14ac:dyDescent="0.2">
      <c r="A5" s="3">
        <v>3</v>
      </c>
      <c r="B5" s="3">
        <v>743340</v>
      </c>
      <c r="C5" s="4" t="str">
        <f>HYPERLINK("http://optservis.net:5080/photo?tov_code_internet=743340","Увеличить")</f>
        <v>Увеличить</v>
      </c>
      <c r="D5" s="3" t="s">
        <v>22</v>
      </c>
      <c r="E5" s="3" t="s">
        <v>23</v>
      </c>
      <c r="F5" s="3" t="s">
        <v>16</v>
      </c>
      <c r="G5" s="3" t="s">
        <v>17</v>
      </c>
      <c r="H5" s="3">
        <v>1</v>
      </c>
      <c r="I5" s="3">
        <v>1</v>
      </c>
      <c r="J5" s="3" t="s">
        <v>18</v>
      </c>
      <c r="K5" s="5">
        <v>0.04</v>
      </c>
      <c r="L5" s="6">
        <v>4690654993474</v>
      </c>
      <c r="M5" s="7" t="s">
        <v>24</v>
      </c>
      <c r="N5" s="8">
        <f>VLOOKUP(B5,'[1]новый без картинок'!$A$5:$F$2672,6,0)</f>
        <v>143</v>
      </c>
    </row>
    <row r="6" spans="1:14" ht="138.6" customHeight="1" x14ac:dyDescent="0.2">
      <c r="A6" s="3">
        <v>4</v>
      </c>
      <c r="B6" s="3">
        <v>743344</v>
      </c>
      <c r="C6" s="4" t="str">
        <f>HYPERLINK("http://optservis.net:5080/photo?tov_code_internet=743344","Увеличить")</f>
        <v>Увеличить</v>
      </c>
      <c r="D6" s="3" t="s">
        <v>22</v>
      </c>
      <c r="E6" s="3" t="s">
        <v>23</v>
      </c>
      <c r="F6" s="3" t="s">
        <v>20</v>
      </c>
      <c r="G6" s="3" t="s">
        <v>17</v>
      </c>
      <c r="H6" s="3">
        <v>1</v>
      </c>
      <c r="I6" s="3">
        <v>1</v>
      </c>
      <c r="J6" s="3" t="s">
        <v>18</v>
      </c>
      <c r="K6" s="5">
        <v>0.04</v>
      </c>
      <c r="L6" s="6">
        <v>4690654993467</v>
      </c>
      <c r="M6" s="7" t="s">
        <v>24</v>
      </c>
      <c r="N6" s="8">
        <f>VLOOKUP(B6,'[1]новый без картинок'!$A$5:$F$2672,6,0)</f>
        <v>150</v>
      </c>
    </row>
    <row r="7" spans="1:14" ht="138.6" customHeight="1" x14ac:dyDescent="0.2">
      <c r="A7" s="3">
        <v>5</v>
      </c>
      <c r="B7" s="3">
        <v>743348</v>
      </c>
      <c r="C7" s="4" t="str">
        <f>HYPERLINK("http://optservis.net:5080/photo?tov_code_internet=743348","Увеличить")</f>
        <v>Увеличить</v>
      </c>
      <c r="D7" s="3" t="s">
        <v>25</v>
      </c>
      <c r="E7" s="3" t="s">
        <v>26</v>
      </c>
      <c r="F7" s="3" t="s">
        <v>16</v>
      </c>
      <c r="G7" s="3" t="s">
        <v>17</v>
      </c>
      <c r="H7" s="3">
        <v>1</v>
      </c>
      <c r="I7" s="3">
        <v>1</v>
      </c>
      <c r="J7" s="3" t="s">
        <v>18</v>
      </c>
      <c r="K7" s="5">
        <v>0.04</v>
      </c>
      <c r="L7" s="6">
        <v>4690654993498</v>
      </c>
      <c r="M7" s="7" t="s">
        <v>27</v>
      </c>
      <c r="N7" s="8">
        <f>VLOOKUP(B7,'[1]новый без картинок'!$A$5:$F$2672,6,0)</f>
        <v>134</v>
      </c>
    </row>
    <row r="8" spans="1:14" ht="138.6" customHeight="1" x14ac:dyDescent="0.2">
      <c r="A8" s="3">
        <v>6</v>
      </c>
      <c r="B8" s="3">
        <v>743346</v>
      </c>
      <c r="C8" s="4" t="str">
        <f>HYPERLINK("http://optservis.net:5080/photo?tov_code_internet=743346","Увеличить")</f>
        <v>Увеличить</v>
      </c>
      <c r="D8" s="3" t="s">
        <v>25</v>
      </c>
      <c r="E8" s="3" t="s">
        <v>26</v>
      </c>
      <c r="F8" s="3" t="s">
        <v>20</v>
      </c>
      <c r="G8" s="3" t="s">
        <v>17</v>
      </c>
      <c r="H8" s="3">
        <v>1</v>
      </c>
      <c r="I8" s="3">
        <v>1</v>
      </c>
      <c r="J8" s="3" t="s">
        <v>18</v>
      </c>
      <c r="K8" s="5">
        <v>0.04</v>
      </c>
      <c r="L8" s="6">
        <v>4690654993481</v>
      </c>
      <c r="M8" s="7" t="s">
        <v>27</v>
      </c>
      <c r="N8" s="8">
        <f>VLOOKUP(B8,'[1]новый без картинок'!$A$5:$F$2672,6,0)</f>
        <v>143</v>
      </c>
    </row>
    <row r="9" spans="1:14" ht="151.15" customHeight="1" x14ac:dyDescent="0.2">
      <c r="A9" s="3">
        <v>7</v>
      </c>
      <c r="B9" s="3">
        <v>981569</v>
      </c>
      <c r="C9" s="4" t="str">
        <f>HYPERLINK("http://optservis.net:5080/photo?tov_code_internet=981569","Увеличить")</f>
        <v>Увеличить</v>
      </c>
      <c r="D9" s="3" t="s">
        <v>28</v>
      </c>
      <c r="E9" s="3" t="s">
        <v>29</v>
      </c>
      <c r="F9" s="3" t="s">
        <v>30</v>
      </c>
      <c r="G9" s="3" t="s">
        <v>31</v>
      </c>
      <c r="H9" s="3">
        <v>1</v>
      </c>
      <c r="I9" s="3">
        <v>1</v>
      </c>
      <c r="J9" s="3" t="s">
        <v>18</v>
      </c>
      <c r="K9" s="5">
        <v>0.08</v>
      </c>
      <c r="L9" s="6">
        <v>4640020778112</v>
      </c>
      <c r="M9" s="7" t="s">
        <v>32</v>
      </c>
      <c r="N9" s="8">
        <f>VLOOKUP(B9,'[1]новый без картинок'!$A$5:$F$2672,6,0)</f>
        <v>334</v>
      </c>
    </row>
    <row r="10" spans="1:14" ht="151.15" customHeight="1" x14ac:dyDescent="0.2">
      <c r="A10" s="3">
        <v>8</v>
      </c>
      <c r="B10" s="3">
        <v>981570</v>
      </c>
      <c r="C10" s="4" t="str">
        <f>HYPERLINK("http://optservis.net:5080/photo?tov_code_internet=981570","Увеличить")</f>
        <v>Увеличить</v>
      </c>
      <c r="D10" s="3" t="s">
        <v>28</v>
      </c>
      <c r="E10" s="3" t="s">
        <v>29</v>
      </c>
      <c r="F10" s="3" t="s">
        <v>33</v>
      </c>
      <c r="G10" s="3" t="s">
        <v>31</v>
      </c>
      <c r="H10" s="3">
        <v>1</v>
      </c>
      <c r="I10" s="3">
        <v>1</v>
      </c>
      <c r="J10" s="3" t="s">
        <v>18</v>
      </c>
      <c r="K10" s="5">
        <v>0.08</v>
      </c>
      <c r="L10" s="6">
        <v>4640020778129</v>
      </c>
      <c r="M10" s="7" t="s">
        <v>32</v>
      </c>
      <c r="N10" s="8">
        <f>VLOOKUP(B10,'[1]новый без картинок'!$A$5:$F$2672,6,0)</f>
        <v>330</v>
      </c>
    </row>
    <row r="11" spans="1:14" ht="151.15" customHeight="1" x14ac:dyDescent="0.2">
      <c r="A11" s="3">
        <v>9</v>
      </c>
      <c r="B11" s="3">
        <v>985633</v>
      </c>
      <c r="C11" s="4" t="str">
        <f>HYPERLINK("http://optservis.net:5080/photo?tov_code_internet=985633","Увеличить")</f>
        <v>Увеличить</v>
      </c>
      <c r="D11" s="3" t="s">
        <v>28</v>
      </c>
      <c r="E11" s="3" t="s">
        <v>29</v>
      </c>
      <c r="F11" s="3" t="s">
        <v>34</v>
      </c>
      <c r="G11" s="3" t="s">
        <v>31</v>
      </c>
      <c r="H11" s="3">
        <v>1</v>
      </c>
      <c r="I11" s="3">
        <v>1</v>
      </c>
      <c r="J11" s="3" t="s">
        <v>18</v>
      </c>
      <c r="K11" s="5">
        <v>0.08</v>
      </c>
      <c r="L11" s="6">
        <v>4640020778464</v>
      </c>
      <c r="M11" s="7" t="s">
        <v>32</v>
      </c>
      <c r="N11" s="8">
        <f>VLOOKUP(B11,'[1]новый без картинок'!$A$5:$F$2672,6,0)</f>
        <v>320</v>
      </c>
    </row>
    <row r="12" spans="1:14" ht="149.44999999999999" customHeight="1" x14ac:dyDescent="0.2">
      <c r="A12" s="3">
        <v>10</v>
      </c>
      <c r="B12" s="3">
        <v>956167</v>
      </c>
      <c r="C12" s="4" t="str">
        <f>HYPERLINK("http://optservis.net:5080/photo?tov_code_internet=956167","Увеличить")</f>
        <v>Увеличить</v>
      </c>
      <c r="D12" s="3" t="s">
        <v>35</v>
      </c>
      <c r="E12" s="3" t="s">
        <v>36</v>
      </c>
      <c r="F12" s="3" t="s">
        <v>30</v>
      </c>
      <c r="G12" s="3" t="s">
        <v>31</v>
      </c>
      <c r="H12" s="3">
        <v>1</v>
      </c>
      <c r="I12" s="3">
        <v>1</v>
      </c>
      <c r="J12" s="3" t="s">
        <v>18</v>
      </c>
      <c r="K12" s="5">
        <v>0.04</v>
      </c>
      <c r="L12" s="6">
        <v>4640020775968</v>
      </c>
      <c r="M12" s="7" t="s">
        <v>37</v>
      </c>
      <c r="N12" s="8">
        <f>VLOOKUP(B12,'[1]новый без картинок'!$A$5:$F$2672,6,0)</f>
        <v>185</v>
      </c>
    </row>
    <row r="13" spans="1:14" ht="151.15" customHeight="1" x14ac:dyDescent="0.2">
      <c r="A13" s="3">
        <v>11</v>
      </c>
      <c r="B13" s="3">
        <v>985634</v>
      </c>
      <c r="C13" s="4" t="str">
        <f>HYPERLINK("http://optservis.net:5080/photo?tov_code_internet=985634","Увеличить")</f>
        <v>Увеличить</v>
      </c>
      <c r="D13" s="3" t="s">
        <v>35</v>
      </c>
      <c r="E13" s="3" t="s">
        <v>36</v>
      </c>
      <c r="F13" s="3" t="s">
        <v>34</v>
      </c>
      <c r="G13" s="3" t="s">
        <v>31</v>
      </c>
      <c r="H13" s="3">
        <v>1</v>
      </c>
      <c r="I13" s="3">
        <v>1</v>
      </c>
      <c r="J13" s="3" t="s">
        <v>18</v>
      </c>
      <c r="K13" s="5">
        <v>0.04</v>
      </c>
      <c r="L13" s="6">
        <v>4640020778471</v>
      </c>
      <c r="M13" s="7" t="s">
        <v>37</v>
      </c>
      <c r="N13" s="8">
        <f>VLOOKUP(B13,'[1]новый без картинок'!$A$5:$F$2672,6,0)</f>
        <v>173</v>
      </c>
    </row>
    <row r="14" spans="1:14" ht="151.15" customHeight="1" x14ac:dyDescent="0.2">
      <c r="A14" s="3">
        <v>12</v>
      </c>
      <c r="B14" s="3">
        <v>956166</v>
      </c>
      <c r="C14" s="4" t="str">
        <f>HYPERLINK("http://optservis.net:5080/photo?tov_code_internet=956166","Увеличить")</f>
        <v>Увеличить</v>
      </c>
      <c r="D14" s="3" t="s">
        <v>35</v>
      </c>
      <c r="E14" s="3" t="s">
        <v>38</v>
      </c>
      <c r="F14" s="3" t="s">
        <v>33</v>
      </c>
      <c r="G14" s="3" t="s">
        <v>31</v>
      </c>
      <c r="H14" s="3">
        <v>1</v>
      </c>
      <c r="I14" s="3">
        <v>1</v>
      </c>
      <c r="J14" s="3" t="s">
        <v>18</v>
      </c>
      <c r="K14" s="5">
        <v>0.04</v>
      </c>
      <c r="L14" s="6">
        <v>4640020775975</v>
      </c>
      <c r="M14" s="7" t="s">
        <v>37</v>
      </c>
      <c r="N14" s="8">
        <f>VLOOKUP(B14,'[1]новый без картинок'!$A$5:$F$2672,6,0)</f>
        <v>185</v>
      </c>
    </row>
    <row r="15" spans="1:14" ht="138.6" customHeight="1" x14ac:dyDescent="0.2">
      <c r="A15" s="3">
        <v>13</v>
      </c>
      <c r="B15" s="3">
        <v>883940</v>
      </c>
      <c r="C15" s="4" t="str">
        <f>HYPERLINK("http://optservis.net:5080/photo?tov_code_internet=883940","Увеличить")</f>
        <v>Увеличить</v>
      </c>
      <c r="D15" s="3" t="s">
        <v>39</v>
      </c>
      <c r="E15" s="3" t="s">
        <v>40</v>
      </c>
      <c r="F15" s="3" t="s">
        <v>20</v>
      </c>
      <c r="G15" s="3" t="s">
        <v>17</v>
      </c>
      <c r="H15" s="3">
        <v>1</v>
      </c>
      <c r="I15" s="3">
        <v>1</v>
      </c>
      <c r="J15" s="3" t="s">
        <v>18</v>
      </c>
      <c r="K15" s="5">
        <v>0.03</v>
      </c>
      <c r="L15" s="6">
        <v>4690654998981</v>
      </c>
      <c r="M15" s="7" t="s">
        <v>41</v>
      </c>
      <c r="N15" s="8">
        <f>VLOOKUP(B15,'[1]новый без картинок'!$A$5:$F$2672,6,0)</f>
        <v>27</v>
      </c>
    </row>
    <row r="16" spans="1:14" ht="138.6" customHeight="1" x14ac:dyDescent="0.2">
      <c r="A16" s="3">
        <v>14</v>
      </c>
      <c r="B16" s="3">
        <v>190332</v>
      </c>
      <c r="C16" s="4" t="str">
        <f>HYPERLINK("http://optservis.net:5080/photo?tov_code_internet=190332","Увеличить")</f>
        <v>Увеличить</v>
      </c>
      <c r="D16" s="3" t="s">
        <v>42</v>
      </c>
      <c r="E16" s="3" t="s">
        <v>43</v>
      </c>
      <c r="F16" s="3" t="s">
        <v>44</v>
      </c>
      <c r="G16" s="3" t="s">
        <v>17</v>
      </c>
      <c r="H16" s="3">
        <v>6</v>
      </c>
      <c r="I16" s="3">
        <v>1</v>
      </c>
      <c r="J16" s="3" t="s">
        <v>18</v>
      </c>
      <c r="K16" s="5">
        <v>0.05</v>
      </c>
      <c r="L16" s="6">
        <v>4607052132268</v>
      </c>
      <c r="M16" s="7" t="s">
        <v>45</v>
      </c>
      <c r="N16" s="8">
        <f>VLOOKUP(B16,'[1]новый без картинок'!$A$5:$F$2672,6,0)</f>
        <v>33</v>
      </c>
    </row>
    <row r="17" spans="1:14" ht="138.6" customHeight="1" x14ac:dyDescent="0.2">
      <c r="A17" s="3">
        <v>15</v>
      </c>
      <c r="B17" s="3">
        <v>190333</v>
      </c>
      <c r="C17" s="4" t="str">
        <f>HYPERLINK("http://optservis.net:5080/photo?tov_code_internet=190333","Увеличить")</f>
        <v>Увеличить</v>
      </c>
      <c r="D17" s="3" t="s">
        <v>42</v>
      </c>
      <c r="E17" s="3" t="s">
        <v>43</v>
      </c>
      <c r="F17" s="3" t="s">
        <v>46</v>
      </c>
      <c r="G17" s="3" t="s">
        <v>17</v>
      </c>
      <c r="H17" s="3">
        <v>6</v>
      </c>
      <c r="I17" s="3">
        <v>1</v>
      </c>
      <c r="J17" s="3" t="s">
        <v>18</v>
      </c>
      <c r="K17" s="5">
        <v>0.05</v>
      </c>
      <c r="L17" s="6">
        <v>4607052132275</v>
      </c>
      <c r="M17" s="7" t="s">
        <v>47</v>
      </c>
      <c r="N17" s="8">
        <f>VLOOKUP(B17,'[1]новый без картинок'!$A$5:$F$2672,6,0)</f>
        <v>33</v>
      </c>
    </row>
    <row r="18" spans="1:14" ht="138.6" customHeight="1" x14ac:dyDescent="0.2">
      <c r="A18" s="3">
        <v>16</v>
      </c>
      <c r="B18" s="3">
        <v>926509</v>
      </c>
      <c r="C18" s="4" t="str">
        <f>HYPERLINK("http://optservis.net:5080/photo?tov_code_internet=926509","Увеличить")</f>
        <v>Увеличить</v>
      </c>
      <c r="D18" s="3" t="s">
        <v>48</v>
      </c>
      <c r="E18" s="3" t="s">
        <v>49</v>
      </c>
      <c r="F18" s="3" t="s">
        <v>20</v>
      </c>
      <c r="G18" s="3" t="s">
        <v>17</v>
      </c>
      <c r="H18" s="3">
        <v>5</v>
      </c>
      <c r="I18" s="3">
        <v>1</v>
      </c>
      <c r="J18" s="3" t="s">
        <v>18</v>
      </c>
      <c r="K18" s="5">
        <v>0.04</v>
      </c>
      <c r="L18" s="6">
        <v>4640020772707</v>
      </c>
      <c r="M18" s="7" t="s">
        <v>50</v>
      </c>
      <c r="N18" s="8">
        <f>VLOOKUP(B18,'[1]новый без картинок'!$A$5:$F$2672,6,0)</f>
        <v>22</v>
      </c>
    </row>
    <row r="19" spans="1:14" ht="138.6" customHeight="1" x14ac:dyDescent="0.2">
      <c r="A19" s="3">
        <v>17</v>
      </c>
      <c r="B19" s="3">
        <v>784778</v>
      </c>
      <c r="C19" s="4" t="str">
        <f>HYPERLINK("http://optservis.net:5080/photo?tov_code_internet=784778","Увеличить")</f>
        <v>Увеличить</v>
      </c>
      <c r="D19" s="3" t="s">
        <v>51</v>
      </c>
      <c r="E19" s="3" t="s">
        <v>52</v>
      </c>
      <c r="F19" s="3" t="s">
        <v>53</v>
      </c>
      <c r="G19" s="3" t="s">
        <v>17</v>
      </c>
      <c r="H19" s="3">
        <v>1</v>
      </c>
      <c r="I19" s="3">
        <v>1</v>
      </c>
      <c r="J19" s="3" t="s">
        <v>18</v>
      </c>
      <c r="K19" s="5">
        <v>0.05</v>
      </c>
      <c r="L19" s="6">
        <v>4690654995553</v>
      </c>
      <c r="M19" s="7" t="s">
        <v>54</v>
      </c>
      <c r="N19" s="8">
        <f>VLOOKUP(B19,'[1]новый без картинок'!$A$5:$F$2672,6,0)</f>
        <v>39</v>
      </c>
    </row>
    <row r="20" spans="1:14" ht="138.6" customHeight="1" x14ac:dyDescent="0.2">
      <c r="A20" s="3">
        <v>18</v>
      </c>
      <c r="B20" s="3">
        <v>816019</v>
      </c>
      <c r="C20" s="4" t="str">
        <f>HYPERLINK("http://optservis.net:5080/photo?tov_code_internet=816019","Увеличить")</f>
        <v>Увеличить</v>
      </c>
      <c r="D20" s="3" t="s">
        <v>51</v>
      </c>
      <c r="E20" s="3" t="s">
        <v>52</v>
      </c>
      <c r="F20" s="3" t="s">
        <v>55</v>
      </c>
      <c r="G20" s="3" t="s">
        <v>17</v>
      </c>
      <c r="H20" s="3">
        <v>1</v>
      </c>
      <c r="I20" s="3">
        <v>1</v>
      </c>
      <c r="J20" s="3" t="s">
        <v>18</v>
      </c>
      <c r="K20" s="5">
        <v>0.05</v>
      </c>
      <c r="L20" s="6">
        <v>4690654994273</v>
      </c>
      <c r="M20" s="7" t="s">
        <v>54</v>
      </c>
      <c r="N20" s="8">
        <f>VLOOKUP(B20,'[1]новый без картинок'!$A$5:$F$2672,6,0)</f>
        <v>38</v>
      </c>
    </row>
    <row r="21" spans="1:14" ht="138.6" customHeight="1" x14ac:dyDescent="0.2">
      <c r="A21" s="3">
        <v>19</v>
      </c>
      <c r="B21" s="3">
        <v>963117</v>
      </c>
      <c r="C21" s="4" t="str">
        <f>HYPERLINK("http://optservis.net:5080/photo?tov_code_internet=963117","Увеличить")</f>
        <v>Увеличить</v>
      </c>
      <c r="D21" s="3" t="s">
        <v>56</v>
      </c>
      <c r="E21" s="3" t="s">
        <v>57</v>
      </c>
      <c r="F21" s="3" t="s">
        <v>58</v>
      </c>
      <c r="G21" s="3" t="s">
        <v>59</v>
      </c>
      <c r="H21" s="3">
        <v>2</v>
      </c>
      <c r="I21" s="3">
        <v>1</v>
      </c>
      <c r="J21" s="3" t="s">
        <v>18</v>
      </c>
      <c r="K21" s="5">
        <v>0.01</v>
      </c>
      <c r="L21" s="6">
        <v>4640020776644</v>
      </c>
      <c r="M21" s="7" t="s">
        <v>60</v>
      </c>
      <c r="N21" s="8">
        <f>VLOOKUP(B21,'[1]новый без картинок'!$A$5:$F$2672,6,0)</f>
        <v>33</v>
      </c>
    </row>
    <row r="22" spans="1:14" ht="151.15" customHeight="1" x14ac:dyDescent="0.2">
      <c r="A22" s="3">
        <v>20</v>
      </c>
      <c r="B22" s="3">
        <v>963116</v>
      </c>
      <c r="C22" s="4" t="str">
        <f>HYPERLINK("http://optservis.net:5080/photo?tov_code_internet=963116","Увеличить")</f>
        <v>Увеличить</v>
      </c>
      <c r="D22" s="3" t="s">
        <v>56</v>
      </c>
      <c r="E22" s="3" t="s">
        <v>57</v>
      </c>
      <c r="F22" s="3" t="s">
        <v>61</v>
      </c>
      <c r="G22" s="3" t="s">
        <v>59</v>
      </c>
      <c r="H22" s="3">
        <v>2</v>
      </c>
      <c r="I22" s="3">
        <v>1</v>
      </c>
      <c r="J22" s="3" t="s">
        <v>18</v>
      </c>
      <c r="K22" s="5">
        <v>0.01</v>
      </c>
      <c r="L22" s="6">
        <v>4640020776637</v>
      </c>
      <c r="M22" s="7" t="s">
        <v>62</v>
      </c>
      <c r="N22" s="8">
        <f>VLOOKUP(B22,'[1]новый без картинок'!$A$5:$F$2672,6,0)</f>
        <v>33</v>
      </c>
    </row>
    <row r="23" spans="1:14" ht="138.6" customHeight="1" x14ac:dyDescent="0.2">
      <c r="A23" s="3">
        <v>21</v>
      </c>
      <c r="B23" s="3">
        <v>963114</v>
      </c>
      <c r="C23" s="4" t="str">
        <f>HYPERLINK("http://optservis.net:5080/photo?tov_code_internet=963114","Увеличить")</f>
        <v>Увеличить</v>
      </c>
      <c r="D23" s="3" t="s">
        <v>63</v>
      </c>
      <c r="E23" s="3" t="s">
        <v>64</v>
      </c>
      <c r="F23" s="3" t="s">
        <v>58</v>
      </c>
      <c r="G23" s="3" t="s">
        <v>59</v>
      </c>
      <c r="H23" s="3">
        <v>1</v>
      </c>
      <c r="I23" s="3">
        <v>1</v>
      </c>
      <c r="J23" s="3" t="s">
        <v>18</v>
      </c>
      <c r="K23" s="5">
        <v>0.01</v>
      </c>
      <c r="L23" s="6">
        <v>4640020776613</v>
      </c>
      <c r="M23" s="7" t="s">
        <v>65</v>
      </c>
      <c r="N23" s="8">
        <f>VLOOKUP(B23,'[1]новый без картинок'!$A$5:$F$2672,6,0)</f>
        <v>75</v>
      </c>
    </row>
    <row r="24" spans="1:14" ht="151.15" customHeight="1" x14ac:dyDescent="0.2">
      <c r="A24" s="3">
        <v>22</v>
      </c>
      <c r="B24" s="3">
        <v>971560</v>
      </c>
      <c r="C24" s="4" t="str">
        <f>HYPERLINK("http://optservis.net:5080/photo?tov_code_internet=971560","Увеличить")</f>
        <v>Увеличить</v>
      </c>
      <c r="D24" s="3" t="s">
        <v>66</v>
      </c>
      <c r="E24" s="3" t="s">
        <v>67</v>
      </c>
      <c r="F24" s="3" t="s">
        <v>68</v>
      </c>
      <c r="G24" s="3" t="s">
        <v>17</v>
      </c>
      <c r="H24" s="3">
        <v>4</v>
      </c>
      <c r="I24" s="3">
        <v>1</v>
      </c>
      <c r="J24" s="3" t="s">
        <v>18</v>
      </c>
      <c r="K24" s="5">
        <v>0.01</v>
      </c>
      <c r="L24" s="6">
        <v>4640020777290</v>
      </c>
      <c r="M24" s="7" t="s">
        <v>69</v>
      </c>
      <c r="N24" s="8">
        <f>VLOOKUP(B24,'[1]новый без картинок'!$A$5:$F$2672,6,0)</f>
        <v>16</v>
      </c>
    </row>
    <row r="25" spans="1:14" ht="151.15" customHeight="1" x14ac:dyDescent="0.2">
      <c r="A25" s="3">
        <v>23</v>
      </c>
      <c r="B25" s="3">
        <v>971562</v>
      </c>
      <c r="C25" s="4" t="str">
        <f>HYPERLINK("http://optservis.net:5080/photo?tov_code_internet=971562","Увеличить")</f>
        <v>Увеличить</v>
      </c>
      <c r="D25" s="3" t="s">
        <v>66</v>
      </c>
      <c r="E25" s="3" t="s">
        <v>67</v>
      </c>
      <c r="F25" s="3" t="s">
        <v>70</v>
      </c>
      <c r="G25" s="3" t="s">
        <v>17</v>
      </c>
      <c r="H25" s="3">
        <v>4</v>
      </c>
      <c r="I25" s="3">
        <v>1</v>
      </c>
      <c r="J25" s="3" t="s">
        <v>18</v>
      </c>
      <c r="K25" s="5">
        <v>0.01</v>
      </c>
      <c r="L25" s="6">
        <v>4640020777306</v>
      </c>
      <c r="M25" s="7" t="s">
        <v>69</v>
      </c>
      <c r="N25" s="8">
        <f>VLOOKUP(B25,'[1]новый без картинок'!$A$5:$F$2672,6,0)</f>
        <v>16</v>
      </c>
    </row>
    <row r="26" spans="1:14" ht="151.15" customHeight="1" x14ac:dyDescent="0.2">
      <c r="A26" s="3">
        <v>24</v>
      </c>
      <c r="B26" s="3">
        <v>971561</v>
      </c>
      <c r="C26" s="4" t="str">
        <f>HYPERLINK("http://optservis.net:5080/photo?tov_code_internet=971561","Увеличить")</f>
        <v>Увеличить</v>
      </c>
      <c r="D26" s="3" t="s">
        <v>66</v>
      </c>
      <c r="E26" s="3" t="s">
        <v>67</v>
      </c>
      <c r="F26" s="3" t="s">
        <v>71</v>
      </c>
      <c r="G26" s="3" t="s">
        <v>17</v>
      </c>
      <c r="H26" s="3">
        <v>4</v>
      </c>
      <c r="I26" s="3">
        <v>1</v>
      </c>
      <c r="J26" s="3" t="s">
        <v>18</v>
      </c>
      <c r="K26" s="5">
        <v>0.01</v>
      </c>
      <c r="L26" s="6">
        <v>4640020777313</v>
      </c>
      <c r="M26" s="7" t="s">
        <v>69</v>
      </c>
      <c r="N26" s="8">
        <f>VLOOKUP(B26,'[1]новый без картинок'!$A$5:$F$2672,6,0)</f>
        <v>16</v>
      </c>
    </row>
    <row r="27" spans="1:14" ht="151.15" customHeight="1" x14ac:dyDescent="0.2">
      <c r="A27" s="3">
        <v>25</v>
      </c>
      <c r="B27" s="3">
        <v>971565</v>
      </c>
      <c r="C27" s="4" t="str">
        <f>HYPERLINK("http://optservis.net:5080/photo?tov_code_internet=971565","Увеличить")</f>
        <v>Увеличить</v>
      </c>
      <c r="D27" s="3" t="s">
        <v>72</v>
      </c>
      <c r="E27" s="3" t="s">
        <v>73</v>
      </c>
      <c r="F27" s="3" t="s">
        <v>68</v>
      </c>
      <c r="G27" s="3" t="s">
        <v>17</v>
      </c>
      <c r="H27" s="3">
        <v>4</v>
      </c>
      <c r="I27" s="3">
        <v>1</v>
      </c>
      <c r="J27" s="3" t="s">
        <v>18</v>
      </c>
      <c r="K27" s="5">
        <v>0.01</v>
      </c>
      <c r="L27" s="6">
        <v>4640020777320</v>
      </c>
      <c r="M27" s="7" t="s">
        <v>69</v>
      </c>
      <c r="N27" s="8">
        <f>VLOOKUP(B27,'[1]новый без картинок'!$A$5:$F$2672,6,0)</f>
        <v>18</v>
      </c>
    </row>
    <row r="28" spans="1:14" ht="151.15" customHeight="1" x14ac:dyDescent="0.2">
      <c r="A28" s="3">
        <v>26</v>
      </c>
      <c r="B28" s="3">
        <v>971563</v>
      </c>
      <c r="C28" s="4" t="str">
        <f>HYPERLINK("http://optservis.net:5080/photo?tov_code_internet=971563","Увеличить")</f>
        <v>Увеличить</v>
      </c>
      <c r="D28" s="3" t="s">
        <v>72</v>
      </c>
      <c r="E28" s="3" t="s">
        <v>73</v>
      </c>
      <c r="F28" s="3" t="s">
        <v>70</v>
      </c>
      <c r="G28" s="3" t="s">
        <v>17</v>
      </c>
      <c r="H28" s="3">
        <v>4</v>
      </c>
      <c r="I28" s="3">
        <v>1</v>
      </c>
      <c r="J28" s="3" t="s">
        <v>18</v>
      </c>
      <c r="K28" s="5">
        <v>0.01</v>
      </c>
      <c r="L28" s="6">
        <v>4640020777337</v>
      </c>
      <c r="M28" s="7" t="s">
        <v>69</v>
      </c>
      <c r="N28" s="8">
        <f>VLOOKUP(B28,'[1]новый без картинок'!$A$5:$F$2672,6,0)</f>
        <v>18</v>
      </c>
    </row>
    <row r="29" spans="1:14" ht="151.15" customHeight="1" x14ac:dyDescent="0.2">
      <c r="A29" s="3">
        <v>27</v>
      </c>
      <c r="B29" s="3">
        <v>971564</v>
      </c>
      <c r="C29" s="4" t="str">
        <f>HYPERLINK("http://optservis.net:5080/photo?tov_code_internet=971564","Увеличить")</f>
        <v>Увеличить</v>
      </c>
      <c r="D29" s="3" t="s">
        <v>72</v>
      </c>
      <c r="E29" s="3" t="s">
        <v>73</v>
      </c>
      <c r="F29" s="3" t="s">
        <v>71</v>
      </c>
      <c r="G29" s="3" t="s">
        <v>17</v>
      </c>
      <c r="H29" s="3">
        <v>4</v>
      </c>
      <c r="I29" s="3">
        <v>1</v>
      </c>
      <c r="J29" s="3" t="s">
        <v>18</v>
      </c>
      <c r="K29" s="5">
        <v>0.01</v>
      </c>
      <c r="L29" s="6">
        <v>4640020777344</v>
      </c>
      <c r="M29" s="7" t="s">
        <v>69</v>
      </c>
      <c r="N29" s="8">
        <f>VLOOKUP(B29,'[1]новый без картинок'!$A$5:$F$2672,6,0)</f>
        <v>18</v>
      </c>
    </row>
    <row r="30" spans="1:14" ht="151.15" customHeight="1" x14ac:dyDescent="0.2">
      <c r="A30" s="3">
        <v>28</v>
      </c>
      <c r="B30" s="3">
        <v>971568</v>
      </c>
      <c r="C30" s="4" t="str">
        <f>HYPERLINK("http://optservis.net:5080/photo?tov_code_internet=971568","Увеличить")</f>
        <v>Увеличить</v>
      </c>
      <c r="D30" s="3" t="s">
        <v>74</v>
      </c>
      <c r="E30" s="3" t="s">
        <v>75</v>
      </c>
      <c r="F30" s="3" t="s">
        <v>70</v>
      </c>
      <c r="G30" s="3" t="s">
        <v>17</v>
      </c>
      <c r="H30" s="3">
        <v>4</v>
      </c>
      <c r="I30" s="3">
        <v>1</v>
      </c>
      <c r="J30" s="3" t="s">
        <v>18</v>
      </c>
      <c r="K30" s="5">
        <v>0.02</v>
      </c>
      <c r="L30" s="6">
        <v>4640020777368</v>
      </c>
      <c r="M30" s="7" t="s">
        <v>69</v>
      </c>
      <c r="N30" s="8">
        <f>VLOOKUP(B30,'[1]новый без картинок'!$A$5:$F$2672,6,0)</f>
        <v>21</v>
      </c>
    </row>
    <row r="31" spans="1:14" ht="151.15" customHeight="1" x14ac:dyDescent="0.2">
      <c r="A31" s="3">
        <v>29</v>
      </c>
      <c r="B31" s="3">
        <v>971567</v>
      </c>
      <c r="C31" s="4" t="str">
        <f>HYPERLINK("http://optservis.net:5080/photo?tov_code_internet=971567","Увеличить")</f>
        <v>Увеличить</v>
      </c>
      <c r="D31" s="3" t="s">
        <v>74</v>
      </c>
      <c r="E31" s="3" t="s">
        <v>75</v>
      </c>
      <c r="F31" s="3" t="s">
        <v>71</v>
      </c>
      <c r="G31" s="3" t="s">
        <v>17</v>
      </c>
      <c r="H31" s="3">
        <v>4</v>
      </c>
      <c r="I31" s="3">
        <v>1</v>
      </c>
      <c r="J31" s="3" t="s">
        <v>18</v>
      </c>
      <c r="K31" s="5">
        <v>0.02</v>
      </c>
      <c r="L31" s="6">
        <v>4640020777375</v>
      </c>
      <c r="M31" s="7" t="s">
        <v>69</v>
      </c>
      <c r="N31" s="8">
        <f>VLOOKUP(B31,'[1]новый без картинок'!$A$5:$F$2672,6,0)</f>
        <v>21</v>
      </c>
    </row>
    <row r="32" spans="1:14" ht="138.6" customHeight="1" x14ac:dyDescent="0.2">
      <c r="A32" s="3">
        <v>30</v>
      </c>
      <c r="B32" s="3">
        <v>149943</v>
      </c>
      <c r="C32" s="4" t="str">
        <f>HYPERLINK("http://optservis.net:5080/photo?tov_code_internet=149943","Увеличить")</f>
        <v>Увеличить</v>
      </c>
      <c r="D32" s="3" t="s">
        <v>76</v>
      </c>
      <c r="E32" s="3" t="s">
        <v>77</v>
      </c>
      <c r="F32" s="3" t="s">
        <v>71</v>
      </c>
      <c r="G32" s="3" t="s">
        <v>17</v>
      </c>
      <c r="H32" s="3">
        <v>4</v>
      </c>
      <c r="I32" s="3">
        <v>1</v>
      </c>
      <c r="J32" s="3" t="s">
        <v>18</v>
      </c>
      <c r="K32" s="5">
        <v>0.01</v>
      </c>
      <c r="L32" s="6">
        <v>4690654005443</v>
      </c>
      <c r="M32" s="7" t="s">
        <v>78</v>
      </c>
      <c r="N32" s="8">
        <f>VLOOKUP(B32,'[1]новый без картинок'!$A$5:$F$2672,6,0)</f>
        <v>20</v>
      </c>
    </row>
    <row r="33" spans="1:14" ht="149.44999999999999" customHeight="1" x14ac:dyDescent="0.2">
      <c r="A33" s="3">
        <v>31</v>
      </c>
      <c r="B33" s="3">
        <v>149945</v>
      </c>
      <c r="C33" s="4" t="str">
        <f>HYPERLINK("http://optservis.net:5080/photo?tov_code_internet=149945","Увеличить")</f>
        <v>Увеличить</v>
      </c>
      <c r="D33" s="3" t="s">
        <v>79</v>
      </c>
      <c r="E33" s="3" t="s">
        <v>80</v>
      </c>
      <c r="F33" s="3" t="s">
        <v>68</v>
      </c>
      <c r="G33" s="3" t="s">
        <v>17</v>
      </c>
      <c r="H33" s="3">
        <v>4</v>
      </c>
      <c r="I33" s="3">
        <v>1</v>
      </c>
      <c r="J33" s="3" t="s">
        <v>18</v>
      </c>
      <c r="K33" s="5">
        <v>0.01</v>
      </c>
      <c r="L33" s="6">
        <v>4690654005450</v>
      </c>
      <c r="M33" s="7" t="s">
        <v>78</v>
      </c>
      <c r="N33" s="8">
        <f>VLOOKUP(B33,'[1]новый без картинок'!$A$5:$F$2672,6,0)</f>
        <v>22</v>
      </c>
    </row>
    <row r="34" spans="1:14" ht="149.44999999999999" customHeight="1" x14ac:dyDescent="0.2">
      <c r="A34" s="3">
        <v>32</v>
      </c>
      <c r="B34" s="3">
        <v>149944</v>
      </c>
      <c r="C34" s="4" t="str">
        <f>HYPERLINK("http://optservis.net:5080/photo?tov_code_internet=149944","Увеличить")</f>
        <v>Увеличить</v>
      </c>
      <c r="D34" s="3" t="s">
        <v>79</v>
      </c>
      <c r="E34" s="3" t="s">
        <v>80</v>
      </c>
      <c r="F34" s="3" t="s">
        <v>71</v>
      </c>
      <c r="G34" s="3" t="s">
        <v>17</v>
      </c>
      <c r="H34" s="3">
        <v>4</v>
      </c>
      <c r="I34" s="3">
        <v>1</v>
      </c>
      <c r="J34" s="3" t="s">
        <v>18</v>
      </c>
      <c r="K34" s="5">
        <v>0.01</v>
      </c>
      <c r="L34" s="6">
        <v>4690654005467</v>
      </c>
      <c r="M34" s="7" t="s">
        <v>78</v>
      </c>
      <c r="N34" s="8">
        <f>VLOOKUP(B34,'[1]новый без картинок'!$A$5:$F$2672,6,0)</f>
        <v>22</v>
      </c>
    </row>
    <row r="35" spans="1:14" ht="138.6" customHeight="1" x14ac:dyDescent="0.2">
      <c r="A35" s="3">
        <v>33</v>
      </c>
      <c r="B35" s="3">
        <v>149946</v>
      </c>
      <c r="C35" s="4" t="str">
        <f>HYPERLINK("http://optservis.net:5080/photo?tov_code_internet=149946","Увеличить")</f>
        <v>Увеличить</v>
      </c>
      <c r="D35" s="3" t="s">
        <v>81</v>
      </c>
      <c r="E35" s="3" t="s">
        <v>82</v>
      </c>
      <c r="F35" s="3" t="s">
        <v>71</v>
      </c>
      <c r="G35" s="3" t="s">
        <v>17</v>
      </c>
      <c r="H35" s="3">
        <v>4</v>
      </c>
      <c r="I35" s="3">
        <v>1</v>
      </c>
      <c r="J35" s="3" t="s">
        <v>18</v>
      </c>
      <c r="K35" s="5">
        <v>0.01</v>
      </c>
      <c r="L35" s="6">
        <v>4690654005474</v>
      </c>
      <c r="M35" s="7" t="s">
        <v>69</v>
      </c>
      <c r="N35" s="8">
        <f>VLOOKUP(B35,'[1]новый без картинок'!$A$5:$F$2672,6,0)</f>
        <v>20</v>
      </c>
    </row>
    <row r="36" spans="1:14" ht="138.6" customHeight="1" x14ac:dyDescent="0.2">
      <c r="A36" s="3">
        <v>34</v>
      </c>
      <c r="B36" s="3">
        <v>149948</v>
      </c>
      <c r="C36" s="4" t="str">
        <f>HYPERLINK("http://optservis.net:5080/photo?tov_code_internet=149948","Увеличить")</f>
        <v>Увеличить</v>
      </c>
      <c r="D36" s="3" t="s">
        <v>83</v>
      </c>
      <c r="E36" s="3" t="s">
        <v>84</v>
      </c>
      <c r="F36" s="3" t="s">
        <v>68</v>
      </c>
      <c r="G36" s="3" t="s">
        <v>17</v>
      </c>
      <c r="H36" s="3">
        <v>4</v>
      </c>
      <c r="I36" s="3">
        <v>1</v>
      </c>
      <c r="J36" s="3" t="s">
        <v>18</v>
      </c>
      <c r="K36" s="5">
        <v>0.01</v>
      </c>
      <c r="L36" s="6">
        <v>4690654005481</v>
      </c>
      <c r="M36" s="7" t="s">
        <v>69</v>
      </c>
      <c r="N36" s="8">
        <f>VLOOKUP(B36,'[1]новый без картинок'!$A$5:$F$2672,6,0)</f>
        <v>22</v>
      </c>
    </row>
    <row r="37" spans="1:14" ht="138.6" customHeight="1" x14ac:dyDescent="0.2">
      <c r="A37" s="3">
        <v>35</v>
      </c>
      <c r="B37" s="3">
        <v>149947</v>
      </c>
      <c r="C37" s="4" t="str">
        <f>HYPERLINK("http://optservis.net:5080/photo?tov_code_internet=149947","Увеличить")</f>
        <v>Увеличить</v>
      </c>
      <c r="D37" s="3" t="s">
        <v>83</v>
      </c>
      <c r="E37" s="3" t="s">
        <v>84</v>
      </c>
      <c r="F37" s="3" t="s">
        <v>71</v>
      </c>
      <c r="G37" s="3" t="s">
        <v>17</v>
      </c>
      <c r="H37" s="3">
        <v>4</v>
      </c>
      <c r="I37" s="3">
        <v>1</v>
      </c>
      <c r="J37" s="3" t="s">
        <v>18</v>
      </c>
      <c r="K37" s="5">
        <v>0.01</v>
      </c>
      <c r="L37" s="6">
        <v>4690654005498</v>
      </c>
      <c r="M37" s="7" t="s">
        <v>69</v>
      </c>
      <c r="N37" s="8">
        <f>VLOOKUP(B37,'[1]новый без картинок'!$A$5:$F$2672,6,0)</f>
        <v>22</v>
      </c>
    </row>
    <row r="38" spans="1:14" ht="149.44999999999999" customHeight="1" x14ac:dyDescent="0.2">
      <c r="A38" s="3">
        <v>36</v>
      </c>
      <c r="B38" s="3">
        <v>981557</v>
      </c>
      <c r="C38" s="4" t="str">
        <f>HYPERLINK("http://optservis.net:5080/photo?tov_code_internet=981557","Увеличить")</f>
        <v>Увеличить</v>
      </c>
      <c r="D38" s="3" t="s">
        <v>85</v>
      </c>
      <c r="E38" s="3" t="s">
        <v>86</v>
      </c>
      <c r="F38" s="3" t="s">
        <v>87</v>
      </c>
      <c r="G38" s="3" t="s">
        <v>88</v>
      </c>
      <c r="H38" s="3">
        <v>2</v>
      </c>
      <c r="I38" s="3">
        <v>1</v>
      </c>
      <c r="J38" s="3" t="s">
        <v>18</v>
      </c>
      <c r="K38" s="5">
        <v>0</v>
      </c>
      <c r="L38" s="6">
        <v>4640020777887</v>
      </c>
      <c r="M38" s="7" t="s">
        <v>89</v>
      </c>
      <c r="N38" s="8">
        <f>VLOOKUP(B38,'[1]новый без картинок'!$A$5:$F$2672,6,0)</f>
        <v>34</v>
      </c>
    </row>
    <row r="39" spans="1:14" ht="151.15" customHeight="1" x14ac:dyDescent="0.2">
      <c r="A39" s="3">
        <v>37</v>
      </c>
      <c r="B39" s="3">
        <v>981555</v>
      </c>
      <c r="C39" s="4" t="str">
        <f>HYPERLINK("http://optservis.net:5080/photo?tov_code_internet=981555","Увеличить")</f>
        <v>Увеличить</v>
      </c>
      <c r="D39" s="3" t="s">
        <v>90</v>
      </c>
      <c r="E39" s="3" t="s">
        <v>91</v>
      </c>
      <c r="F39" s="3" t="s">
        <v>92</v>
      </c>
      <c r="G39" s="3" t="s">
        <v>93</v>
      </c>
      <c r="H39" s="3">
        <v>2</v>
      </c>
      <c r="I39" s="3">
        <v>1</v>
      </c>
      <c r="J39" s="3" t="s">
        <v>18</v>
      </c>
      <c r="K39" s="5">
        <v>0.01</v>
      </c>
      <c r="L39" s="6">
        <v>4640020778358</v>
      </c>
      <c r="M39" s="7" t="s">
        <v>94</v>
      </c>
      <c r="N39" s="8">
        <f>VLOOKUP(B39,'[1]новый без картинок'!$A$5:$F$2672,6,0)</f>
        <v>47</v>
      </c>
    </row>
    <row r="40" spans="1:14" ht="138.6" customHeight="1" x14ac:dyDescent="0.2">
      <c r="A40" s="3">
        <v>38</v>
      </c>
      <c r="B40" s="3">
        <v>981556</v>
      </c>
      <c r="C40" s="4" t="str">
        <f>HYPERLINK("http://optservis.net:5080/photo?tov_code_internet=981556","Увеличить")</f>
        <v>Увеличить</v>
      </c>
      <c r="D40" s="3" t="s">
        <v>90</v>
      </c>
      <c r="E40" s="3" t="s">
        <v>91</v>
      </c>
      <c r="F40" s="3" t="s">
        <v>95</v>
      </c>
      <c r="G40" s="3" t="s">
        <v>96</v>
      </c>
      <c r="H40" s="3">
        <v>2</v>
      </c>
      <c r="I40" s="3">
        <v>1</v>
      </c>
      <c r="J40" s="3" t="s">
        <v>18</v>
      </c>
      <c r="K40" s="5">
        <v>0.01</v>
      </c>
      <c r="L40" s="6">
        <v>4640020778365</v>
      </c>
      <c r="M40" s="7" t="s">
        <v>97</v>
      </c>
      <c r="N40" s="8">
        <f>VLOOKUP(B40,'[1]новый без картинок'!$A$5:$F$2672,6,0)</f>
        <v>73</v>
      </c>
    </row>
    <row r="41" spans="1:14" ht="149.44999999999999" customHeight="1" x14ac:dyDescent="0.2">
      <c r="A41" s="3">
        <v>39</v>
      </c>
      <c r="B41" s="3">
        <v>986265</v>
      </c>
      <c r="C41" s="4" t="str">
        <f>HYPERLINK("http://optservis.net:5080/photo?tov_code_internet=986265","Увеличить")</f>
        <v>Увеличить</v>
      </c>
      <c r="D41" s="3" t="s">
        <v>98</v>
      </c>
      <c r="E41" s="3" t="s">
        <v>99</v>
      </c>
      <c r="F41" s="3" t="s">
        <v>100</v>
      </c>
      <c r="G41" s="3" t="s">
        <v>101</v>
      </c>
      <c r="H41" s="3">
        <v>2</v>
      </c>
      <c r="I41" s="3">
        <v>1</v>
      </c>
      <c r="J41" s="3" t="s">
        <v>18</v>
      </c>
      <c r="K41" s="5">
        <v>0.02</v>
      </c>
      <c r="L41" s="6">
        <v>4640020778679</v>
      </c>
      <c r="M41" s="7" t="s">
        <v>102</v>
      </c>
      <c r="N41" s="8">
        <f>VLOOKUP(B41,'[1]новый без картинок'!$A$5:$F$2672,6,0)</f>
        <v>91</v>
      </c>
    </row>
    <row r="42" spans="1:14" ht="151.15" customHeight="1" x14ac:dyDescent="0.2">
      <c r="A42" s="3">
        <v>40</v>
      </c>
      <c r="B42" s="3">
        <v>986266</v>
      </c>
      <c r="C42" s="4" t="str">
        <f>HYPERLINK("http://optservis.net:5080/photo?tov_code_internet=986266","Увеличить")</f>
        <v>Увеличить</v>
      </c>
      <c r="D42" s="3" t="s">
        <v>103</v>
      </c>
      <c r="E42" s="3" t="s">
        <v>104</v>
      </c>
      <c r="F42" s="3" t="s">
        <v>105</v>
      </c>
      <c r="G42" s="3" t="s">
        <v>101</v>
      </c>
      <c r="H42" s="3">
        <v>2</v>
      </c>
      <c r="I42" s="3">
        <v>1</v>
      </c>
      <c r="J42" s="3" t="s">
        <v>18</v>
      </c>
      <c r="K42" s="5">
        <v>0.02</v>
      </c>
      <c r="L42" s="6">
        <v>4640020778686</v>
      </c>
      <c r="M42" s="7" t="s">
        <v>106</v>
      </c>
      <c r="N42" s="8">
        <f>VLOOKUP(B42,'[1]новый без картинок'!$A$5:$F$2672,6,0)</f>
        <v>66</v>
      </c>
    </row>
    <row r="43" spans="1:14" ht="138.6" customHeight="1" x14ac:dyDescent="0.2">
      <c r="A43" s="3">
        <v>41</v>
      </c>
      <c r="B43" s="3">
        <v>171021</v>
      </c>
      <c r="C43" s="4" t="str">
        <f>HYPERLINK("http://optservis.net:5080/photo?tov_code_internet=171021","Увеличить")</f>
        <v>Увеличить</v>
      </c>
      <c r="D43" s="3" t="s">
        <v>107</v>
      </c>
      <c r="E43" s="3" t="s">
        <v>108</v>
      </c>
      <c r="F43" s="3" t="s">
        <v>109</v>
      </c>
      <c r="G43" s="3" t="s">
        <v>110</v>
      </c>
      <c r="H43" s="3">
        <v>6</v>
      </c>
      <c r="I43" s="3">
        <v>1</v>
      </c>
      <c r="J43" s="3" t="s">
        <v>18</v>
      </c>
      <c r="K43" s="5">
        <v>0</v>
      </c>
      <c r="L43" s="6">
        <v>4690654012342</v>
      </c>
      <c r="M43" s="7" t="s">
        <v>111</v>
      </c>
      <c r="N43" s="8">
        <f>VLOOKUP(B43,'[1]новый без картинок'!$A$5:$F$2672,6,0)</f>
        <v>18</v>
      </c>
    </row>
    <row r="44" spans="1:14" ht="138.6" customHeight="1" x14ac:dyDescent="0.2">
      <c r="A44" s="3">
        <v>42</v>
      </c>
      <c r="B44" s="3">
        <v>171023</v>
      </c>
      <c r="C44" s="4" t="str">
        <f>HYPERLINK("http://optservis.net:5080/photo?tov_code_internet=171023","Увеличить")</f>
        <v>Увеличить</v>
      </c>
      <c r="D44" s="3" t="s">
        <v>107</v>
      </c>
      <c r="E44" s="3" t="s">
        <v>112</v>
      </c>
      <c r="F44" s="3" t="s">
        <v>113</v>
      </c>
      <c r="G44" s="3" t="s">
        <v>110</v>
      </c>
      <c r="H44" s="3">
        <v>6</v>
      </c>
      <c r="I44" s="3">
        <v>1</v>
      </c>
      <c r="J44" s="3" t="s">
        <v>18</v>
      </c>
      <c r="K44" s="5">
        <v>0.01</v>
      </c>
      <c r="L44" s="6">
        <v>4690654012465</v>
      </c>
      <c r="M44" s="7" t="s">
        <v>111</v>
      </c>
      <c r="N44" s="8">
        <f>VLOOKUP(B44,'[1]новый без картинок'!$A$5:$F$2672,6,0)</f>
        <v>18</v>
      </c>
    </row>
    <row r="45" spans="1:14" ht="151.15" customHeight="1" x14ac:dyDescent="0.2">
      <c r="A45" s="3">
        <v>43</v>
      </c>
      <c r="B45" s="3">
        <v>208974</v>
      </c>
      <c r="C45" s="4" t="str">
        <f>HYPERLINK("http://optservis.net:5080/photo?tov_code_internet=208974","Увеличить")</f>
        <v>Увеличить</v>
      </c>
      <c r="D45" s="3" t="s">
        <v>114</v>
      </c>
      <c r="E45" s="3" t="s">
        <v>115</v>
      </c>
      <c r="F45" s="3" t="s">
        <v>116</v>
      </c>
      <c r="G45" s="3" t="s">
        <v>117</v>
      </c>
      <c r="H45" s="3">
        <v>4</v>
      </c>
      <c r="I45" s="3">
        <v>1</v>
      </c>
      <c r="J45" s="3" t="s">
        <v>18</v>
      </c>
      <c r="K45" s="5">
        <v>0.01</v>
      </c>
      <c r="L45" s="6">
        <v>4690654019099</v>
      </c>
      <c r="M45" s="7" t="s">
        <v>118</v>
      </c>
      <c r="N45" s="8">
        <f>VLOOKUP(B45,'[1]новый без картинок'!$A$5:$F$2672,6,0)</f>
        <v>29</v>
      </c>
    </row>
    <row r="46" spans="1:14" ht="151.15" customHeight="1" x14ac:dyDescent="0.2">
      <c r="A46" s="3">
        <v>44</v>
      </c>
      <c r="B46" s="3">
        <v>208973</v>
      </c>
      <c r="C46" s="4" t="str">
        <f>HYPERLINK("http://optservis.net:5080/photo?tov_code_internet=208973","Увеличить")</f>
        <v>Увеличить</v>
      </c>
      <c r="D46" s="3" t="s">
        <v>114</v>
      </c>
      <c r="E46" s="3" t="s">
        <v>115</v>
      </c>
      <c r="F46" s="3" t="s">
        <v>119</v>
      </c>
      <c r="G46" s="3" t="s">
        <v>117</v>
      </c>
      <c r="H46" s="3">
        <v>4</v>
      </c>
      <c r="I46" s="3">
        <v>1</v>
      </c>
      <c r="J46" s="3" t="s">
        <v>18</v>
      </c>
      <c r="K46" s="5">
        <v>0.01</v>
      </c>
      <c r="L46" s="6">
        <v>4690654019082</v>
      </c>
      <c r="M46" s="7" t="s">
        <v>120</v>
      </c>
      <c r="N46" s="8">
        <f>VLOOKUP(B46,'[1]новый без картинок'!$A$5:$F$2672,6,0)</f>
        <v>33</v>
      </c>
    </row>
    <row r="47" spans="1:14" ht="151.15" customHeight="1" x14ac:dyDescent="0.2">
      <c r="A47" s="3">
        <v>45</v>
      </c>
      <c r="B47" s="3">
        <v>208968</v>
      </c>
      <c r="C47" s="4" t="str">
        <f>HYPERLINK("http://optservis.net:5080/photo?tov_code_internet=208968","Увеличить")</f>
        <v>Увеличить</v>
      </c>
      <c r="D47" s="3" t="s">
        <v>121</v>
      </c>
      <c r="E47" s="3" t="s">
        <v>115</v>
      </c>
      <c r="F47" s="3" t="s">
        <v>122</v>
      </c>
      <c r="G47" s="3" t="s">
        <v>117</v>
      </c>
      <c r="H47" s="3">
        <v>4</v>
      </c>
      <c r="I47" s="3">
        <v>1</v>
      </c>
      <c r="J47" s="3" t="s">
        <v>18</v>
      </c>
      <c r="K47" s="5">
        <v>0.01</v>
      </c>
      <c r="L47" s="6">
        <v>4690654019075</v>
      </c>
      <c r="M47" s="7" t="s">
        <v>123</v>
      </c>
      <c r="N47" s="8">
        <f>VLOOKUP(B47,'[1]новый без картинок'!$A$5:$F$2672,6,0)</f>
        <v>31</v>
      </c>
    </row>
    <row r="48" spans="1:14" ht="151.15" customHeight="1" x14ac:dyDescent="0.2">
      <c r="A48" s="3">
        <v>46</v>
      </c>
      <c r="B48" s="3">
        <v>208969</v>
      </c>
      <c r="C48" s="4" t="str">
        <f>HYPERLINK("http://optservis.net:5080/photo?tov_code_internet=208969","Увеличить")</f>
        <v>Увеличить</v>
      </c>
      <c r="D48" s="3" t="s">
        <v>121</v>
      </c>
      <c r="E48" s="3" t="s">
        <v>115</v>
      </c>
      <c r="F48" s="3" t="s">
        <v>124</v>
      </c>
      <c r="G48" s="3" t="s">
        <v>117</v>
      </c>
      <c r="H48" s="3">
        <v>4</v>
      </c>
      <c r="I48" s="3">
        <v>1</v>
      </c>
      <c r="J48" s="3" t="s">
        <v>18</v>
      </c>
      <c r="K48" s="5">
        <v>0.01</v>
      </c>
      <c r="L48" s="6">
        <v>4690654019068</v>
      </c>
      <c r="M48" s="7" t="s">
        <v>125</v>
      </c>
      <c r="N48" s="8">
        <f>VLOOKUP(B48,'[1]новый без картинок'!$A$5:$F$2672,6,0)</f>
        <v>26</v>
      </c>
    </row>
    <row r="49" spans="1:14" ht="151.15" customHeight="1" x14ac:dyDescent="0.2">
      <c r="A49" s="3">
        <v>47</v>
      </c>
      <c r="B49" s="3">
        <v>946504</v>
      </c>
      <c r="C49" s="4" t="str">
        <f>HYPERLINK("http://optservis.net:5080/photo?tov_code_internet=946504","Увеличить")</f>
        <v>Увеличить</v>
      </c>
      <c r="D49" s="3" t="s">
        <v>126</v>
      </c>
      <c r="E49" s="3" t="s">
        <v>127</v>
      </c>
      <c r="F49" s="3" t="s">
        <v>128</v>
      </c>
      <c r="G49" s="3" t="s">
        <v>110</v>
      </c>
      <c r="H49" s="3">
        <v>1</v>
      </c>
      <c r="I49" s="3">
        <v>1</v>
      </c>
      <c r="J49" s="3" t="s">
        <v>18</v>
      </c>
      <c r="K49" s="5">
        <v>0.01</v>
      </c>
      <c r="L49" s="6">
        <v>4640020774701</v>
      </c>
      <c r="M49" s="7" t="s">
        <v>129</v>
      </c>
      <c r="N49" s="8">
        <f>VLOOKUP(B49,'[1]новый без картинок'!$A$5:$F$2672,6,0)</f>
        <v>39</v>
      </c>
    </row>
    <row r="50" spans="1:14" ht="151.15" customHeight="1" x14ac:dyDescent="0.2">
      <c r="A50" s="3">
        <v>48</v>
      </c>
      <c r="B50" s="3">
        <v>946505</v>
      </c>
      <c r="C50" s="4" t="str">
        <f>HYPERLINK("http://optservis.net:5080/photo?tov_code_internet=946505","Увеличить")</f>
        <v>Увеличить</v>
      </c>
      <c r="D50" s="3" t="s">
        <v>130</v>
      </c>
      <c r="E50" s="3" t="s">
        <v>131</v>
      </c>
      <c r="F50" s="3" t="s">
        <v>128</v>
      </c>
      <c r="G50" s="3" t="s">
        <v>110</v>
      </c>
      <c r="H50" s="3">
        <v>1</v>
      </c>
      <c r="I50" s="3">
        <v>1</v>
      </c>
      <c r="J50" s="3" t="s">
        <v>18</v>
      </c>
      <c r="K50" s="5">
        <v>0.04</v>
      </c>
      <c r="L50" s="6">
        <v>4640020774718</v>
      </c>
      <c r="M50" s="7" t="s">
        <v>132</v>
      </c>
      <c r="N50" s="8">
        <f>VLOOKUP(B50,'[1]новый без картинок'!$A$5:$F$2672,6,0)</f>
        <v>51</v>
      </c>
    </row>
    <row r="51" spans="1:14" ht="151.15" customHeight="1" x14ac:dyDescent="0.2">
      <c r="A51" s="3">
        <v>49</v>
      </c>
      <c r="B51" s="3">
        <v>946506</v>
      </c>
      <c r="C51" s="4" t="str">
        <f>HYPERLINK("http://optservis.net:5080/photo?tov_code_internet=946506","Увеличить")</f>
        <v>Увеличить</v>
      </c>
      <c r="D51" s="3" t="s">
        <v>133</v>
      </c>
      <c r="E51" s="3" t="s">
        <v>134</v>
      </c>
      <c r="F51" s="3" t="s">
        <v>135</v>
      </c>
      <c r="G51" s="3" t="s">
        <v>110</v>
      </c>
      <c r="H51" s="3">
        <v>1</v>
      </c>
      <c r="I51" s="3">
        <v>1</v>
      </c>
      <c r="J51" s="3" t="s">
        <v>18</v>
      </c>
      <c r="K51" s="5">
        <v>0.02</v>
      </c>
      <c r="L51" s="6">
        <v>4640020774725</v>
      </c>
      <c r="M51" s="7" t="s">
        <v>136</v>
      </c>
      <c r="N51" s="8">
        <f>VLOOKUP(B51,'[1]новый без картинок'!$A$5:$F$2672,6,0)</f>
        <v>69</v>
      </c>
    </row>
    <row r="52" spans="1:14" ht="138.6" customHeight="1" x14ac:dyDescent="0.2">
      <c r="A52" s="3">
        <v>50</v>
      </c>
      <c r="B52" s="3">
        <v>963118</v>
      </c>
      <c r="C52" s="4" t="str">
        <f>HYPERLINK("http://optservis.net:5080/photo?tov_code_internet=963118","Увеличить")</f>
        <v>Увеличить</v>
      </c>
      <c r="D52" s="3" t="s">
        <v>137</v>
      </c>
      <c r="E52" s="3" t="s">
        <v>138</v>
      </c>
      <c r="F52" s="3" t="s">
        <v>139</v>
      </c>
      <c r="G52" s="3" t="s">
        <v>17</v>
      </c>
      <c r="H52" s="3">
        <v>2</v>
      </c>
      <c r="I52" s="3">
        <v>1</v>
      </c>
      <c r="J52" s="3" t="s">
        <v>18</v>
      </c>
      <c r="K52" s="5">
        <v>0.04</v>
      </c>
      <c r="L52" s="6">
        <v>4640020776651</v>
      </c>
      <c r="M52" s="7" t="s">
        <v>140</v>
      </c>
      <c r="N52" s="8">
        <f>VLOOKUP(B52,'[1]новый без картинок'!$A$5:$F$2672,6,0)</f>
        <v>30</v>
      </c>
    </row>
    <row r="53" spans="1:14" ht="138.6" customHeight="1" x14ac:dyDescent="0.2">
      <c r="A53" s="3">
        <v>51</v>
      </c>
      <c r="B53" s="3">
        <v>965561</v>
      </c>
      <c r="C53" s="4" t="str">
        <f>HYPERLINK("http://optservis.net:5080/photo?tov_code_internet=965561","Увеличить")</f>
        <v>Увеличить</v>
      </c>
      <c r="D53" s="3" t="s">
        <v>137</v>
      </c>
      <c r="E53" s="3" t="s">
        <v>138</v>
      </c>
      <c r="F53" s="3" t="s">
        <v>141</v>
      </c>
      <c r="G53" s="3" t="s">
        <v>17</v>
      </c>
      <c r="H53" s="3">
        <v>2</v>
      </c>
      <c r="I53" s="3">
        <v>1</v>
      </c>
      <c r="J53" s="3" t="s">
        <v>18</v>
      </c>
      <c r="K53" s="5">
        <v>0.04</v>
      </c>
      <c r="L53" s="6">
        <v>4640020776668</v>
      </c>
      <c r="M53" s="7" t="s">
        <v>140</v>
      </c>
      <c r="N53" s="8">
        <f>VLOOKUP(B53,'[1]новый без картинок'!$A$5:$F$2672,6,0)</f>
        <v>29</v>
      </c>
    </row>
    <row r="54" spans="1:14" ht="151.15" customHeight="1" x14ac:dyDescent="0.2">
      <c r="A54" s="3">
        <v>52</v>
      </c>
      <c r="B54" s="3">
        <v>177557</v>
      </c>
      <c r="C54" s="4" t="str">
        <f>HYPERLINK("http://optservis.net:5080/photo?tov_code_internet=177557","Увеличить")</f>
        <v>Увеличить</v>
      </c>
      <c r="D54" s="3" t="s">
        <v>142</v>
      </c>
      <c r="E54" s="3" t="s">
        <v>143</v>
      </c>
      <c r="F54" s="3" t="s">
        <v>144</v>
      </c>
      <c r="G54" s="3" t="s">
        <v>59</v>
      </c>
      <c r="H54" s="3">
        <v>2</v>
      </c>
      <c r="I54" s="3">
        <v>1</v>
      </c>
      <c r="J54" s="3" t="s">
        <v>18</v>
      </c>
      <c r="K54" s="5">
        <v>0.01</v>
      </c>
      <c r="L54" s="6">
        <v>4690654011376</v>
      </c>
      <c r="M54" s="7" t="s">
        <v>145</v>
      </c>
      <c r="N54" s="8">
        <f>VLOOKUP(B54,'[1]новый без картинок'!$A$5:$F$2672,6,0)</f>
        <v>96</v>
      </c>
    </row>
    <row r="55" spans="1:14" ht="151.15" customHeight="1" x14ac:dyDescent="0.2">
      <c r="A55" s="3">
        <v>53</v>
      </c>
      <c r="B55" s="3">
        <v>177562</v>
      </c>
      <c r="C55" s="4" t="str">
        <f>HYPERLINK("http://optservis.net:5080/photo?tov_code_internet=177562","Увеличить")</f>
        <v>Увеличить</v>
      </c>
      <c r="D55" s="3" t="s">
        <v>142</v>
      </c>
      <c r="E55" s="3" t="s">
        <v>143</v>
      </c>
      <c r="F55" s="3" t="s">
        <v>146</v>
      </c>
      <c r="G55" s="3" t="s">
        <v>59</v>
      </c>
      <c r="H55" s="3">
        <v>2</v>
      </c>
      <c r="I55" s="3">
        <v>1</v>
      </c>
      <c r="J55" s="3" t="s">
        <v>18</v>
      </c>
      <c r="K55" s="5">
        <v>0.01</v>
      </c>
      <c r="L55" s="6">
        <v>4690654011383</v>
      </c>
      <c r="M55" s="7" t="s">
        <v>145</v>
      </c>
      <c r="N55" s="8">
        <f>VLOOKUP(B55,'[1]новый без картинок'!$A$5:$F$2672,6,0)</f>
        <v>96</v>
      </c>
    </row>
    <row r="56" spans="1:14" ht="151.15" customHeight="1" x14ac:dyDescent="0.2">
      <c r="A56" s="3">
        <v>54</v>
      </c>
      <c r="B56" s="3">
        <v>177587</v>
      </c>
      <c r="C56" s="4" t="str">
        <f>HYPERLINK("http://optservis.net:5080/photo?tov_code_internet=177587","Увеличить")</f>
        <v>Увеличить</v>
      </c>
      <c r="D56" s="3" t="s">
        <v>142</v>
      </c>
      <c r="E56" s="3" t="s">
        <v>143</v>
      </c>
      <c r="F56" s="3" t="s">
        <v>147</v>
      </c>
      <c r="G56" s="3" t="s">
        <v>59</v>
      </c>
      <c r="H56" s="3">
        <v>2</v>
      </c>
      <c r="I56" s="3">
        <v>1</v>
      </c>
      <c r="J56" s="3" t="s">
        <v>18</v>
      </c>
      <c r="K56" s="5">
        <v>0.01</v>
      </c>
      <c r="L56" s="6">
        <v>4690654011390</v>
      </c>
      <c r="M56" s="7" t="s">
        <v>145</v>
      </c>
      <c r="N56" s="8">
        <f>VLOOKUP(B56,'[1]новый без картинок'!$A$5:$F$2672,6,0)</f>
        <v>103</v>
      </c>
    </row>
    <row r="57" spans="1:14" ht="151.15" customHeight="1" x14ac:dyDescent="0.2">
      <c r="A57" s="3">
        <v>55</v>
      </c>
      <c r="B57" s="3">
        <v>177589</v>
      </c>
      <c r="C57" s="4" t="str">
        <f>HYPERLINK("http://optservis.net:5080/photo?tov_code_internet=177589","Увеличить")</f>
        <v>Увеличить</v>
      </c>
      <c r="D57" s="3" t="s">
        <v>142</v>
      </c>
      <c r="E57" s="3" t="s">
        <v>143</v>
      </c>
      <c r="F57" s="3" t="s">
        <v>148</v>
      </c>
      <c r="G57" s="3" t="s">
        <v>59</v>
      </c>
      <c r="H57" s="3">
        <v>2</v>
      </c>
      <c r="I57" s="3">
        <v>1</v>
      </c>
      <c r="J57" s="3" t="s">
        <v>18</v>
      </c>
      <c r="K57" s="5">
        <v>0.01</v>
      </c>
      <c r="L57" s="6">
        <v>4690654011406</v>
      </c>
      <c r="M57" s="7" t="s">
        <v>145</v>
      </c>
      <c r="N57" s="8">
        <f>VLOOKUP(B57,'[1]новый без картинок'!$A$5:$F$2672,6,0)</f>
        <v>91</v>
      </c>
    </row>
    <row r="58" spans="1:14" ht="151.15" customHeight="1" x14ac:dyDescent="0.2">
      <c r="A58" s="3">
        <v>56</v>
      </c>
      <c r="B58" s="3">
        <v>162635</v>
      </c>
      <c r="C58" s="4" t="str">
        <f>HYPERLINK("http://optservis.net:5080/photo?tov_code_internet=162635","Увеличить")</f>
        <v>Увеличить</v>
      </c>
      <c r="D58" s="3" t="s">
        <v>149</v>
      </c>
      <c r="E58" s="3" t="s">
        <v>150</v>
      </c>
      <c r="F58" s="3" t="s">
        <v>151</v>
      </c>
      <c r="G58" s="3" t="s">
        <v>59</v>
      </c>
      <c r="H58" s="3">
        <v>4</v>
      </c>
      <c r="I58" s="3">
        <v>1</v>
      </c>
      <c r="J58" s="3" t="s">
        <v>18</v>
      </c>
      <c r="K58" s="5">
        <v>0.01</v>
      </c>
      <c r="L58" s="6">
        <v>4690654007621</v>
      </c>
      <c r="M58" s="7" t="s">
        <v>152</v>
      </c>
      <c r="N58" s="8">
        <f>VLOOKUP(B58,'[1]новый без картинок'!$A$5:$F$2672,6,0)</f>
        <v>51</v>
      </c>
    </row>
    <row r="59" spans="1:14" ht="151.15" customHeight="1" x14ac:dyDescent="0.2">
      <c r="A59" s="3">
        <v>57</v>
      </c>
      <c r="B59" s="3">
        <v>162636</v>
      </c>
      <c r="C59" s="4" t="str">
        <f>HYPERLINK("http://optservis.net:5080/photo?tov_code_internet=162636","Увеличить")</f>
        <v>Увеличить</v>
      </c>
      <c r="D59" s="3" t="s">
        <v>149</v>
      </c>
      <c r="E59" s="3" t="s">
        <v>150</v>
      </c>
      <c r="F59" s="3" t="s">
        <v>153</v>
      </c>
      <c r="G59" s="3" t="s">
        <v>59</v>
      </c>
      <c r="H59" s="3">
        <v>4</v>
      </c>
      <c r="I59" s="3">
        <v>1</v>
      </c>
      <c r="J59" s="3" t="s">
        <v>18</v>
      </c>
      <c r="K59" s="5">
        <v>0.01</v>
      </c>
      <c r="L59" s="6">
        <v>4690654007638</v>
      </c>
      <c r="M59" s="7" t="s">
        <v>152</v>
      </c>
      <c r="N59" s="8">
        <f>VLOOKUP(B59,'[1]новый без картинок'!$A$5:$F$2672,6,0)</f>
        <v>55</v>
      </c>
    </row>
    <row r="60" spans="1:14" ht="151.15" customHeight="1" x14ac:dyDescent="0.2">
      <c r="A60" s="3">
        <v>58</v>
      </c>
      <c r="B60" s="3">
        <v>150948</v>
      </c>
      <c r="C60" s="4" t="str">
        <f>HYPERLINK("http://optservis.net:5080/photo?tov_code_internet=150948","Увеличить")</f>
        <v>Увеличить</v>
      </c>
      <c r="D60" s="3" t="s">
        <v>149</v>
      </c>
      <c r="E60" s="3" t="s">
        <v>150</v>
      </c>
      <c r="F60" s="3" t="s">
        <v>154</v>
      </c>
      <c r="G60" s="3" t="s">
        <v>59</v>
      </c>
      <c r="H60" s="3">
        <v>4</v>
      </c>
      <c r="I60" s="3">
        <v>1</v>
      </c>
      <c r="J60" s="3" t="s">
        <v>18</v>
      </c>
      <c r="K60" s="5">
        <v>0.01</v>
      </c>
      <c r="L60" s="6">
        <v>4690654005573</v>
      </c>
      <c r="M60" s="7" t="s">
        <v>152</v>
      </c>
      <c r="N60" s="8">
        <f>VLOOKUP(B60,'[1]новый без картинок'!$A$5:$F$2672,6,0)</f>
        <v>47</v>
      </c>
    </row>
    <row r="61" spans="1:14" ht="151.15" customHeight="1" x14ac:dyDescent="0.2">
      <c r="A61" s="3">
        <v>59</v>
      </c>
      <c r="B61" s="3">
        <v>933035</v>
      </c>
      <c r="C61" s="4" t="str">
        <f>HYPERLINK("http://optservis.net:5080/photo?tov_code_internet=933035","Увеличить")</f>
        <v>Увеличить</v>
      </c>
      <c r="D61" s="3" t="s">
        <v>155</v>
      </c>
      <c r="E61" s="3" t="s">
        <v>156</v>
      </c>
      <c r="F61" s="3" t="s">
        <v>157</v>
      </c>
      <c r="G61" s="3" t="s">
        <v>59</v>
      </c>
      <c r="H61" s="3">
        <v>2</v>
      </c>
      <c r="I61" s="3">
        <v>1</v>
      </c>
      <c r="J61" s="3" t="s">
        <v>18</v>
      </c>
      <c r="K61" s="5">
        <v>0.01</v>
      </c>
      <c r="L61" s="6">
        <v>4640020773179</v>
      </c>
      <c r="M61" s="7" t="s">
        <v>158</v>
      </c>
      <c r="N61" s="8">
        <f>VLOOKUP(B61,'[1]новый без картинок'!$A$5:$F$2672,6,0)</f>
        <v>107</v>
      </c>
    </row>
    <row r="62" spans="1:14" ht="151.15" customHeight="1" x14ac:dyDescent="0.2">
      <c r="A62" s="3">
        <v>60</v>
      </c>
      <c r="B62" s="3">
        <v>933036</v>
      </c>
      <c r="C62" s="4" t="str">
        <f>HYPERLINK("http://optservis.net:5080/photo?tov_code_internet=933036","Увеличить")</f>
        <v>Увеличить</v>
      </c>
      <c r="D62" s="3" t="s">
        <v>155</v>
      </c>
      <c r="E62" s="3" t="s">
        <v>156</v>
      </c>
      <c r="F62" s="3" t="s">
        <v>159</v>
      </c>
      <c r="G62" s="3" t="s">
        <v>59</v>
      </c>
      <c r="H62" s="3">
        <v>2</v>
      </c>
      <c r="I62" s="3">
        <v>1</v>
      </c>
      <c r="J62" s="3" t="s">
        <v>18</v>
      </c>
      <c r="K62" s="5">
        <v>0.01</v>
      </c>
      <c r="L62" s="6">
        <v>4640020773186</v>
      </c>
      <c r="M62" s="7" t="s">
        <v>158</v>
      </c>
      <c r="N62" s="8">
        <f>VLOOKUP(B62,'[1]новый без картинок'!$A$5:$F$2672,6,0)</f>
        <v>113</v>
      </c>
    </row>
    <row r="63" spans="1:14" ht="151.15" customHeight="1" x14ac:dyDescent="0.2">
      <c r="A63" s="3">
        <v>61</v>
      </c>
      <c r="B63" s="3">
        <v>985631</v>
      </c>
      <c r="C63" s="4" t="str">
        <f>HYPERLINK("http://optservis.net:5080/photo?tov_code_internet=985631","Увеличить")</f>
        <v>Увеличить</v>
      </c>
      <c r="D63" s="3" t="s">
        <v>155</v>
      </c>
      <c r="E63" s="3" t="s">
        <v>156</v>
      </c>
      <c r="F63" s="3" t="s">
        <v>154</v>
      </c>
      <c r="G63" s="3" t="s">
        <v>59</v>
      </c>
      <c r="H63" s="3">
        <v>2</v>
      </c>
      <c r="I63" s="3">
        <v>1</v>
      </c>
      <c r="J63" s="3" t="s">
        <v>18</v>
      </c>
      <c r="K63" s="5">
        <v>0.01</v>
      </c>
      <c r="L63" s="6">
        <v>4640020778433</v>
      </c>
      <c r="M63" s="7" t="s">
        <v>160</v>
      </c>
      <c r="N63" s="8">
        <f>VLOOKUP(B63,'[1]новый без картинок'!$A$5:$F$2672,6,0)</f>
        <v>99</v>
      </c>
    </row>
    <row r="64" spans="1:14" ht="138.6" customHeight="1" x14ac:dyDescent="0.2">
      <c r="A64" s="3">
        <v>62</v>
      </c>
      <c r="B64" s="3">
        <v>899313</v>
      </c>
      <c r="C64" s="4" t="str">
        <f>HYPERLINK("http://optservis.net:5080/photo?tov_code_internet=899313","Увеличить")</f>
        <v>Увеличить</v>
      </c>
      <c r="D64" s="3" t="s">
        <v>161</v>
      </c>
      <c r="E64" s="3" t="s">
        <v>162</v>
      </c>
      <c r="F64" s="3" t="s">
        <v>163</v>
      </c>
      <c r="G64" s="3" t="s">
        <v>110</v>
      </c>
      <c r="H64" s="3">
        <v>3</v>
      </c>
      <c r="I64" s="3">
        <v>3</v>
      </c>
      <c r="J64" s="3" t="s">
        <v>18</v>
      </c>
      <c r="K64" s="5">
        <v>0.04</v>
      </c>
      <c r="L64" s="6">
        <v>4690654992378</v>
      </c>
      <c r="M64" s="7" t="s">
        <v>164</v>
      </c>
      <c r="N64" s="8">
        <f>VLOOKUP(B64,'[1]новый без картинок'!$A$5:$F$2672,6,0)</f>
        <v>23</v>
      </c>
    </row>
    <row r="65" spans="1:14" ht="138.6" customHeight="1" x14ac:dyDescent="0.2">
      <c r="A65" s="3">
        <v>63</v>
      </c>
      <c r="B65" s="3">
        <v>640465</v>
      </c>
      <c r="C65" s="4" t="str">
        <f>HYPERLINK("http://optservis.net:5080/photo?tov_code_internet=640465","Увеличить")</f>
        <v>Увеличить</v>
      </c>
      <c r="D65" s="3" t="s">
        <v>161</v>
      </c>
      <c r="E65" s="3" t="s">
        <v>162</v>
      </c>
      <c r="F65" s="3" t="s">
        <v>165</v>
      </c>
      <c r="G65" s="3" t="s">
        <v>110</v>
      </c>
      <c r="H65" s="3">
        <v>3</v>
      </c>
      <c r="I65" s="3">
        <v>3</v>
      </c>
      <c r="J65" s="3" t="s">
        <v>18</v>
      </c>
      <c r="K65" s="5">
        <v>0.04</v>
      </c>
      <c r="L65" s="6">
        <v>4607146205809</v>
      </c>
      <c r="M65" s="7" t="s">
        <v>164</v>
      </c>
      <c r="N65" s="8">
        <f>VLOOKUP(B65,'[1]новый без картинок'!$A$5:$F$2672,6,0)</f>
        <v>20</v>
      </c>
    </row>
    <row r="66" spans="1:14" ht="138.6" customHeight="1" x14ac:dyDescent="0.2">
      <c r="A66" s="3">
        <v>64</v>
      </c>
      <c r="B66" s="3">
        <v>701158</v>
      </c>
      <c r="C66" s="4" t="str">
        <f>HYPERLINK("http://optservis.net:5080/photo?tov_code_internet=701158","Увеличить")</f>
        <v>Увеличить</v>
      </c>
      <c r="D66" s="3" t="s">
        <v>166</v>
      </c>
      <c r="E66" s="3" t="s">
        <v>167</v>
      </c>
      <c r="F66" s="3" t="s">
        <v>163</v>
      </c>
      <c r="G66" s="3" t="s">
        <v>110</v>
      </c>
      <c r="H66" s="3">
        <v>2</v>
      </c>
      <c r="I66" s="3">
        <v>2</v>
      </c>
      <c r="J66" s="3" t="s">
        <v>18</v>
      </c>
      <c r="K66" s="5">
        <v>0.04</v>
      </c>
      <c r="L66" s="6">
        <v>4690654992385</v>
      </c>
      <c r="M66" s="7" t="s">
        <v>168</v>
      </c>
      <c r="N66" s="8">
        <f>VLOOKUP(B66,'[1]новый без картинок'!$A$5:$F$2672,6,0)</f>
        <v>51</v>
      </c>
    </row>
    <row r="67" spans="1:14" ht="138.6" customHeight="1" x14ac:dyDescent="0.2">
      <c r="A67" s="3">
        <v>65</v>
      </c>
      <c r="B67" s="3">
        <v>727015</v>
      </c>
      <c r="C67" s="4" t="str">
        <f>HYPERLINK("http://optservis.net:5080/photo?tov_code_internet=727015","Увеличить")</f>
        <v>Увеличить</v>
      </c>
      <c r="D67" s="3" t="s">
        <v>166</v>
      </c>
      <c r="E67" s="3" t="s">
        <v>167</v>
      </c>
      <c r="F67" s="3" t="s">
        <v>165</v>
      </c>
      <c r="G67" s="3" t="s">
        <v>110</v>
      </c>
      <c r="H67" s="3">
        <v>2</v>
      </c>
      <c r="I67" s="3">
        <v>2</v>
      </c>
      <c r="J67" s="3" t="s">
        <v>18</v>
      </c>
      <c r="K67" s="5">
        <v>0.04</v>
      </c>
      <c r="L67" s="6">
        <v>4607146208213</v>
      </c>
      <c r="M67" s="7" t="s">
        <v>168</v>
      </c>
      <c r="N67" s="8">
        <f>VLOOKUP(B67,'[1]новый без картинок'!$A$5:$F$2672,6,0)</f>
        <v>44</v>
      </c>
    </row>
    <row r="68" spans="1:14" ht="138.6" customHeight="1" x14ac:dyDescent="0.2">
      <c r="A68" s="3">
        <v>66</v>
      </c>
      <c r="B68" s="3">
        <v>727017</v>
      </c>
      <c r="C68" s="4" t="str">
        <f>HYPERLINK("http://optservis.net:5080/photo?tov_code_internet=727017","Увеличить")</f>
        <v>Увеличить</v>
      </c>
      <c r="D68" s="3" t="s">
        <v>169</v>
      </c>
      <c r="E68" s="3" t="s">
        <v>170</v>
      </c>
      <c r="F68" s="3" t="s">
        <v>165</v>
      </c>
      <c r="G68" s="3" t="s">
        <v>110</v>
      </c>
      <c r="H68" s="3">
        <v>2</v>
      </c>
      <c r="I68" s="3">
        <v>2</v>
      </c>
      <c r="J68" s="3" t="s">
        <v>18</v>
      </c>
      <c r="K68" s="5">
        <v>0.04</v>
      </c>
      <c r="L68" s="6">
        <v>4607146208220</v>
      </c>
      <c r="M68" s="7" t="s">
        <v>171</v>
      </c>
      <c r="N68" s="8">
        <f>VLOOKUP(B68,'[1]новый без картинок'!$A$5:$F$2672,6,0)</f>
        <v>38</v>
      </c>
    </row>
    <row r="69" spans="1:14" ht="138.6" customHeight="1" x14ac:dyDescent="0.2">
      <c r="A69" s="3">
        <v>67</v>
      </c>
      <c r="B69" s="3">
        <v>892036</v>
      </c>
      <c r="C69" s="4" t="str">
        <f>HYPERLINK("http://optservis.net:5080/photo?tov_code_internet=892036","Увеличить")</f>
        <v>Увеличить</v>
      </c>
      <c r="D69" s="3" t="s">
        <v>172</v>
      </c>
      <c r="E69" s="3" t="s">
        <v>173</v>
      </c>
      <c r="F69" s="3" t="s">
        <v>174</v>
      </c>
      <c r="G69" s="3" t="s">
        <v>175</v>
      </c>
      <c r="H69" s="3">
        <v>1</v>
      </c>
      <c r="I69" s="3">
        <v>1</v>
      </c>
      <c r="J69" s="3" t="s">
        <v>18</v>
      </c>
      <c r="K69" s="5">
        <v>0.03</v>
      </c>
      <c r="L69" s="6">
        <v>4690654999407</v>
      </c>
      <c r="M69" s="7" t="s">
        <v>176</v>
      </c>
      <c r="N69" s="8">
        <f>VLOOKUP(B69,'[1]новый без картинок'!$A$5:$F$2672,6,0)</f>
        <v>83</v>
      </c>
    </row>
    <row r="70" spans="1:14" ht="138.6" customHeight="1" x14ac:dyDescent="0.2">
      <c r="A70" s="3">
        <v>68</v>
      </c>
      <c r="B70" s="3">
        <v>747884</v>
      </c>
      <c r="C70" s="4" t="str">
        <f>HYPERLINK("http://optservis.net:5080/photo?tov_code_internet=747884","Увеличить")</f>
        <v>Увеличить</v>
      </c>
      <c r="D70" s="3" t="s">
        <v>177</v>
      </c>
      <c r="E70" s="3" t="s">
        <v>178</v>
      </c>
      <c r="F70" s="3" t="s">
        <v>179</v>
      </c>
      <c r="G70" s="3" t="s">
        <v>110</v>
      </c>
      <c r="H70" s="3">
        <v>3</v>
      </c>
      <c r="I70" s="3">
        <v>3</v>
      </c>
      <c r="J70" s="3" t="s">
        <v>18</v>
      </c>
      <c r="K70" s="5">
        <v>0.03</v>
      </c>
      <c r="L70" s="6">
        <v>4690654993573</v>
      </c>
      <c r="M70" s="7" t="s">
        <v>180</v>
      </c>
      <c r="N70" s="8">
        <f>VLOOKUP(B70,'[1]новый без картинок'!$A$5:$F$2672,6,0)</f>
        <v>14</v>
      </c>
    </row>
    <row r="71" spans="1:14" ht="138.6" customHeight="1" x14ac:dyDescent="0.2">
      <c r="A71" s="3">
        <v>69</v>
      </c>
      <c r="B71" s="3">
        <v>813940</v>
      </c>
      <c r="C71" s="4" t="str">
        <f>HYPERLINK("http://optservis.net:5080/photo?tov_code_internet=813940","Увеличить")</f>
        <v>Увеличить</v>
      </c>
      <c r="D71" s="3" t="s">
        <v>181</v>
      </c>
      <c r="E71" s="3" t="s">
        <v>182</v>
      </c>
      <c r="F71" s="3" t="s">
        <v>20</v>
      </c>
      <c r="G71" s="3" t="s">
        <v>17</v>
      </c>
      <c r="H71" s="3">
        <v>3</v>
      </c>
      <c r="I71" s="3">
        <v>3</v>
      </c>
      <c r="J71" s="3" t="s">
        <v>18</v>
      </c>
      <c r="K71" s="5">
        <v>0.04</v>
      </c>
      <c r="L71" s="6">
        <v>4690654994969</v>
      </c>
      <c r="M71" s="7" t="s">
        <v>183</v>
      </c>
      <c r="N71" s="8">
        <f>VLOOKUP(B71,'[1]новый без картинок'!$A$5:$F$2672,6,0)</f>
        <v>9</v>
      </c>
    </row>
    <row r="72" spans="1:14" ht="138.6" customHeight="1" x14ac:dyDescent="0.2">
      <c r="A72" s="3">
        <v>70</v>
      </c>
      <c r="B72" s="3">
        <v>171493</v>
      </c>
      <c r="C72" s="4" t="str">
        <f>HYPERLINK("http://optservis.net:5080/photo?tov_code_internet=171493","Увеличить")</f>
        <v>Увеличить</v>
      </c>
      <c r="D72" s="3" t="s">
        <v>184</v>
      </c>
      <c r="E72" s="3" t="s">
        <v>185</v>
      </c>
      <c r="F72" s="3" t="s">
        <v>186</v>
      </c>
      <c r="G72" s="3" t="s">
        <v>110</v>
      </c>
      <c r="H72" s="3">
        <v>2</v>
      </c>
      <c r="I72" s="3">
        <v>2</v>
      </c>
      <c r="J72" s="3" t="s">
        <v>18</v>
      </c>
      <c r="K72" s="5">
        <v>0.09</v>
      </c>
      <c r="L72" s="6">
        <v>4690654993580</v>
      </c>
      <c r="M72" s="7" t="s">
        <v>187</v>
      </c>
      <c r="N72" s="8">
        <f>VLOOKUP(B72,'[1]новый без картинок'!$A$5:$F$2672,6,0)</f>
        <v>42</v>
      </c>
    </row>
    <row r="73" spans="1:14" ht="138.6" customHeight="1" x14ac:dyDescent="0.2">
      <c r="A73" s="3">
        <v>71</v>
      </c>
      <c r="B73" s="3">
        <v>785652</v>
      </c>
      <c r="C73" s="4" t="str">
        <f>HYPERLINK("http://optservis.net:5080/photo?tov_code_internet=785652","Увеличить")</f>
        <v>Увеличить</v>
      </c>
      <c r="D73" s="3" t="s">
        <v>188</v>
      </c>
      <c r="E73" s="3" t="s">
        <v>189</v>
      </c>
      <c r="F73" s="3" t="s">
        <v>190</v>
      </c>
      <c r="G73" s="3" t="s">
        <v>110</v>
      </c>
      <c r="H73" s="3">
        <v>2</v>
      </c>
      <c r="I73" s="3">
        <v>2</v>
      </c>
      <c r="J73" s="3" t="s">
        <v>18</v>
      </c>
      <c r="K73" s="5">
        <v>0.12</v>
      </c>
      <c r="L73" s="6">
        <v>4690654993597</v>
      </c>
      <c r="M73" s="7" t="s">
        <v>191</v>
      </c>
      <c r="N73" s="8">
        <f>VLOOKUP(B73,'[1]новый без картинок'!$A$5:$F$2672,6,0)</f>
        <v>57</v>
      </c>
    </row>
    <row r="74" spans="1:14" ht="138.6" customHeight="1" x14ac:dyDescent="0.2">
      <c r="A74" s="3">
        <v>72</v>
      </c>
      <c r="B74" s="3">
        <v>813932</v>
      </c>
      <c r="C74" s="4" t="str">
        <f>HYPERLINK("http://optservis.net:5080/photo?tov_code_internet=813932","Увеличить")</f>
        <v>Увеличить</v>
      </c>
      <c r="D74" s="3" t="s">
        <v>192</v>
      </c>
      <c r="E74" s="3" t="s">
        <v>193</v>
      </c>
      <c r="F74" s="3" t="s">
        <v>194</v>
      </c>
      <c r="G74" s="3" t="s">
        <v>175</v>
      </c>
      <c r="H74" s="3">
        <v>1</v>
      </c>
      <c r="I74" s="3">
        <v>1</v>
      </c>
      <c r="J74" s="3" t="s">
        <v>18</v>
      </c>
      <c r="K74" s="5">
        <v>0.01</v>
      </c>
      <c r="L74" s="6">
        <v>4690654994921</v>
      </c>
      <c r="M74" s="7" t="s">
        <v>195</v>
      </c>
      <c r="N74" s="8">
        <f>VLOOKUP(B74,'[1]новый без картинок'!$A$5:$F$2672,6,0)</f>
        <v>62</v>
      </c>
    </row>
    <row r="75" spans="1:14" ht="138.6" customHeight="1" x14ac:dyDescent="0.2">
      <c r="A75" s="3">
        <v>73</v>
      </c>
      <c r="B75" s="3">
        <v>813934</v>
      </c>
      <c r="C75" s="4" t="str">
        <f>HYPERLINK("http://optservis.net:5080/photo?tov_code_internet=813934","Увеличить")</f>
        <v>Увеличить</v>
      </c>
      <c r="D75" s="3" t="s">
        <v>192</v>
      </c>
      <c r="E75" s="3" t="s">
        <v>193</v>
      </c>
      <c r="F75" s="3" t="s">
        <v>196</v>
      </c>
      <c r="G75" s="3" t="s">
        <v>175</v>
      </c>
      <c r="H75" s="3">
        <v>1</v>
      </c>
      <c r="I75" s="3">
        <v>1</v>
      </c>
      <c r="J75" s="3" t="s">
        <v>18</v>
      </c>
      <c r="K75" s="5">
        <v>0.01</v>
      </c>
      <c r="L75" s="6">
        <v>4690654994938</v>
      </c>
      <c r="M75" s="7" t="s">
        <v>195</v>
      </c>
      <c r="N75" s="8">
        <f>VLOOKUP(B75,'[1]новый без картинок'!$A$5:$F$2672,6,0)</f>
        <v>56</v>
      </c>
    </row>
    <row r="76" spans="1:14" ht="138.6" customHeight="1" x14ac:dyDescent="0.2">
      <c r="A76" s="3">
        <v>74</v>
      </c>
      <c r="B76" s="3">
        <v>934845</v>
      </c>
      <c r="C76" s="4" t="str">
        <f>HYPERLINK("http://optservis.net:5080/photo?tov_code_internet=934845","Увеличить")</f>
        <v>Увеличить</v>
      </c>
      <c r="D76" s="3" t="s">
        <v>197</v>
      </c>
      <c r="E76" s="3" t="s">
        <v>198</v>
      </c>
      <c r="F76" s="3" t="s">
        <v>165</v>
      </c>
      <c r="G76" s="3" t="s">
        <v>110</v>
      </c>
      <c r="H76" s="3">
        <v>20</v>
      </c>
      <c r="I76" s="3">
        <v>1</v>
      </c>
      <c r="J76" s="3" t="s">
        <v>18</v>
      </c>
      <c r="K76" s="5">
        <v>0.02</v>
      </c>
      <c r="L76" s="6">
        <v>4640020773322</v>
      </c>
      <c r="M76" s="7" t="s">
        <v>199</v>
      </c>
      <c r="N76" s="8">
        <f>VLOOKUP(B76,'[1]новый без картинок'!$A$5:$F$2672,6,0)</f>
        <v>8</v>
      </c>
    </row>
    <row r="77" spans="1:14" ht="151.15" customHeight="1" x14ac:dyDescent="0.2">
      <c r="A77" s="3">
        <v>75</v>
      </c>
      <c r="B77" s="3">
        <v>195852</v>
      </c>
      <c r="C77" s="4" t="str">
        <f>HYPERLINK("http://optservis.net:5080/photo?tov_code_internet=195852","Увеличить")</f>
        <v>Увеличить</v>
      </c>
      <c r="D77" s="3" t="s">
        <v>200</v>
      </c>
      <c r="E77" s="3" t="s">
        <v>201</v>
      </c>
      <c r="F77" s="3" t="s">
        <v>202</v>
      </c>
      <c r="G77" s="3" t="s">
        <v>110</v>
      </c>
      <c r="H77" s="3">
        <v>6</v>
      </c>
      <c r="I77" s="3">
        <v>6</v>
      </c>
      <c r="J77" s="3" t="s">
        <v>18</v>
      </c>
      <c r="K77" s="5">
        <v>0.02</v>
      </c>
      <c r="L77" s="6">
        <v>4690654996994</v>
      </c>
      <c r="M77" s="7" t="s">
        <v>203</v>
      </c>
      <c r="N77" s="8">
        <f>VLOOKUP(B77,'[1]новый без картинок'!$A$5:$F$2672,6,0)</f>
        <v>13</v>
      </c>
    </row>
    <row r="78" spans="1:14" ht="138.6" customHeight="1" x14ac:dyDescent="0.2">
      <c r="A78" s="3">
        <v>76</v>
      </c>
      <c r="B78" s="3">
        <v>536582</v>
      </c>
      <c r="C78" s="4" t="str">
        <f>HYPERLINK("http://optservis.net:5080/photo?tov_code_internet=536582","Увеличить")</f>
        <v>Увеличить</v>
      </c>
      <c r="D78" s="3" t="s">
        <v>204</v>
      </c>
      <c r="E78" s="3" t="s">
        <v>205</v>
      </c>
      <c r="F78" s="3" t="s">
        <v>206</v>
      </c>
      <c r="G78" s="3" t="s">
        <v>110</v>
      </c>
      <c r="H78" s="3">
        <v>2</v>
      </c>
      <c r="I78" s="3">
        <v>2</v>
      </c>
      <c r="J78" s="3" t="s">
        <v>18</v>
      </c>
      <c r="K78" s="5">
        <v>0.04</v>
      </c>
      <c r="L78" s="6">
        <v>4607146202792</v>
      </c>
      <c r="M78" s="7" t="s">
        <v>207</v>
      </c>
      <c r="N78" s="8">
        <f>VLOOKUP(B78,'[1]новый без картинок'!$A$5:$F$2672,6,0)</f>
        <v>29</v>
      </c>
    </row>
    <row r="79" spans="1:14" ht="138.6" customHeight="1" x14ac:dyDescent="0.2">
      <c r="A79" s="3">
        <v>77</v>
      </c>
      <c r="B79" s="3">
        <v>163911</v>
      </c>
      <c r="C79" s="4" t="str">
        <f>HYPERLINK("http://optservis.net:5080/photo?tov_code_internet=163911","Увеличить")</f>
        <v>Увеличить</v>
      </c>
      <c r="D79" s="3" t="s">
        <v>208</v>
      </c>
      <c r="E79" s="3" t="s">
        <v>209</v>
      </c>
      <c r="F79" s="3" t="s">
        <v>202</v>
      </c>
      <c r="G79" s="3" t="s">
        <v>110</v>
      </c>
      <c r="H79" s="3">
        <v>6</v>
      </c>
      <c r="I79" s="3">
        <v>6</v>
      </c>
      <c r="J79" s="3" t="s">
        <v>18</v>
      </c>
      <c r="K79" s="5">
        <v>0.03</v>
      </c>
      <c r="L79" s="6">
        <v>4690654997038</v>
      </c>
      <c r="M79" s="7" t="s">
        <v>210</v>
      </c>
      <c r="N79" s="8">
        <f>VLOOKUP(B79,'[1]новый без картинок'!$A$5:$F$2672,6,0)</f>
        <v>10</v>
      </c>
    </row>
    <row r="80" spans="1:14" ht="151.15" customHeight="1" x14ac:dyDescent="0.2">
      <c r="A80" s="3">
        <v>78</v>
      </c>
      <c r="B80" s="3">
        <v>197299</v>
      </c>
      <c r="C80" s="4" t="str">
        <f>HYPERLINK("http://optservis.net:5080/photo?tov_code_internet=197299","Увеличить")</f>
        <v>Увеличить</v>
      </c>
      <c r="D80" s="3" t="s">
        <v>211</v>
      </c>
      <c r="E80" s="3" t="s">
        <v>212</v>
      </c>
      <c r="F80" s="3" t="s">
        <v>213</v>
      </c>
      <c r="G80" s="3" t="s">
        <v>110</v>
      </c>
      <c r="H80" s="3">
        <v>6</v>
      </c>
      <c r="I80" s="3">
        <v>6</v>
      </c>
      <c r="J80" s="3" t="s">
        <v>18</v>
      </c>
      <c r="K80" s="5">
        <v>0.03</v>
      </c>
      <c r="L80" s="6">
        <v>4607052136594</v>
      </c>
      <c r="M80" s="7" t="s">
        <v>203</v>
      </c>
      <c r="N80" s="8">
        <f>VLOOKUP(B80,'[1]новый без картинок'!$A$5:$F$2672,6,0)</f>
        <v>14</v>
      </c>
    </row>
    <row r="81" spans="1:14" ht="149.44999999999999" customHeight="1" x14ac:dyDescent="0.2">
      <c r="A81" s="3">
        <v>79</v>
      </c>
      <c r="B81" s="3">
        <v>197300</v>
      </c>
      <c r="C81" s="4" t="str">
        <f>HYPERLINK("http://optservis.net:5080/photo?tov_code_internet=197300","Увеличить")</f>
        <v>Увеличить</v>
      </c>
      <c r="D81" s="3" t="s">
        <v>211</v>
      </c>
      <c r="E81" s="3" t="s">
        <v>212</v>
      </c>
      <c r="F81" s="3" t="s">
        <v>214</v>
      </c>
      <c r="G81" s="3" t="s">
        <v>110</v>
      </c>
      <c r="H81" s="3">
        <v>6</v>
      </c>
      <c r="I81" s="3">
        <v>6</v>
      </c>
      <c r="J81" s="3" t="s">
        <v>18</v>
      </c>
      <c r="K81" s="5">
        <v>0.03</v>
      </c>
      <c r="L81" s="6">
        <v>4690654997083</v>
      </c>
      <c r="M81" s="7" t="s">
        <v>203</v>
      </c>
      <c r="N81" s="8">
        <f>VLOOKUP(B81,'[1]новый без картинок'!$A$5:$F$2672,6,0)</f>
        <v>14</v>
      </c>
    </row>
    <row r="82" spans="1:14" ht="151.15" customHeight="1" x14ac:dyDescent="0.2">
      <c r="A82" s="3">
        <v>80</v>
      </c>
      <c r="B82" s="3">
        <v>197301</v>
      </c>
      <c r="C82" s="4" t="str">
        <f>HYPERLINK("http://optservis.net:5080/photo?tov_code_internet=197301","Увеличить")</f>
        <v>Увеличить</v>
      </c>
      <c r="D82" s="3" t="s">
        <v>211</v>
      </c>
      <c r="E82" s="3" t="s">
        <v>212</v>
      </c>
      <c r="F82" s="3" t="s">
        <v>190</v>
      </c>
      <c r="G82" s="3" t="s">
        <v>110</v>
      </c>
      <c r="H82" s="3">
        <v>6</v>
      </c>
      <c r="I82" s="3">
        <v>6</v>
      </c>
      <c r="J82" s="3" t="s">
        <v>18</v>
      </c>
      <c r="K82" s="5">
        <v>0.03</v>
      </c>
      <c r="L82" s="6">
        <v>4607052130592</v>
      </c>
      <c r="M82" s="7" t="s">
        <v>203</v>
      </c>
      <c r="N82" s="8">
        <f>VLOOKUP(B82,'[1]новый без картинок'!$A$5:$F$2672,6,0)</f>
        <v>14</v>
      </c>
    </row>
    <row r="83" spans="1:14" ht="138.6" customHeight="1" x14ac:dyDescent="0.2">
      <c r="A83" s="3">
        <v>81</v>
      </c>
      <c r="B83" s="3">
        <v>165177</v>
      </c>
      <c r="C83" s="4" t="str">
        <f>HYPERLINK("http://optservis.net:5080/photo?tov_code_internet=165177","Увеличить")</f>
        <v>Увеличить</v>
      </c>
      <c r="D83" s="3" t="s">
        <v>215</v>
      </c>
      <c r="E83" s="3" t="s">
        <v>216</v>
      </c>
      <c r="F83" s="3" t="s">
        <v>186</v>
      </c>
      <c r="G83" s="3" t="s">
        <v>110</v>
      </c>
      <c r="H83" s="3">
        <v>6</v>
      </c>
      <c r="I83" s="3">
        <v>6</v>
      </c>
      <c r="J83" s="3" t="s">
        <v>18</v>
      </c>
      <c r="K83" s="5">
        <v>0.04</v>
      </c>
      <c r="L83" s="6">
        <v>4690654997106</v>
      </c>
      <c r="M83" s="7" t="s">
        <v>217</v>
      </c>
      <c r="N83" s="8">
        <f>VLOOKUP(B83,'[1]новый без картинок'!$A$5:$F$2672,6,0)</f>
        <v>17</v>
      </c>
    </row>
    <row r="84" spans="1:14" ht="138.6" customHeight="1" x14ac:dyDescent="0.2">
      <c r="A84" s="3">
        <v>82</v>
      </c>
      <c r="B84" s="3">
        <v>163913</v>
      </c>
      <c r="C84" s="4" t="str">
        <f>HYPERLINK("http://optservis.net:5080/photo?tov_code_internet=163913","Увеличить")</f>
        <v>Увеличить</v>
      </c>
      <c r="D84" s="3" t="s">
        <v>218</v>
      </c>
      <c r="E84" s="3" t="s">
        <v>219</v>
      </c>
      <c r="F84" s="3" t="s">
        <v>220</v>
      </c>
      <c r="G84" s="3" t="s">
        <v>110</v>
      </c>
      <c r="H84" s="3">
        <v>6</v>
      </c>
      <c r="I84" s="3">
        <v>6</v>
      </c>
      <c r="J84" s="3" t="s">
        <v>18</v>
      </c>
      <c r="K84" s="5">
        <v>0.3</v>
      </c>
      <c r="L84" s="6">
        <v>4690654997236</v>
      </c>
      <c r="M84" s="7" t="s">
        <v>221</v>
      </c>
      <c r="N84" s="8">
        <f>VLOOKUP(B84,'[1]новый без картинок'!$A$5:$F$2672,6,0)</f>
        <v>22</v>
      </c>
    </row>
    <row r="85" spans="1:14" ht="129.6" customHeight="1" x14ac:dyDescent="0.2">
      <c r="A85" s="3">
        <v>83</v>
      </c>
      <c r="B85" s="3">
        <v>780254</v>
      </c>
      <c r="C85" s="4" t="str">
        <f>HYPERLINK("http://optservis.net:5080/photo?tov_code_internet=780254","Увеличить")</f>
        <v>Увеличить</v>
      </c>
      <c r="D85" s="3" t="s">
        <v>222</v>
      </c>
      <c r="E85" s="3" t="s">
        <v>223</v>
      </c>
      <c r="F85" s="3" t="s">
        <v>141</v>
      </c>
      <c r="G85" s="3" t="s">
        <v>110</v>
      </c>
      <c r="H85" s="3">
        <v>1</v>
      </c>
      <c r="I85" s="3">
        <v>1</v>
      </c>
      <c r="J85" s="3" t="s">
        <v>18</v>
      </c>
      <c r="K85" s="5">
        <v>0.02</v>
      </c>
      <c r="L85" s="6">
        <v>4690654994310</v>
      </c>
      <c r="M85" s="7" t="s">
        <v>224</v>
      </c>
      <c r="N85" s="8">
        <f>VLOOKUP(B85,'[1]новый без картинок'!$A$5:$F$2672,6,0)</f>
        <v>105</v>
      </c>
    </row>
    <row r="86" spans="1:14" ht="138.6" customHeight="1" x14ac:dyDescent="0.2">
      <c r="A86" s="3">
        <v>84</v>
      </c>
      <c r="B86" s="3">
        <v>780256</v>
      </c>
      <c r="C86" s="4" t="str">
        <f>HYPERLINK("http://optservis.net:5080/photo?tov_code_internet=780256","Увеличить")</f>
        <v>Увеличить</v>
      </c>
      <c r="D86" s="3" t="s">
        <v>222</v>
      </c>
      <c r="E86" s="3" t="s">
        <v>223</v>
      </c>
      <c r="F86" s="3" t="s">
        <v>225</v>
      </c>
      <c r="G86" s="3" t="s">
        <v>110</v>
      </c>
      <c r="H86" s="3">
        <v>1</v>
      </c>
      <c r="I86" s="3">
        <v>1</v>
      </c>
      <c r="J86" s="3" t="s">
        <v>18</v>
      </c>
      <c r="K86" s="5">
        <v>0.02</v>
      </c>
      <c r="L86" s="6">
        <v>4690654994327</v>
      </c>
      <c r="M86" s="7" t="s">
        <v>224</v>
      </c>
      <c r="N86" s="8">
        <f>VLOOKUP(B86,'[1]новый без картинок'!$A$5:$F$2672,6,0)</f>
        <v>113</v>
      </c>
    </row>
    <row r="87" spans="1:14" ht="138.6" customHeight="1" x14ac:dyDescent="0.2">
      <c r="A87" s="3">
        <v>85</v>
      </c>
      <c r="B87" s="3">
        <v>197492</v>
      </c>
      <c r="C87" s="4" t="str">
        <f>HYPERLINK("http://optservis.net:5080/photo?tov_code_internet=197492","Увеличить")</f>
        <v>Увеличить</v>
      </c>
      <c r="D87" s="3" t="s">
        <v>226</v>
      </c>
      <c r="E87" s="3" t="s">
        <v>227</v>
      </c>
      <c r="F87" s="3" t="s">
        <v>186</v>
      </c>
      <c r="G87" s="3" t="s">
        <v>228</v>
      </c>
      <c r="H87" s="3">
        <v>1</v>
      </c>
      <c r="I87" s="3">
        <v>1</v>
      </c>
      <c r="J87" s="3" t="s">
        <v>18</v>
      </c>
      <c r="K87" s="5">
        <v>0.02</v>
      </c>
      <c r="L87" s="6">
        <v>4690654994334</v>
      </c>
      <c r="M87" s="7" t="s">
        <v>229</v>
      </c>
      <c r="N87" s="8">
        <f>VLOOKUP(B87,'[1]новый без картинок'!$A$5:$F$2672,6,0)</f>
        <v>116</v>
      </c>
    </row>
    <row r="88" spans="1:14" ht="138.6" customHeight="1" x14ac:dyDescent="0.2">
      <c r="A88" s="3">
        <v>86</v>
      </c>
      <c r="B88" s="3">
        <v>903278</v>
      </c>
      <c r="C88" s="4" t="str">
        <f>HYPERLINK("http://optservis.net:5080/photo?tov_code_internet=903278","Увеличить")</f>
        <v>Увеличить</v>
      </c>
      <c r="D88" s="3" t="s">
        <v>230</v>
      </c>
      <c r="E88" s="3" t="s">
        <v>231</v>
      </c>
      <c r="F88" s="3" t="s">
        <v>232</v>
      </c>
      <c r="G88" s="3" t="s">
        <v>233</v>
      </c>
      <c r="H88" s="3">
        <v>1</v>
      </c>
      <c r="I88" s="3">
        <v>1</v>
      </c>
      <c r="J88" s="3" t="s">
        <v>18</v>
      </c>
      <c r="K88" s="5">
        <v>0.03</v>
      </c>
      <c r="L88" s="6">
        <v>4640020770246</v>
      </c>
      <c r="M88" s="7" t="s">
        <v>234</v>
      </c>
      <c r="N88" s="8">
        <f>VLOOKUP(B88,'[1]новый без картинок'!$A$5:$F$2672,6,0)</f>
        <v>153</v>
      </c>
    </row>
    <row r="89" spans="1:14" ht="138.6" customHeight="1" x14ac:dyDescent="0.2">
      <c r="A89" s="3">
        <v>87</v>
      </c>
      <c r="B89" s="3">
        <v>983007</v>
      </c>
      <c r="C89" s="4" t="str">
        <f>HYPERLINK("http://optservis.net:5080/photo?tov_code_internet=983007","Увеличить")</f>
        <v>Увеличить</v>
      </c>
      <c r="D89" s="3" t="s">
        <v>235</v>
      </c>
      <c r="E89" s="3" t="s">
        <v>236</v>
      </c>
      <c r="F89" s="3" t="s">
        <v>237</v>
      </c>
      <c r="G89" s="3" t="s">
        <v>238</v>
      </c>
      <c r="H89" s="3">
        <v>1</v>
      </c>
      <c r="I89" s="3">
        <v>1</v>
      </c>
      <c r="J89" s="3" t="s">
        <v>18</v>
      </c>
      <c r="K89" s="5">
        <v>0.03</v>
      </c>
      <c r="L89" s="6">
        <v>4640020778310</v>
      </c>
      <c r="M89" s="7" t="s">
        <v>239</v>
      </c>
      <c r="N89" s="8">
        <f>VLOOKUP(B89,'[1]новый без картинок'!$A$5:$F$2672,6,0)</f>
        <v>233</v>
      </c>
    </row>
    <row r="90" spans="1:14" ht="138.6" customHeight="1" x14ac:dyDescent="0.2">
      <c r="A90" s="3">
        <v>88</v>
      </c>
      <c r="B90" s="3">
        <v>920129</v>
      </c>
      <c r="C90" s="4" t="str">
        <f>HYPERLINK("http://optservis.net:5080/photo?tov_code_internet=920129","Увеличить")</f>
        <v>Увеличить</v>
      </c>
      <c r="D90" s="3" t="s">
        <v>235</v>
      </c>
      <c r="E90" s="3" t="s">
        <v>236</v>
      </c>
      <c r="F90" s="3" t="s">
        <v>240</v>
      </c>
      <c r="G90" s="3" t="s">
        <v>241</v>
      </c>
      <c r="H90" s="3">
        <v>1</v>
      </c>
      <c r="I90" s="3">
        <v>1</v>
      </c>
      <c r="J90" s="3" t="s">
        <v>18</v>
      </c>
      <c r="K90" s="5">
        <v>0.03</v>
      </c>
      <c r="L90" s="6">
        <v>4640020772387</v>
      </c>
      <c r="M90" s="7" t="s">
        <v>242</v>
      </c>
      <c r="N90" s="8">
        <f>VLOOKUP(B90,'[1]новый без картинок'!$A$5:$F$2672,6,0)</f>
        <v>225</v>
      </c>
    </row>
    <row r="91" spans="1:14" ht="151.15" customHeight="1" x14ac:dyDescent="0.2">
      <c r="A91" s="3">
        <v>89</v>
      </c>
      <c r="B91" s="3">
        <v>963661</v>
      </c>
      <c r="C91" s="4" t="str">
        <f>HYPERLINK("http://optservis.net:5080/photo?tov_code_internet=963661","Увеличить")</f>
        <v>Увеличить</v>
      </c>
      <c r="D91" s="3" t="s">
        <v>243</v>
      </c>
      <c r="E91" s="3" t="s">
        <v>244</v>
      </c>
      <c r="F91" s="3" t="s">
        <v>139</v>
      </c>
      <c r="G91" s="3" t="s">
        <v>110</v>
      </c>
      <c r="H91" s="3">
        <v>1</v>
      </c>
      <c r="I91" s="3">
        <v>1</v>
      </c>
      <c r="J91" s="3" t="s">
        <v>18</v>
      </c>
      <c r="K91" s="5">
        <v>0.04</v>
      </c>
      <c r="L91" s="6">
        <v>4640020776484</v>
      </c>
      <c r="M91" s="7" t="s">
        <v>245</v>
      </c>
      <c r="N91" s="8">
        <f>VLOOKUP(B91,'[1]новый без картинок'!$A$5:$F$2672,6,0)</f>
        <v>182</v>
      </c>
    </row>
    <row r="92" spans="1:14" ht="151.15" customHeight="1" x14ac:dyDescent="0.2">
      <c r="A92" s="3">
        <v>90</v>
      </c>
      <c r="B92" s="3">
        <v>163095</v>
      </c>
      <c r="C92" s="4" t="str">
        <f>HYPERLINK("http://optservis.net:5080/photo?tov_code_internet=163095","Увеличить")</f>
        <v>Увеличить</v>
      </c>
      <c r="D92" s="3" t="s">
        <v>243</v>
      </c>
      <c r="E92" s="3" t="s">
        <v>244</v>
      </c>
      <c r="F92" s="3" t="s">
        <v>246</v>
      </c>
      <c r="G92" s="3" t="s">
        <v>110</v>
      </c>
      <c r="H92" s="3">
        <v>1</v>
      </c>
      <c r="I92" s="3">
        <v>1</v>
      </c>
      <c r="J92" s="3" t="s">
        <v>18</v>
      </c>
      <c r="K92" s="5">
        <v>0.04</v>
      </c>
      <c r="L92" s="6">
        <v>4690654006792</v>
      </c>
      <c r="M92" s="7" t="s">
        <v>247</v>
      </c>
      <c r="N92" s="8">
        <f>VLOOKUP(B92,'[1]новый без картинок'!$A$5:$F$2672,6,0)</f>
        <v>263</v>
      </c>
    </row>
    <row r="93" spans="1:14" ht="138.6" customHeight="1" x14ac:dyDescent="0.2">
      <c r="A93" s="3">
        <v>91</v>
      </c>
      <c r="B93" s="3">
        <v>963662</v>
      </c>
      <c r="C93" s="4" t="str">
        <f>HYPERLINK("http://optservis.net:5080/photo?tov_code_internet=963662","Увеличить")</f>
        <v>Увеличить</v>
      </c>
      <c r="D93" s="3" t="s">
        <v>243</v>
      </c>
      <c r="E93" s="3" t="s">
        <v>244</v>
      </c>
      <c r="F93" s="3" t="s">
        <v>141</v>
      </c>
      <c r="G93" s="3" t="s">
        <v>110</v>
      </c>
      <c r="H93" s="3">
        <v>1</v>
      </c>
      <c r="I93" s="3">
        <v>1</v>
      </c>
      <c r="J93" s="3" t="s">
        <v>18</v>
      </c>
      <c r="K93" s="5">
        <v>0.04</v>
      </c>
      <c r="L93" s="6">
        <v>4640020776491</v>
      </c>
      <c r="M93" s="7" t="s">
        <v>245</v>
      </c>
      <c r="N93" s="8">
        <f>VLOOKUP(B93,'[1]новый без картинок'!$A$5:$F$2672,6,0)</f>
        <v>174</v>
      </c>
    </row>
    <row r="94" spans="1:14" ht="151.15" customHeight="1" x14ac:dyDescent="0.2">
      <c r="A94" s="3">
        <v>92</v>
      </c>
      <c r="B94" s="3">
        <v>163096</v>
      </c>
      <c r="C94" s="4" t="str">
        <f>HYPERLINK("http://optservis.net:5080/photo?tov_code_internet=163096","Увеличить")</f>
        <v>Увеличить</v>
      </c>
      <c r="D94" s="3" t="s">
        <v>248</v>
      </c>
      <c r="E94" s="3" t="s">
        <v>249</v>
      </c>
      <c r="F94" s="3" t="s">
        <v>250</v>
      </c>
      <c r="G94" s="3" t="s">
        <v>110</v>
      </c>
      <c r="H94" s="3">
        <v>1</v>
      </c>
      <c r="I94" s="3">
        <v>1</v>
      </c>
      <c r="J94" s="3" t="s">
        <v>18</v>
      </c>
      <c r="K94" s="5">
        <v>0.04</v>
      </c>
      <c r="L94" s="6">
        <v>4690654006808</v>
      </c>
      <c r="M94" s="7" t="s">
        <v>251</v>
      </c>
      <c r="N94" s="8">
        <f>VLOOKUP(B94,'[1]новый без картинок'!$A$5:$F$2672,6,0)</f>
        <v>273</v>
      </c>
    </row>
    <row r="95" spans="1:14" ht="138.6" customHeight="1" x14ac:dyDescent="0.2">
      <c r="A95" s="3">
        <v>93</v>
      </c>
      <c r="B95" s="3">
        <v>182937</v>
      </c>
      <c r="C95" s="4" t="str">
        <f>HYPERLINK("http://optservis.net:5080/photo?tov_code_internet=182937","Увеличить")</f>
        <v>Увеличить</v>
      </c>
      <c r="D95" s="3" t="s">
        <v>248</v>
      </c>
      <c r="E95" s="3" t="s">
        <v>249</v>
      </c>
      <c r="F95" s="3" t="s">
        <v>252</v>
      </c>
      <c r="G95" s="3" t="s">
        <v>110</v>
      </c>
      <c r="H95" s="3">
        <v>1</v>
      </c>
      <c r="I95" s="3">
        <v>1</v>
      </c>
      <c r="J95" s="3" t="s">
        <v>18</v>
      </c>
      <c r="K95" s="5">
        <v>0.03</v>
      </c>
      <c r="L95" s="6">
        <v>4690654012304</v>
      </c>
      <c r="M95" s="7" t="s">
        <v>253</v>
      </c>
      <c r="N95" s="8">
        <f>VLOOKUP(B95,'[1]новый без картинок'!$A$5:$F$2672,6,0)</f>
        <v>220</v>
      </c>
    </row>
    <row r="96" spans="1:14" ht="151.15" customHeight="1" x14ac:dyDescent="0.2">
      <c r="A96" s="3">
        <v>94</v>
      </c>
      <c r="B96" s="3">
        <v>986267</v>
      </c>
      <c r="C96" s="4" t="str">
        <f>HYPERLINK("http://optservis.net:5080/photo?tov_code_internet=986267","Увеличить")</f>
        <v>Увеличить</v>
      </c>
      <c r="D96" s="3" t="s">
        <v>248</v>
      </c>
      <c r="E96" s="3" t="s">
        <v>249</v>
      </c>
      <c r="F96" s="3" t="s">
        <v>254</v>
      </c>
      <c r="G96" s="3" t="s">
        <v>110</v>
      </c>
      <c r="H96" s="3">
        <v>1</v>
      </c>
      <c r="I96" s="3">
        <v>1</v>
      </c>
      <c r="J96" s="3" t="s">
        <v>18</v>
      </c>
      <c r="K96" s="5">
        <v>0.04</v>
      </c>
      <c r="L96" s="6">
        <v>4640020778648</v>
      </c>
      <c r="M96" s="7" t="s">
        <v>255</v>
      </c>
      <c r="N96" s="8">
        <f>VLOOKUP(B96,'[1]новый без картинок'!$A$5:$F$2672,6,0)</f>
        <v>190</v>
      </c>
    </row>
    <row r="97" spans="1:14" ht="149.44999999999999" customHeight="1" x14ac:dyDescent="0.2">
      <c r="A97" s="3">
        <v>95</v>
      </c>
      <c r="B97" s="3">
        <v>986269</v>
      </c>
      <c r="C97" s="4" t="str">
        <f>HYPERLINK("http://optservis.net:5080/photo?tov_code_internet=986269","Увеличить")</f>
        <v>Увеличить</v>
      </c>
      <c r="D97" s="3" t="s">
        <v>256</v>
      </c>
      <c r="E97" s="3" t="s">
        <v>257</v>
      </c>
      <c r="F97" s="3" t="s">
        <v>258</v>
      </c>
      <c r="G97" s="3" t="s">
        <v>110</v>
      </c>
      <c r="H97" s="3">
        <v>1</v>
      </c>
      <c r="I97" s="3">
        <v>1</v>
      </c>
      <c r="J97" s="3" t="s">
        <v>18</v>
      </c>
      <c r="K97" s="5">
        <v>0.03</v>
      </c>
      <c r="L97" s="6">
        <v>4640020778662</v>
      </c>
      <c r="M97" s="7" t="s">
        <v>259</v>
      </c>
      <c r="N97" s="8">
        <f>VLOOKUP(B97,'[1]новый без картинок'!$A$5:$F$2672,6,0)</f>
        <v>170</v>
      </c>
    </row>
    <row r="98" spans="1:14" ht="149.44999999999999" customHeight="1" x14ac:dyDescent="0.2">
      <c r="A98" s="3">
        <v>96</v>
      </c>
      <c r="B98" s="3">
        <v>49972</v>
      </c>
      <c r="C98" s="4" t="str">
        <f>HYPERLINK("http://optservis.net:5080/photo?tov_code_internet=49972","Увеличить")</f>
        <v>Увеличить</v>
      </c>
      <c r="D98" s="3" t="s">
        <v>260</v>
      </c>
      <c r="E98" s="3" t="s">
        <v>261</v>
      </c>
      <c r="F98" s="3" t="s">
        <v>71</v>
      </c>
      <c r="G98" s="3" t="s">
        <v>110</v>
      </c>
      <c r="H98" s="3">
        <v>1</v>
      </c>
      <c r="I98" s="3">
        <v>1</v>
      </c>
      <c r="J98" s="3" t="s">
        <v>18</v>
      </c>
      <c r="K98" s="5">
        <v>0.32</v>
      </c>
      <c r="L98" s="6">
        <v>4690654000042</v>
      </c>
      <c r="M98" s="7" t="s">
        <v>262</v>
      </c>
      <c r="N98" s="8">
        <f>VLOOKUP(B98,'[1]новый без картинок'!$A$5:$F$2672,6,0)</f>
        <v>277</v>
      </c>
    </row>
    <row r="99" spans="1:14" ht="149.44999999999999" customHeight="1" x14ac:dyDescent="0.2">
      <c r="A99" s="3">
        <v>97</v>
      </c>
      <c r="B99" s="3">
        <v>147782</v>
      </c>
      <c r="C99" s="4" t="str">
        <f>HYPERLINK("http://optservis.net:5080/photo?tov_code_internet=147782","Увеличить")</f>
        <v>Увеличить</v>
      </c>
      <c r="D99" s="3" t="s">
        <v>263</v>
      </c>
      <c r="E99" s="3" t="s">
        <v>264</v>
      </c>
      <c r="F99" s="3" t="s">
        <v>265</v>
      </c>
      <c r="G99" s="3" t="s">
        <v>110</v>
      </c>
      <c r="H99" s="3">
        <v>1</v>
      </c>
      <c r="I99" s="3">
        <v>1</v>
      </c>
      <c r="J99" s="3" t="s">
        <v>18</v>
      </c>
      <c r="K99" s="5">
        <v>0.03</v>
      </c>
      <c r="L99" s="6">
        <v>4690654004514</v>
      </c>
      <c r="M99" s="7" t="s">
        <v>266</v>
      </c>
      <c r="N99" s="8">
        <f>VLOOKUP(B99,'[1]новый без картинок'!$A$5:$F$2672,6,0)</f>
        <v>251</v>
      </c>
    </row>
    <row r="100" spans="1:14" ht="149.44999999999999" customHeight="1" x14ac:dyDescent="0.2">
      <c r="A100" s="3">
        <v>98</v>
      </c>
      <c r="B100" s="3">
        <v>147781</v>
      </c>
      <c r="C100" s="4" t="str">
        <f>HYPERLINK("http://optservis.net:5080/photo?tov_code_internet=147781","Увеличить")</f>
        <v>Увеличить</v>
      </c>
      <c r="D100" s="3" t="s">
        <v>263</v>
      </c>
      <c r="E100" s="3" t="s">
        <v>264</v>
      </c>
      <c r="F100" s="3" t="s">
        <v>258</v>
      </c>
      <c r="G100" s="3" t="s">
        <v>110</v>
      </c>
      <c r="H100" s="3">
        <v>1</v>
      </c>
      <c r="I100" s="3">
        <v>1</v>
      </c>
      <c r="J100" s="3" t="s">
        <v>18</v>
      </c>
      <c r="K100" s="5">
        <v>0.03</v>
      </c>
      <c r="L100" s="6">
        <v>4690654004521</v>
      </c>
      <c r="M100" s="7" t="s">
        <v>267</v>
      </c>
      <c r="N100" s="8">
        <f>VLOOKUP(B100,'[1]новый без картинок'!$A$5:$F$2672,6,0)</f>
        <v>257</v>
      </c>
    </row>
    <row r="101" spans="1:14" ht="138.6" customHeight="1" x14ac:dyDescent="0.2">
      <c r="A101" s="3">
        <v>99</v>
      </c>
      <c r="B101" s="3">
        <v>200372</v>
      </c>
      <c r="C101" s="4" t="str">
        <f>HYPERLINK("http://optservis.net:5080/photo?tov_code_internet=200372","Увеличить")</f>
        <v>Увеличить</v>
      </c>
      <c r="D101" s="3" t="s">
        <v>268</v>
      </c>
      <c r="E101" s="3" t="s">
        <v>269</v>
      </c>
      <c r="F101" s="3" t="s">
        <v>202</v>
      </c>
      <c r="G101" s="3" t="s">
        <v>110</v>
      </c>
      <c r="H101" s="3">
        <v>1</v>
      </c>
      <c r="I101" s="3">
        <v>1</v>
      </c>
      <c r="J101" s="3" t="s">
        <v>18</v>
      </c>
      <c r="K101" s="5">
        <v>0.01</v>
      </c>
      <c r="L101" s="6">
        <v>4640020772912</v>
      </c>
      <c r="M101" s="7" t="s">
        <v>270</v>
      </c>
      <c r="N101" s="8">
        <f>VLOOKUP(B101,'[1]новый без картинок'!$A$5:$F$2672,6,0)</f>
        <v>78</v>
      </c>
    </row>
    <row r="102" spans="1:14" ht="138.6" customHeight="1" x14ac:dyDescent="0.2">
      <c r="A102" s="3">
        <v>100</v>
      </c>
      <c r="B102" s="3">
        <v>200377</v>
      </c>
      <c r="C102" s="4" t="str">
        <f>HYPERLINK("http://optservis.net:5080/photo?tov_code_internet=200377","Увеличить")</f>
        <v>Увеличить</v>
      </c>
      <c r="D102" s="3" t="s">
        <v>268</v>
      </c>
      <c r="E102" s="3" t="s">
        <v>269</v>
      </c>
      <c r="F102" s="3" t="s">
        <v>186</v>
      </c>
      <c r="G102" s="3" t="s">
        <v>110</v>
      </c>
      <c r="H102" s="3">
        <v>1</v>
      </c>
      <c r="I102" s="3">
        <v>1</v>
      </c>
      <c r="J102" s="3" t="s">
        <v>18</v>
      </c>
      <c r="K102" s="5">
        <v>0.01</v>
      </c>
      <c r="L102" s="6">
        <v>4690654999872</v>
      </c>
      <c r="M102" s="7" t="s">
        <v>271</v>
      </c>
      <c r="N102" s="8">
        <f>VLOOKUP(B102,'[1]новый без картинок'!$A$5:$F$2672,6,0)</f>
        <v>78</v>
      </c>
    </row>
    <row r="103" spans="1:14" ht="138.6" customHeight="1" x14ac:dyDescent="0.2">
      <c r="A103" s="3">
        <v>101</v>
      </c>
      <c r="B103" s="3">
        <v>853592</v>
      </c>
      <c r="C103" s="4" t="str">
        <f>HYPERLINK("http://optservis.net:5080/photo?tov_code_internet=853592","Увеличить")</f>
        <v>Увеличить</v>
      </c>
      <c r="D103" s="3" t="s">
        <v>272</v>
      </c>
      <c r="E103" s="3" t="s">
        <v>273</v>
      </c>
      <c r="F103" s="3" t="s">
        <v>179</v>
      </c>
      <c r="G103" s="3" t="s">
        <v>110</v>
      </c>
      <c r="H103" s="3">
        <v>8</v>
      </c>
      <c r="I103" s="3">
        <v>1</v>
      </c>
      <c r="J103" s="3" t="s">
        <v>18</v>
      </c>
      <c r="K103" s="5">
        <v>1.38</v>
      </c>
      <c r="L103" s="6">
        <v>4690654996956</v>
      </c>
      <c r="M103" s="7" t="s">
        <v>274</v>
      </c>
      <c r="N103" s="8">
        <f>VLOOKUP(B103,'[1]новый без картинок'!$A$5:$F$2672,6,0)</f>
        <v>57</v>
      </c>
    </row>
    <row r="104" spans="1:14" ht="138.6" customHeight="1" x14ac:dyDescent="0.2">
      <c r="A104" s="3">
        <v>102</v>
      </c>
      <c r="B104" s="3">
        <v>868604</v>
      </c>
      <c r="C104" s="4" t="str">
        <f>HYPERLINK("http://optservis.net:5080/photo?tov_code_internet=868604","Увеличить")</f>
        <v>Увеличить</v>
      </c>
      <c r="D104" s="3" t="s">
        <v>275</v>
      </c>
      <c r="E104" s="3" t="s">
        <v>276</v>
      </c>
      <c r="F104" s="3" t="s">
        <v>179</v>
      </c>
      <c r="G104" s="3" t="s">
        <v>110</v>
      </c>
      <c r="H104" s="3">
        <v>1</v>
      </c>
      <c r="I104" s="3">
        <v>1</v>
      </c>
      <c r="J104" s="3" t="s">
        <v>18</v>
      </c>
      <c r="K104" s="5">
        <v>0.01</v>
      </c>
      <c r="L104" s="6">
        <v>4690654997564</v>
      </c>
      <c r="M104" s="7" t="s">
        <v>277</v>
      </c>
      <c r="N104" s="8">
        <f>VLOOKUP(B104,'[1]новый без картинок'!$A$5:$F$2672,6,0)</f>
        <v>64</v>
      </c>
    </row>
    <row r="105" spans="1:14" ht="138.6" customHeight="1" x14ac:dyDescent="0.2">
      <c r="A105" s="3">
        <v>103</v>
      </c>
      <c r="B105" s="3">
        <v>183257</v>
      </c>
      <c r="C105" s="4" t="str">
        <f>HYPERLINK("http://optservis.net:5080/photo?tov_code_internet=183257","Увеличить")</f>
        <v>Увеличить</v>
      </c>
      <c r="D105" s="3" t="s">
        <v>278</v>
      </c>
      <c r="E105" s="3" t="s">
        <v>279</v>
      </c>
      <c r="F105" s="3" t="s">
        <v>280</v>
      </c>
      <c r="G105" s="3" t="s">
        <v>110</v>
      </c>
      <c r="H105" s="3">
        <v>1</v>
      </c>
      <c r="I105" s="3">
        <v>1</v>
      </c>
      <c r="J105" s="3" t="s">
        <v>18</v>
      </c>
      <c r="K105" s="5">
        <v>0.02</v>
      </c>
      <c r="L105" s="6">
        <v>4690654011598</v>
      </c>
      <c r="M105" s="7" t="s">
        <v>281</v>
      </c>
      <c r="N105" s="8">
        <f>VLOOKUP(B105,'[1]новый без картинок'!$A$5:$F$2672,6,0)</f>
        <v>49</v>
      </c>
    </row>
    <row r="106" spans="1:14" ht="138.6" customHeight="1" x14ac:dyDescent="0.2">
      <c r="A106" s="3">
        <v>104</v>
      </c>
      <c r="B106" s="3">
        <v>832334</v>
      </c>
      <c r="C106" s="4" t="str">
        <f>HYPERLINK("http://optservis.net:5080/photo?tov_code_internet=832334","Увеличить")</f>
        <v>Увеличить</v>
      </c>
      <c r="D106" s="3" t="s">
        <v>282</v>
      </c>
      <c r="E106" s="3" t="s">
        <v>283</v>
      </c>
      <c r="F106" s="3" t="s">
        <v>284</v>
      </c>
      <c r="G106" s="3" t="s">
        <v>228</v>
      </c>
      <c r="H106" s="3">
        <v>1</v>
      </c>
      <c r="I106" s="3">
        <v>1</v>
      </c>
      <c r="J106" s="3" t="s">
        <v>18</v>
      </c>
      <c r="K106" s="5">
        <v>0.04</v>
      </c>
      <c r="L106" s="6">
        <v>4690654996192</v>
      </c>
      <c r="M106" s="7" t="s">
        <v>285</v>
      </c>
      <c r="N106" s="8">
        <f>VLOOKUP(B106,'[1]новый без картинок'!$A$5:$F$2672,6,0)</f>
        <v>117</v>
      </c>
    </row>
    <row r="107" spans="1:14" ht="138.6" customHeight="1" x14ac:dyDescent="0.2">
      <c r="A107" s="3">
        <v>105</v>
      </c>
      <c r="B107" s="3">
        <v>832336</v>
      </c>
      <c r="C107" s="4" t="str">
        <f>HYPERLINK("http://optservis.net:5080/photo?tov_code_internet=832336","Увеличить")</f>
        <v>Увеличить</v>
      </c>
      <c r="D107" s="3" t="s">
        <v>282</v>
      </c>
      <c r="E107" s="3" t="s">
        <v>283</v>
      </c>
      <c r="F107" s="3" t="s">
        <v>286</v>
      </c>
      <c r="G107" s="3" t="s">
        <v>228</v>
      </c>
      <c r="H107" s="3">
        <v>1</v>
      </c>
      <c r="I107" s="3">
        <v>1</v>
      </c>
      <c r="J107" s="3" t="s">
        <v>18</v>
      </c>
      <c r="K107" s="5">
        <v>0.04</v>
      </c>
      <c r="L107" s="6">
        <v>4690654996208</v>
      </c>
      <c r="M107" s="7" t="s">
        <v>285</v>
      </c>
      <c r="N107" s="8">
        <f>VLOOKUP(B107,'[1]новый без картинок'!$A$5:$F$2672,6,0)</f>
        <v>112</v>
      </c>
    </row>
    <row r="108" spans="1:14" ht="138.6" customHeight="1" x14ac:dyDescent="0.2">
      <c r="A108" s="3">
        <v>106</v>
      </c>
      <c r="B108" s="3">
        <v>847914</v>
      </c>
      <c r="C108" s="4" t="str">
        <f>HYPERLINK("http://optservis.net:5080/photo?tov_code_internet=847914","Увеличить")</f>
        <v>Увеличить</v>
      </c>
      <c r="D108" s="3" t="s">
        <v>287</v>
      </c>
      <c r="E108" s="3" t="s">
        <v>288</v>
      </c>
      <c r="F108" s="3" t="s">
        <v>289</v>
      </c>
      <c r="G108" s="3" t="s">
        <v>290</v>
      </c>
      <c r="H108" s="3">
        <v>1</v>
      </c>
      <c r="I108" s="3">
        <v>1</v>
      </c>
      <c r="J108" s="3" t="s">
        <v>18</v>
      </c>
      <c r="K108" s="5">
        <v>0.04</v>
      </c>
      <c r="L108" s="6">
        <v>4690654996604</v>
      </c>
      <c r="M108" s="7" t="s">
        <v>291</v>
      </c>
      <c r="N108" s="8">
        <f>VLOOKUP(B108,'[1]новый без картинок'!$A$5:$F$2672,6,0)</f>
        <v>156</v>
      </c>
    </row>
    <row r="109" spans="1:14" ht="149.44999999999999" customHeight="1" x14ac:dyDescent="0.2">
      <c r="A109" s="3">
        <v>107</v>
      </c>
      <c r="B109" s="3">
        <v>903276</v>
      </c>
      <c r="C109" s="4" t="str">
        <f>HYPERLINK("http://optservis.net:5080/photo?tov_code_internet=903276","Увеличить")</f>
        <v>Увеличить</v>
      </c>
      <c r="D109" s="3" t="s">
        <v>292</v>
      </c>
      <c r="E109" s="3" t="s">
        <v>293</v>
      </c>
      <c r="F109" s="3" t="s">
        <v>294</v>
      </c>
      <c r="G109" s="3" t="s">
        <v>233</v>
      </c>
      <c r="H109" s="3">
        <v>1</v>
      </c>
      <c r="I109" s="3">
        <v>1</v>
      </c>
      <c r="J109" s="3" t="s">
        <v>18</v>
      </c>
      <c r="K109" s="5">
        <v>0.02</v>
      </c>
      <c r="L109" s="6">
        <v>4640020770239</v>
      </c>
      <c r="M109" s="7" t="s">
        <v>295</v>
      </c>
      <c r="N109" s="8">
        <f>VLOOKUP(B109,'[1]новый без картинок'!$A$5:$F$2672,6,0)</f>
        <v>163</v>
      </c>
    </row>
    <row r="110" spans="1:14" ht="151.15" customHeight="1" x14ac:dyDescent="0.2">
      <c r="A110" s="3">
        <v>108</v>
      </c>
      <c r="B110" s="3">
        <v>933039</v>
      </c>
      <c r="C110" s="4" t="str">
        <f>HYPERLINK("http://optservis.net:5080/photo?tov_code_internet=933039","Увеличить")</f>
        <v>Увеличить</v>
      </c>
      <c r="D110" s="3" t="s">
        <v>296</v>
      </c>
      <c r="E110" s="3" t="s">
        <v>297</v>
      </c>
      <c r="F110" s="3" t="s">
        <v>151</v>
      </c>
      <c r="G110" s="3" t="s">
        <v>298</v>
      </c>
      <c r="H110" s="3">
        <v>1</v>
      </c>
      <c r="I110" s="3">
        <v>1</v>
      </c>
      <c r="J110" s="3" t="s">
        <v>18</v>
      </c>
      <c r="K110" s="5">
        <v>0.03</v>
      </c>
      <c r="L110" s="6">
        <v>4640020773155</v>
      </c>
      <c r="M110" s="7" t="s">
        <v>299</v>
      </c>
      <c r="N110" s="8">
        <f>VLOOKUP(B110,'[1]новый без картинок'!$A$5:$F$2672,6,0)</f>
        <v>316</v>
      </c>
    </row>
    <row r="111" spans="1:14" ht="138.6" customHeight="1" x14ac:dyDescent="0.2">
      <c r="A111" s="3">
        <v>109</v>
      </c>
      <c r="B111" s="3">
        <v>933040</v>
      </c>
      <c r="C111" s="4" t="str">
        <f>HYPERLINK("http://optservis.net:5080/photo?tov_code_internet=933040","Увеличить")</f>
        <v>Увеличить</v>
      </c>
      <c r="D111" s="3" t="s">
        <v>296</v>
      </c>
      <c r="E111" s="3" t="s">
        <v>297</v>
      </c>
      <c r="F111" s="3" t="s">
        <v>153</v>
      </c>
      <c r="G111" s="3" t="s">
        <v>300</v>
      </c>
      <c r="H111" s="3">
        <v>1</v>
      </c>
      <c r="I111" s="3">
        <v>1</v>
      </c>
      <c r="J111" s="3" t="s">
        <v>18</v>
      </c>
      <c r="K111" s="5">
        <v>0.03</v>
      </c>
      <c r="L111" s="6">
        <v>4640020773162</v>
      </c>
      <c r="M111" s="7" t="s">
        <v>299</v>
      </c>
      <c r="N111" s="8">
        <f>VLOOKUP(B111,'[1]новый без картинок'!$A$5:$F$2672,6,0)</f>
        <v>334</v>
      </c>
    </row>
    <row r="112" spans="1:14" ht="151.15" customHeight="1" x14ac:dyDescent="0.2">
      <c r="A112" s="3">
        <v>110</v>
      </c>
      <c r="B112" s="3">
        <v>985627</v>
      </c>
      <c r="C112" s="4" t="str">
        <f>HYPERLINK("http://optservis.net:5080/photo?tov_code_internet=985627","Увеличить")</f>
        <v>Увеличить</v>
      </c>
      <c r="D112" s="3" t="s">
        <v>296</v>
      </c>
      <c r="E112" s="3" t="s">
        <v>297</v>
      </c>
      <c r="F112" s="3" t="s">
        <v>154</v>
      </c>
      <c r="G112" s="3" t="s">
        <v>298</v>
      </c>
      <c r="H112" s="3">
        <v>1</v>
      </c>
      <c r="I112" s="3">
        <v>1</v>
      </c>
      <c r="J112" s="3" t="s">
        <v>18</v>
      </c>
      <c r="K112" s="5">
        <v>0.03</v>
      </c>
      <c r="L112" s="6">
        <v>4640020778440</v>
      </c>
      <c r="M112" s="7" t="s">
        <v>301</v>
      </c>
      <c r="N112" s="8">
        <f>VLOOKUP(B112,'[1]новый без картинок'!$A$5:$F$2672,6,0)</f>
        <v>295</v>
      </c>
    </row>
    <row r="113" spans="1:14" ht="138.6" customHeight="1" x14ac:dyDescent="0.2">
      <c r="A113" s="3">
        <v>111</v>
      </c>
      <c r="B113" s="3">
        <v>172284</v>
      </c>
      <c r="C113" s="4" t="str">
        <f>HYPERLINK("http://optservis.net:5080/photo?tov_code_internet=172284","Увеличить")</f>
        <v>Увеличить</v>
      </c>
      <c r="D113" s="3" t="s">
        <v>302</v>
      </c>
      <c r="E113" s="3" t="s">
        <v>303</v>
      </c>
      <c r="F113" s="3" t="s">
        <v>304</v>
      </c>
      <c r="G113" s="3" t="s">
        <v>300</v>
      </c>
      <c r="H113" s="3">
        <v>1</v>
      </c>
      <c r="I113" s="3">
        <v>1</v>
      </c>
      <c r="J113" s="3" t="s">
        <v>18</v>
      </c>
      <c r="K113" s="5">
        <v>0.02</v>
      </c>
      <c r="L113" s="6">
        <v>4690654012113</v>
      </c>
      <c r="M113" s="7" t="s">
        <v>305</v>
      </c>
      <c r="N113" s="8">
        <f>VLOOKUP(B113,'[1]новый без картинок'!$A$5:$F$2672,6,0)</f>
        <v>285</v>
      </c>
    </row>
    <row r="114" spans="1:14" ht="151.15" customHeight="1" x14ac:dyDescent="0.2">
      <c r="A114" s="3">
        <v>112</v>
      </c>
      <c r="B114" s="3">
        <v>172218</v>
      </c>
      <c r="C114" s="4" t="str">
        <f>HYPERLINK("http://optservis.net:5080/photo?tov_code_internet=172218","Увеличить")</f>
        <v>Увеличить</v>
      </c>
      <c r="D114" s="3" t="s">
        <v>302</v>
      </c>
      <c r="E114" s="3" t="s">
        <v>303</v>
      </c>
      <c r="F114" s="3" t="s">
        <v>153</v>
      </c>
      <c r="G114" s="3" t="s">
        <v>300</v>
      </c>
      <c r="H114" s="3">
        <v>1</v>
      </c>
      <c r="I114" s="3">
        <v>1</v>
      </c>
      <c r="J114" s="3" t="s">
        <v>18</v>
      </c>
      <c r="K114" s="5">
        <v>0.03</v>
      </c>
      <c r="L114" s="6">
        <v>4690654012137</v>
      </c>
      <c r="M114" s="7" t="s">
        <v>306</v>
      </c>
      <c r="N114" s="8">
        <f>VLOOKUP(B114,'[1]новый без картинок'!$A$5:$F$2672,6,0)</f>
        <v>255</v>
      </c>
    </row>
    <row r="115" spans="1:14" ht="151.15" customHeight="1" x14ac:dyDescent="0.2">
      <c r="A115" s="3">
        <v>113</v>
      </c>
      <c r="B115" s="3">
        <v>172285</v>
      </c>
      <c r="C115" s="4" t="str">
        <f>HYPERLINK("http://optservis.net:5080/photo?tov_code_internet=172285","Увеличить")</f>
        <v>Увеличить</v>
      </c>
      <c r="D115" s="3" t="s">
        <v>302</v>
      </c>
      <c r="E115" s="3" t="s">
        <v>303</v>
      </c>
      <c r="F115" s="3" t="s">
        <v>307</v>
      </c>
      <c r="G115" s="3" t="s">
        <v>300</v>
      </c>
      <c r="H115" s="3">
        <v>1</v>
      </c>
      <c r="I115" s="3">
        <v>1</v>
      </c>
      <c r="J115" s="3" t="s">
        <v>18</v>
      </c>
      <c r="K115" s="5">
        <v>0.03</v>
      </c>
      <c r="L115" s="6">
        <v>4690654012120</v>
      </c>
      <c r="M115" s="7" t="s">
        <v>306</v>
      </c>
      <c r="N115" s="8">
        <f>VLOOKUP(B115,'[1]новый без картинок'!$A$5:$F$2672,6,0)</f>
        <v>252</v>
      </c>
    </row>
    <row r="116" spans="1:14" ht="138.6" customHeight="1" x14ac:dyDescent="0.2">
      <c r="A116" s="3">
        <v>114</v>
      </c>
      <c r="B116" s="3">
        <v>858668</v>
      </c>
      <c r="C116" s="4" t="str">
        <f>HYPERLINK("http://optservis.net:5080/photo?tov_code_internet=858668","Увеличить")</f>
        <v>Увеличить</v>
      </c>
      <c r="D116" s="3" t="s">
        <v>308</v>
      </c>
      <c r="E116" s="3" t="s">
        <v>309</v>
      </c>
      <c r="F116" s="3" t="s">
        <v>202</v>
      </c>
      <c r="G116" s="3" t="s">
        <v>110</v>
      </c>
      <c r="H116" s="3">
        <v>1</v>
      </c>
      <c r="I116" s="3">
        <v>1</v>
      </c>
      <c r="J116" s="3" t="s">
        <v>18</v>
      </c>
      <c r="K116" s="5">
        <v>0.12</v>
      </c>
      <c r="L116" s="6">
        <v>4690654997250</v>
      </c>
      <c r="M116" s="7" t="s">
        <v>310</v>
      </c>
      <c r="N116" s="8">
        <f>VLOOKUP(B116,'[1]новый без картинок'!$A$5:$F$2672,6,0)</f>
        <v>122</v>
      </c>
    </row>
    <row r="117" spans="1:14" ht="138.6" customHeight="1" x14ac:dyDescent="0.2">
      <c r="A117" s="3">
        <v>115</v>
      </c>
      <c r="B117" s="3">
        <v>858670</v>
      </c>
      <c r="C117" s="4" t="str">
        <f>HYPERLINK("http://optservis.net:5080/photo?tov_code_internet=858670","Увеличить")</f>
        <v>Увеличить</v>
      </c>
      <c r="D117" s="3" t="s">
        <v>308</v>
      </c>
      <c r="E117" s="3" t="s">
        <v>309</v>
      </c>
      <c r="F117" s="3" t="s">
        <v>214</v>
      </c>
      <c r="G117" s="3" t="s">
        <v>311</v>
      </c>
      <c r="H117" s="3">
        <v>1</v>
      </c>
      <c r="I117" s="3">
        <v>1</v>
      </c>
      <c r="J117" s="3" t="s">
        <v>18</v>
      </c>
      <c r="K117" s="5">
        <v>0.12</v>
      </c>
      <c r="L117" s="6">
        <v>4690654997267</v>
      </c>
      <c r="M117" s="7" t="s">
        <v>310</v>
      </c>
      <c r="N117" s="8">
        <f>VLOOKUP(B117,'[1]новый без картинок'!$A$5:$F$2672,6,0)</f>
        <v>118</v>
      </c>
    </row>
    <row r="118" spans="1:14" ht="138.6" customHeight="1" x14ac:dyDescent="0.2">
      <c r="A118" s="3">
        <v>116</v>
      </c>
      <c r="B118" s="3">
        <v>858672</v>
      </c>
      <c r="C118" s="4" t="str">
        <f>HYPERLINK("http://optservis.net:5080/photo?tov_code_internet=858672","Увеличить")</f>
        <v>Увеличить</v>
      </c>
      <c r="D118" s="3" t="s">
        <v>308</v>
      </c>
      <c r="E118" s="3" t="s">
        <v>309</v>
      </c>
      <c r="F118" s="3" t="s">
        <v>186</v>
      </c>
      <c r="G118" s="3" t="s">
        <v>110</v>
      </c>
      <c r="H118" s="3">
        <v>1</v>
      </c>
      <c r="I118" s="3">
        <v>1</v>
      </c>
      <c r="J118" s="3" t="s">
        <v>18</v>
      </c>
      <c r="K118" s="5">
        <v>0.13</v>
      </c>
      <c r="L118" s="6">
        <v>4690654997274</v>
      </c>
      <c r="M118" s="7" t="s">
        <v>310</v>
      </c>
      <c r="N118" s="8">
        <f>VLOOKUP(B118,'[1]новый без картинок'!$A$5:$F$2672,6,0)</f>
        <v>116</v>
      </c>
    </row>
    <row r="119" spans="1:14" ht="138.6" customHeight="1" x14ac:dyDescent="0.2">
      <c r="A119" s="3">
        <v>117</v>
      </c>
      <c r="B119" s="3">
        <v>813952</v>
      </c>
      <c r="C119" s="4" t="str">
        <f>HYPERLINK("http://optservis.net:5080/photo?tov_code_internet=813952","Увеличить")</f>
        <v>Увеличить</v>
      </c>
      <c r="D119" s="3" t="s">
        <v>312</v>
      </c>
      <c r="E119" s="3" t="s">
        <v>313</v>
      </c>
      <c r="F119" s="3" t="s">
        <v>165</v>
      </c>
      <c r="G119" s="3" t="s">
        <v>110</v>
      </c>
      <c r="H119" s="3">
        <v>1</v>
      </c>
      <c r="I119" s="3">
        <v>1</v>
      </c>
      <c r="J119" s="3" t="s">
        <v>18</v>
      </c>
      <c r="K119" s="5">
        <v>0.03</v>
      </c>
      <c r="L119" s="6">
        <v>4690654995034</v>
      </c>
      <c r="M119" s="7" t="s">
        <v>314</v>
      </c>
      <c r="N119" s="8">
        <f>VLOOKUP(B119,'[1]новый без картинок'!$A$5:$F$2672,6,0)</f>
        <v>124</v>
      </c>
    </row>
    <row r="120" spans="1:14" ht="138.6" customHeight="1" x14ac:dyDescent="0.2">
      <c r="A120" s="3">
        <v>118</v>
      </c>
      <c r="B120" s="3">
        <v>710252</v>
      </c>
      <c r="C120" s="4" t="str">
        <f>HYPERLINK("http://optservis.net:5080/photo?tov_code_internet=710252","Увеличить")</f>
        <v>Увеличить</v>
      </c>
      <c r="D120" s="3" t="s">
        <v>315</v>
      </c>
      <c r="E120" s="3" t="s">
        <v>316</v>
      </c>
      <c r="F120" s="3" t="s">
        <v>317</v>
      </c>
      <c r="G120" s="3" t="s">
        <v>17</v>
      </c>
      <c r="H120" s="3">
        <v>1</v>
      </c>
      <c r="I120" s="3">
        <v>1</v>
      </c>
      <c r="J120" s="3" t="s">
        <v>18</v>
      </c>
      <c r="K120" s="5">
        <v>0.02</v>
      </c>
      <c r="L120" s="6">
        <v>4690654992712</v>
      </c>
      <c r="M120" s="7" t="s">
        <v>318</v>
      </c>
      <c r="N120" s="8">
        <f>VLOOKUP(B120,'[1]новый без картинок'!$A$5:$F$2672,6,0)</f>
        <v>121</v>
      </c>
    </row>
    <row r="121" spans="1:14" ht="138.6" customHeight="1" x14ac:dyDescent="0.2">
      <c r="A121" s="3">
        <v>119</v>
      </c>
      <c r="B121" s="3">
        <v>710250</v>
      </c>
      <c r="C121" s="4" t="str">
        <f>HYPERLINK("http://optservis.net:5080/photo?tov_code_internet=710250","Увеличить")</f>
        <v>Увеличить</v>
      </c>
      <c r="D121" s="3" t="s">
        <v>315</v>
      </c>
      <c r="E121" s="3" t="s">
        <v>316</v>
      </c>
      <c r="F121" s="3" t="s">
        <v>190</v>
      </c>
      <c r="G121" s="3" t="s">
        <v>110</v>
      </c>
      <c r="H121" s="3">
        <v>1</v>
      </c>
      <c r="I121" s="3">
        <v>1</v>
      </c>
      <c r="J121" s="3" t="s">
        <v>18</v>
      </c>
      <c r="K121" s="5">
        <v>0.03</v>
      </c>
      <c r="L121" s="6">
        <v>4690654992538</v>
      </c>
      <c r="M121" s="7" t="s">
        <v>318</v>
      </c>
      <c r="N121" s="8">
        <f>VLOOKUP(B121,'[1]новый без картинок'!$A$5:$F$2672,6,0)</f>
        <v>112</v>
      </c>
    </row>
    <row r="122" spans="1:14" ht="138.6" customHeight="1" x14ac:dyDescent="0.2">
      <c r="A122" s="3">
        <v>120</v>
      </c>
      <c r="B122" s="3">
        <v>189700</v>
      </c>
      <c r="C122" s="4" t="str">
        <f>HYPERLINK("http://optservis.net:5080/photo?tov_code_internet=189700","Увеличить")</f>
        <v>Увеличить</v>
      </c>
      <c r="D122" s="3" t="s">
        <v>319</v>
      </c>
      <c r="E122" s="3" t="s">
        <v>320</v>
      </c>
      <c r="F122" s="3" t="s">
        <v>321</v>
      </c>
      <c r="G122" s="3" t="s">
        <v>110</v>
      </c>
      <c r="H122" s="3">
        <v>2</v>
      </c>
      <c r="I122" s="3">
        <v>1</v>
      </c>
      <c r="J122" s="3" t="s">
        <v>18</v>
      </c>
      <c r="K122" s="5">
        <v>0.04</v>
      </c>
      <c r="L122" s="6">
        <v>4640020773506</v>
      </c>
      <c r="M122" s="7" t="s">
        <v>322</v>
      </c>
      <c r="N122" s="8">
        <f>VLOOKUP(B122,'[1]новый без картинок'!$A$5:$F$2672,6,0)</f>
        <v>46</v>
      </c>
    </row>
    <row r="123" spans="1:14" ht="138.6" customHeight="1" x14ac:dyDescent="0.2">
      <c r="A123" s="3">
        <v>121</v>
      </c>
      <c r="B123" s="3">
        <v>189701</v>
      </c>
      <c r="C123" s="4" t="str">
        <f>HYPERLINK("http://optservis.net:5080/photo?tov_code_internet=189701","Увеличить")</f>
        <v>Увеличить</v>
      </c>
      <c r="D123" s="3" t="s">
        <v>319</v>
      </c>
      <c r="E123" s="3" t="s">
        <v>320</v>
      </c>
      <c r="F123" s="3" t="s">
        <v>323</v>
      </c>
      <c r="G123" s="3" t="s">
        <v>110</v>
      </c>
      <c r="H123" s="3">
        <v>2</v>
      </c>
      <c r="I123" s="3">
        <v>1</v>
      </c>
      <c r="J123" s="3" t="s">
        <v>18</v>
      </c>
      <c r="K123" s="5">
        <v>0.02</v>
      </c>
      <c r="L123" s="6">
        <v>4640020773513</v>
      </c>
      <c r="M123" s="7" t="s">
        <v>322</v>
      </c>
      <c r="N123" s="8">
        <f>VLOOKUP(B123,'[1]новый без картинок'!$A$5:$F$2672,6,0)</f>
        <v>46</v>
      </c>
    </row>
    <row r="124" spans="1:14" ht="138.6" customHeight="1" x14ac:dyDescent="0.2">
      <c r="A124" s="3">
        <v>122</v>
      </c>
      <c r="B124" s="3">
        <v>189706</v>
      </c>
      <c r="C124" s="4" t="str">
        <f>HYPERLINK("http://optservis.net:5080/photo?tov_code_internet=189706","Увеличить")</f>
        <v>Увеличить</v>
      </c>
      <c r="D124" s="3" t="s">
        <v>324</v>
      </c>
      <c r="E124" s="3" t="s">
        <v>325</v>
      </c>
      <c r="F124" s="3" t="s">
        <v>323</v>
      </c>
      <c r="G124" s="3" t="s">
        <v>110</v>
      </c>
      <c r="H124" s="3">
        <v>2</v>
      </c>
      <c r="I124" s="3">
        <v>1</v>
      </c>
      <c r="J124" s="3" t="s">
        <v>18</v>
      </c>
      <c r="K124" s="5">
        <v>0.03</v>
      </c>
      <c r="L124" s="6">
        <v>4640020773520</v>
      </c>
      <c r="M124" s="7" t="s">
        <v>326</v>
      </c>
      <c r="N124" s="8">
        <f>VLOOKUP(B124,'[1]новый без картинок'!$A$5:$F$2672,6,0)</f>
        <v>42</v>
      </c>
    </row>
    <row r="125" spans="1:14" ht="149.44999999999999" customHeight="1" x14ac:dyDescent="0.2">
      <c r="A125" s="3">
        <v>123</v>
      </c>
      <c r="B125" s="3">
        <v>935831</v>
      </c>
      <c r="C125" s="4" t="str">
        <f>HYPERLINK("http://optservis.net:5080/photo?tov_code_internet=935831","Увеличить")</f>
        <v>Увеличить</v>
      </c>
      <c r="D125" s="3" t="s">
        <v>327</v>
      </c>
      <c r="E125" s="3" t="s">
        <v>328</v>
      </c>
      <c r="F125" s="3" t="s">
        <v>329</v>
      </c>
      <c r="G125" s="3" t="s">
        <v>110</v>
      </c>
      <c r="H125" s="3">
        <v>1</v>
      </c>
      <c r="I125" s="3">
        <v>1</v>
      </c>
      <c r="J125" s="3" t="s">
        <v>18</v>
      </c>
      <c r="K125" s="5">
        <v>0.02</v>
      </c>
      <c r="L125" s="6">
        <v>4640020773544</v>
      </c>
      <c r="M125" s="7" t="s">
        <v>330</v>
      </c>
      <c r="N125" s="8">
        <f>VLOOKUP(B125,'[1]новый без картинок'!$A$5:$F$2672,6,0)</f>
        <v>120</v>
      </c>
    </row>
    <row r="126" spans="1:14" ht="149.44999999999999" customHeight="1" x14ac:dyDescent="0.2">
      <c r="A126" s="3">
        <v>124</v>
      </c>
      <c r="B126" s="3">
        <v>935832</v>
      </c>
      <c r="C126" s="4" t="str">
        <f>HYPERLINK("http://optservis.net:5080/photo?tov_code_internet=935832","Увеличить")</f>
        <v>Увеличить</v>
      </c>
      <c r="D126" s="3" t="s">
        <v>327</v>
      </c>
      <c r="E126" s="3" t="s">
        <v>328</v>
      </c>
      <c r="F126" s="3" t="s">
        <v>265</v>
      </c>
      <c r="G126" s="3" t="s">
        <v>110</v>
      </c>
      <c r="H126" s="3">
        <v>1</v>
      </c>
      <c r="I126" s="3">
        <v>1</v>
      </c>
      <c r="J126" s="3" t="s">
        <v>18</v>
      </c>
      <c r="K126" s="5">
        <v>0.02</v>
      </c>
      <c r="L126" s="6">
        <v>4640020773537</v>
      </c>
      <c r="M126" s="7" t="s">
        <v>331</v>
      </c>
      <c r="N126" s="8">
        <f>VLOOKUP(B126,'[1]новый без картинок'!$A$5:$F$2672,6,0)</f>
        <v>120</v>
      </c>
    </row>
    <row r="127" spans="1:14" ht="138.6" customHeight="1" x14ac:dyDescent="0.2">
      <c r="A127" s="3">
        <v>125</v>
      </c>
      <c r="B127" s="3">
        <v>891628</v>
      </c>
      <c r="C127" s="4" t="str">
        <f>HYPERLINK("http://optservis.net:5080/photo?tov_code_internet=891628","Увеличить")</f>
        <v>Увеличить</v>
      </c>
      <c r="D127" s="3" t="s">
        <v>332</v>
      </c>
      <c r="E127" s="3" t="s">
        <v>333</v>
      </c>
      <c r="F127" s="3" t="s">
        <v>334</v>
      </c>
      <c r="G127" s="3" t="s">
        <v>175</v>
      </c>
      <c r="H127" s="3">
        <v>0.5</v>
      </c>
      <c r="I127" s="3">
        <v>0</v>
      </c>
      <c r="J127" s="3" t="s">
        <v>18</v>
      </c>
      <c r="K127" s="5">
        <v>0.05</v>
      </c>
      <c r="L127" s="6">
        <v>4690654999322</v>
      </c>
      <c r="M127" s="7" t="s">
        <v>335</v>
      </c>
      <c r="N127" s="8">
        <f>VLOOKUP(B127,'[1]новый без картинок'!$A$5:$F$2672,6,0)</f>
        <v>415</v>
      </c>
    </row>
    <row r="128" spans="1:14" ht="138.6" customHeight="1" x14ac:dyDescent="0.2">
      <c r="A128" s="3">
        <v>126</v>
      </c>
      <c r="B128" s="3">
        <v>820868</v>
      </c>
      <c r="C128" s="4" t="str">
        <f>HYPERLINK("http://optservis.net:5080/photo?tov_code_internet=820868","Увеличить")</f>
        <v>Увеличить</v>
      </c>
      <c r="D128" s="3" t="s">
        <v>336</v>
      </c>
      <c r="E128" s="3" t="s">
        <v>337</v>
      </c>
      <c r="F128" s="3" t="s">
        <v>338</v>
      </c>
      <c r="G128" s="3" t="s">
        <v>175</v>
      </c>
      <c r="H128" s="3">
        <v>1</v>
      </c>
      <c r="I128" s="3">
        <v>1</v>
      </c>
      <c r="J128" s="3" t="s">
        <v>18</v>
      </c>
      <c r="K128" s="5">
        <v>0.08</v>
      </c>
      <c r="L128" s="6">
        <v>4690654995591</v>
      </c>
      <c r="M128" s="7" t="s">
        <v>339</v>
      </c>
      <c r="N128" s="8">
        <f>VLOOKUP(B128,'[1]новый без картинок'!$A$5:$F$2672,6,0)</f>
        <v>260</v>
      </c>
    </row>
    <row r="129" spans="1:14" ht="138.6" customHeight="1" x14ac:dyDescent="0.2">
      <c r="A129" s="3">
        <v>127</v>
      </c>
      <c r="B129" s="3">
        <v>932376</v>
      </c>
      <c r="C129" s="4" t="str">
        <f>HYPERLINK("http://optservis.net:5080/photo?tov_code_internet=932376","Увеличить")</f>
        <v>Увеличить</v>
      </c>
      <c r="D129" s="3" t="s">
        <v>336</v>
      </c>
      <c r="E129" s="3" t="s">
        <v>337</v>
      </c>
      <c r="F129" s="3" t="s">
        <v>340</v>
      </c>
      <c r="G129" s="3" t="s">
        <v>175</v>
      </c>
      <c r="H129" s="3">
        <v>1</v>
      </c>
      <c r="I129" s="3">
        <v>1</v>
      </c>
      <c r="J129" s="3" t="s">
        <v>18</v>
      </c>
      <c r="K129" s="5">
        <v>0.08</v>
      </c>
      <c r="L129" s="6">
        <v>4640020772974</v>
      </c>
      <c r="M129" s="7" t="s">
        <v>339</v>
      </c>
      <c r="N129" s="8">
        <f>VLOOKUP(B129,'[1]новый без картинок'!$A$5:$F$2672,6,0)</f>
        <v>260</v>
      </c>
    </row>
    <row r="130" spans="1:14" ht="138.6" customHeight="1" x14ac:dyDescent="0.2">
      <c r="A130" s="3">
        <v>128</v>
      </c>
      <c r="B130" s="3">
        <v>192402</v>
      </c>
      <c r="C130" s="4" t="str">
        <f>HYPERLINK("http://optservis.net:5080/photo?tov_code_internet=192402","Увеличить")</f>
        <v>Увеличить</v>
      </c>
      <c r="D130" s="3" t="s">
        <v>341</v>
      </c>
      <c r="E130" s="3" t="s">
        <v>342</v>
      </c>
      <c r="F130" s="3" t="s">
        <v>343</v>
      </c>
      <c r="G130" s="3" t="s">
        <v>175</v>
      </c>
      <c r="H130" s="3">
        <v>1</v>
      </c>
      <c r="I130" s="3">
        <v>1</v>
      </c>
      <c r="J130" s="3" t="s">
        <v>18</v>
      </c>
      <c r="K130" s="5">
        <v>0.08</v>
      </c>
      <c r="L130" s="6">
        <v>4640020773728</v>
      </c>
      <c r="M130" s="7" t="s">
        <v>344</v>
      </c>
      <c r="N130" s="8">
        <f>VLOOKUP(B130,'[1]новый без картинок'!$A$5:$F$2672,6,0)</f>
        <v>252</v>
      </c>
    </row>
    <row r="131" spans="1:14" ht="138.6" customHeight="1" x14ac:dyDescent="0.2">
      <c r="A131" s="3">
        <v>129</v>
      </c>
      <c r="B131" s="3">
        <v>192404</v>
      </c>
      <c r="C131" s="4" t="str">
        <f>HYPERLINK("http://optservis.net:5080/photo?tov_code_internet=192404","Увеличить")</f>
        <v>Увеличить</v>
      </c>
      <c r="D131" s="3" t="s">
        <v>341</v>
      </c>
      <c r="E131" s="3" t="s">
        <v>342</v>
      </c>
      <c r="F131" s="3" t="s">
        <v>345</v>
      </c>
      <c r="G131" s="3" t="s">
        <v>175</v>
      </c>
      <c r="H131" s="3">
        <v>1</v>
      </c>
      <c r="I131" s="3">
        <v>1</v>
      </c>
      <c r="J131" s="3" t="s">
        <v>18</v>
      </c>
      <c r="K131" s="5">
        <v>0.08</v>
      </c>
      <c r="L131" s="6">
        <v>4640020773735</v>
      </c>
      <c r="M131" s="7" t="s">
        <v>344</v>
      </c>
      <c r="N131" s="8">
        <f>VLOOKUP(B131,'[1]новый без картинок'!$A$5:$F$2672,6,0)</f>
        <v>256</v>
      </c>
    </row>
    <row r="132" spans="1:14" ht="151.15" customHeight="1" x14ac:dyDescent="0.2">
      <c r="A132" s="3">
        <v>130</v>
      </c>
      <c r="B132" s="3">
        <v>147783</v>
      </c>
      <c r="C132" s="4" t="str">
        <f>HYPERLINK("http://optservis.net:5080/photo?tov_code_internet=147783","Увеличить")</f>
        <v>Увеличить</v>
      </c>
      <c r="D132" s="3" t="s">
        <v>346</v>
      </c>
      <c r="E132" s="3" t="s">
        <v>347</v>
      </c>
      <c r="F132" s="3" t="s">
        <v>348</v>
      </c>
      <c r="G132" s="3" t="s">
        <v>349</v>
      </c>
      <c r="H132" s="3">
        <v>1</v>
      </c>
      <c r="I132" s="3">
        <v>1</v>
      </c>
      <c r="J132" s="3" t="s">
        <v>18</v>
      </c>
      <c r="K132" s="5">
        <v>0.09</v>
      </c>
      <c r="L132" s="6">
        <v>4690654004729</v>
      </c>
      <c r="M132" s="7" t="s">
        <v>350</v>
      </c>
      <c r="N132" s="8">
        <f>VLOOKUP(B132,'[1]новый без картинок'!$A$5:$F$2672,6,0)</f>
        <v>510</v>
      </c>
    </row>
    <row r="133" spans="1:14" ht="151.15" customHeight="1" x14ac:dyDescent="0.2">
      <c r="A133" s="3">
        <v>131</v>
      </c>
      <c r="B133" s="3">
        <v>155912</v>
      </c>
      <c r="C133" s="4" t="str">
        <f>HYPERLINK("http://optservis.net:5080/photo?tov_code_internet=155912","Увеличить")</f>
        <v>Увеличить</v>
      </c>
      <c r="D133" s="3" t="s">
        <v>346</v>
      </c>
      <c r="E133" s="3" t="s">
        <v>347</v>
      </c>
      <c r="F133" s="3" t="s">
        <v>351</v>
      </c>
      <c r="G133" s="3" t="s">
        <v>349</v>
      </c>
      <c r="H133" s="3">
        <v>1</v>
      </c>
      <c r="I133" s="3">
        <v>1</v>
      </c>
      <c r="J133" s="3" t="s">
        <v>18</v>
      </c>
      <c r="K133" s="5">
        <v>0.08</v>
      </c>
      <c r="L133" s="6">
        <v>4690654006297</v>
      </c>
      <c r="M133" s="7" t="s">
        <v>350</v>
      </c>
      <c r="N133" s="8">
        <f>VLOOKUP(B133,'[1]новый без картинок'!$A$5:$F$2672,6,0)</f>
        <v>533</v>
      </c>
    </row>
    <row r="134" spans="1:14" ht="138.6" customHeight="1" x14ac:dyDescent="0.2">
      <c r="A134" s="3">
        <v>132</v>
      </c>
      <c r="B134" s="3">
        <v>920120</v>
      </c>
      <c r="C134" s="4" t="str">
        <f>HYPERLINK("http://optservis.net:5080/photo?tov_code_internet=920120","Увеличить")</f>
        <v>Увеличить</v>
      </c>
      <c r="D134" s="3" t="s">
        <v>352</v>
      </c>
      <c r="E134" s="3" t="s">
        <v>353</v>
      </c>
      <c r="F134" s="3" t="s">
        <v>354</v>
      </c>
      <c r="G134" s="3" t="s">
        <v>355</v>
      </c>
      <c r="H134" s="3">
        <v>5</v>
      </c>
      <c r="I134" s="3">
        <v>1</v>
      </c>
      <c r="J134" s="3" t="s">
        <v>18</v>
      </c>
      <c r="K134" s="5">
        <v>0.13</v>
      </c>
      <c r="L134" s="6">
        <v>4640020772219</v>
      </c>
      <c r="M134" s="7" t="s">
        <v>356</v>
      </c>
      <c r="N134" s="8">
        <f>VLOOKUP(B134,'[1]новый без картинок'!$A$5:$F$2672,6,0)</f>
        <v>138</v>
      </c>
    </row>
    <row r="135" spans="1:14" ht="138.6" customHeight="1" x14ac:dyDescent="0.2">
      <c r="A135" s="3">
        <v>133</v>
      </c>
      <c r="B135" s="3">
        <v>896232</v>
      </c>
      <c r="C135" s="4" t="str">
        <f>HYPERLINK("http://optservis.net:5080/photo?tov_code_internet=896232","Увеличить")</f>
        <v>Увеличить</v>
      </c>
      <c r="D135" s="3" t="s">
        <v>352</v>
      </c>
      <c r="E135" s="3" t="s">
        <v>353</v>
      </c>
      <c r="F135" s="3" t="s">
        <v>357</v>
      </c>
      <c r="G135" s="3" t="s">
        <v>175</v>
      </c>
      <c r="H135" s="3">
        <v>5</v>
      </c>
      <c r="I135" s="3">
        <v>1</v>
      </c>
      <c r="J135" s="3" t="s">
        <v>18</v>
      </c>
      <c r="K135" s="5">
        <v>0.11</v>
      </c>
      <c r="L135" s="6">
        <v>4690654999650</v>
      </c>
      <c r="M135" s="7" t="s">
        <v>358</v>
      </c>
      <c r="N135" s="8">
        <f>VLOOKUP(B135,'[1]новый без картинок'!$A$5:$F$2672,6,0)</f>
        <v>47</v>
      </c>
    </row>
    <row r="136" spans="1:14" ht="151.15" customHeight="1" x14ac:dyDescent="0.2">
      <c r="A136" s="3">
        <v>134</v>
      </c>
      <c r="B136" s="3">
        <v>843552</v>
      </c>
      <c r="C136" s="4" t="str">
        <f>HYPERLINK("http://optservis.net:5080/photo?tov_code_internet=843552","Увеличить")</f>
        <v>Увеличить</v>
      </c>
      <c r="D136" s="3" t="s">
        <v>359</v>
      </c>
      <c r="E136" s="3" t="s">
        <v>360</v>
      </c>
      <c r="F136" s="3" t="s">
        <v>361</v>
      </c>
      <c r="G136" s="3" t="s">
        <v>362</v>
      </c>
      <c r="H136" s="3">
        <v>1</v>
      </c>
      <c r="I136" s="3">
        <v>1</v>
      </c>
      <c r="J136" s="3" t="s">
        <v>18</v>
      </c>
      <c r="K136" s="5">
        <v>0.02</v>
      </c>
      <c r="L136" s="6">
        <v>4690654996482</v>
      </c>
      <c r="M136" s="7" t="s">
        <v>363</v>
      </c>
      <c r="N136" s="8">
        <f>VLOOKUP(B136,'[1]новый без картинок'!$A$5:$F$2672,6,0)</f>
        <v>111</v>
      </c>
    </row>
    <row r="137" spans="1:14" ht="138.6" customHeight="1" x14ac:dyDescent="0.2">
      <c r="A137" s="3">
        <v>135</v>
      </c>
      <c r="B137" s="3">
        <v>843554</v>
      </c>
      <c r="C137" s="4" t="str">
        <f>HYPERLINK("http://optservis.net:5080/photo?tov_code_internet=843554","Увеличить")</f>
        <v>Увеличить</v>
      </c>
      <c r="D137" s="3" t="s">
        <v>359</v>
      </c>
      <c r="E137" s="3" t="s">
        <v>360</v>
      </c>
      <c r="F137" s="3" t="s">
        <v>364</v>
      </c>
      <c r="G137" s="3" t="s">
        <v>362</v>
      </c>
      <c r="H137" s="3">
        <v>1</v>
      </c>
      <c r="I137" s="3">
        <v>1</v>
      </c>
      <c r="J137" s="3" t="s">
        <v>18</v>
      </c>
      <c r="K137" s="5">
        <v>0.02</v>
      </c>
      <c r="L137" s="6">
        <v>4690654996499</v>
      </c>
      <c r="M137" s="7" t="s">
        <v>363</v>
      </c>
      <c r="N137" s="8">
        <f>VLOOKUP(B137,'[1]новый без картинок'!$A$5:$F$2672,6,0)</f>
        <v>116</v>
      </c>
    </row>
    <row r="138" spans="1:14" ht="149.44999999999999" customHeight="1" x14ac:dyDescent="0.2">
      <c r="A138" s="3">
        <v>136</v>
      </c>
      <c r="B138" s="3">
        <v>163135</v>
      </c>
      <c r="C138" s="4" t="str">
        <f>HYPERLINK("http://optservis.net:5080/photo?tov_code_internet=163135","Увеличить")</f>
        <v>Увеличить</v>
      </c>
      <c r="D138" s="3" t="s">
        <v>365</v>
      </c>
      <c r="E138" s="3" t="s">
        <v>366</v>
      </c>
      <c r="F138" s="3" t="s">
        <v>367</v>
      </c>
      <c r="G138" s="3" t="s">
        <v>368</v>
      </c>
      <c r="H138" s="3">
        <v>2</v>
      </c>
      <c r="I138" s="3">
        <v>1</v>
      </c>
      <c r="J138" s="3" t="s">
        <v>18</v>
      </c>
      <c r="K138" s="5">
        <v>0.04</v>
      </c>
      <c r="L138" s="6">
        <v>4690654006891</v>
      </c>
      <c r="M138" s="7" t="s">
        <v>369</v>
      </c>
      <c r="N138" s="8">
        <f>VLOOKUP(B138,'[1]новый без картинок'!$A$5:$F$2672,6,0)</f>
        <v>51</v>
      </c>
    </row>
    <row r="139" spans="1:14" ht="146.65" customHeight="1" x14ac:dyDescent="0.2">
      <c r="A139" s="3">
        <v>137</v>
      </c>
      <c r="B139" s="3">
        <v>956169</v>
      </c>
      <c r="C139" s="4" t="str">
        <f>HYPERLINK("http://optservis.net:5080/photo?tov_code_internet=956169","Увеличить")</f>
        <v>Увеличить</v>
      </c>
      <c r="D139" s="3" t="s">
        <v>370</v>
      </c>
      <c r="E139" s="3" t="s">
        <v>371</v>
      </c>
      <c r="F139" s="3" t="s">
        <v>372</v>
      </c>
      <c r="G139" s="3" t="s">
        <v>373</v>
      </c>
      <c r="H139" s="3">
        <v>1</v>
      </c>
      <c r="I139" s="3">
        <v>1</v>
      </c>
      <c r="J139" s="3" t="s">
        <v>18</v>
      </c>
      <c r="K139" s="5">
        <v>0.03</v>
      </c>
      <c r="L139" s="6">
        <v>4640020775982</v>
      </c>
      <c r="M139" s="7" t="s">
        <v>374</v>
      </c>
      <c r="N139" s="8">
        <f>VLOOKUP(B139,'[1]новый без картинок'!$A$5:$F$2672,6,0)</f>
        <v>155</v>
      </c>
    </row>
    <row r="140" spans="1:14" ht="146.65" customHeight="1" x14ac:dyDescent="0.2">
      <c r="A140" s="3">
        <v>138</v>
      </c>
      <c r="B140" s="3">
        <v>915692</v>
      </c>
      <c r="C140" s="4" t="str">
        <f>HYPERLINK("http://optservis.net:5080/photo?tov_code_internet=915692","Увеличить")</f>
        <v>Увеличить</v>
      </c>
      <c r="D140" s="3" t="s">
        <v>375</v>
      </c>
      <c r="E140" s="3" t="s">
        <v>376</v>
      </c>
      <c r="F140" s="3" t="s">
        <v>377</v>
      </c>
      <c r="G140" s="3" t="s">
        <v>373</v>
      </c>
      <c r="H140" s="3">
        <v>10</v>
      </c>
      <c r="I140" s="3">
        <v>1</v>
      </c>
      <c r="J140" s="3" t="s">
        <v>18</v>
      </c>
      <c r="K140" s="5">
        <v>0.12</v>
      </c>
      <c r="L140" s="6">
        <v>4640020772004</v>
      </c>
      <c r="M140" s="7" t="s">
        <v>378</v>
      </c>
      <c r="N140" s="8">
        <f>VLOOKUP(B140,'[1]новый без картинок'!$A$5:$F$2672,6,0)</f>
        <v>72</v>
      </c>
    </row>
    <row r="141" spans="1:14" ht="138.6" customHeight="1" x14ac:dyDescent="0.2">
      <c r="A141" s="3">
        <v>139</v>
      </c>
      <c r="B141" s="3">
        <v>982057</v>
      </c>
      <c r="C141" s="4" t="str">
        <f>HYPERLINK("http://optservis.net:5080/photo?tov_code_internet=982057","Увеличить")</f>
        <v>Увеличить</v>
      </c>
      <c r="D141" s="3" t="s">
        <v>379</v>
      </c>
      <c r="E141" s="3" t="s">
        <v>380</v>
      </c>
      <c r="F141" s="3" t="s">
        <v>377</v>
      </c>
      <c r="G141" s="3" t="s">
        <v>373</v>
      </c>
      <c r="H141" s="3">
        <v>1</v>
      </c>
      <c r="I141" s="3">
        <v>1</v>
      </c>
      <c r="J141" s="3" t="s">
        <v>18</v>
      </c>
      <c r="K141" s="5">
        <v>0.02</v>
      </c>
      <c r="L141" s="6">
        <v>4690654006679</v>
      </c>
      <c r="M141" s="7" t="s">
        <v>381</v>
      </c>
      <c r="N141" s="8">
        <f>VLOOKUP(B141,'[1]новый без картинок'!$A$5:$F$2672,6,0)</f>
        <v>131</v>
      </c>
    </row>
    <row r="142" spans="1:14" ht="146.65" customHeight="1" x14ac:dyDescent="0.2">
      <c r="A142" s="3">
        <v>140</v>
      </c>
      <c r="B142" s="3">
        <v>915706</v>
      </c>
      <c r="C142" s="4" t="str">
        <f>HYPERLINK("http://optservis.net:5080/photo?tov_code_internet=915706","Увеличить")</f>
        <v>Увеличить</v>
      </c>
      <c r="D142" s="3" t="s">
        <v>382</v>
      </c>
      <c r="E142" s="3" t="s">
        <v>383</v>
      </c>
      <c r="F142" s="3" t="s">
        <v>384</v>
      </c>
      <c r="G142" s="3" t="s">
        <v>385</v>
      </c>
      <c r="H142" s="3">
        <v>10</v>
      </c>
      <c r="I142" s="3">
        <v>1</v>
      </c>
      <c r="J142" s="3" t="s">
        <v>18</v>
      </c>
      <c r="K142" s="5">
        <v>7.0000000000000007E-2</v>
      </c>
      <c r="L142" s="6">
        <v>4640020771885</v>
      </c>
      <c r="M142" s="7" t="s">
        <v>386</v>
      </c>
      <c r="N142" s="8">
        <f>VLOOKUP(B142,'[1]новый без картинок'!$A$5:$F$2672,6,0)</f>
        <v>60</v>
      </c>
    </row>
    <row r="143" spans="1:14" ht="146.65" customHeight="1" x14ac:dyDescent="0.2">
      <c r="A143" s="3">
        <v>141</v>
      </c>
      <c r="B143" s="3">
        <v>915726</v>
      </c>
      <c r="C143" s="4" t="str">
        <f>HYPERLINK("http://optservis.net:5080/photo?tov_code_internet=915726","Увеличить")</f>
        <v>Увеличить</v>
      </c>
      <c r="D143" s="3" t="s">
        <v>387</v>
      </c>
      <c r="E143" s="3" t="s">
        <v>388</v>
      </c>
      <c r="F143" s="3" t="s">
        <v>389</v>
      </c>
      <c r="G143" s="3" t="s">
        <v>368</v>
      </c>
      <c r="H143" s="3">
        <v>10</v>
      </c>
      <c r="I143" s="3">
        <v>1</v>
      </c>
      <c r="J143" s="3" t="s">
        <v>18</v>
      </c>
      <c r="K143" s="5">
        <v>7.0000000000000007E-2</v>
      </c>
      <c r="L143" s="6">
        <v>4640020771892</v>
      </c>
      <c r="M143" s="7" t="s">
        <v>390</v>
      </c>
      <c r="N143" s="8">
        <f>VLOOKUP(B143,'[1]новый без картинок'!$A$5:$F$2672,6,0)</f>
        <v>44</v>
      </c>
    </row>
    <row r="144" spans="1:14" ht="138.6" customHeight="1" x14ac:dyDescent="0.2">
      <c r="A144" s="3">
        <v>142</v>
      </c>
      <c r="B144" s="3">
        <v>179463</v>
      </c>
      <c r="C144" s="4" t="str">
        <f>HYPERLINK("http://optservis.net:5080/photo?tov_code_internet=179463","Увеличить")</f>
        <v>Увеличить</v>
      </c>
      <c r="D144" s="3" t="s">
        <v>391</v>
      </c>
      <c r="E144" s="3"/>
      <c r="F144" s="3" t="s">
        <v>68</v>
      </c>
      <c r="G144" s="3" t="s">
        <v>392</v>
      </c>
      <c r="H144" s="3">
        <v>1</v>
      </c>
      <c r="I144" s="3">
        <v>1</v>
      </c>
      <c r="J144" s="3" t="s">
        <v>18</v>
      </c>
      <c r="K144" s="5">
        <v>0</v>
      </c>
      <c r="L144" s="6">
        <v>0</v>
      </c>
      <c r="M144" s="7" t="s">
        <v>393</v>
      </c>
      <c r="N144" s="8">
        <f>VLOOKUP(B144,'[1]новый без картинок'!$A$5:$F$2672,6,0)</f>
        <v>394</v>
      </c>
    </row>
    <row r="145" spans="1:14" ht="138.6" customHeight="1" x14ac:dyDescent="0.2">
      <c r="A145" s="3">
        <v>143</v>
      </c>
      <c r="B145" s="3">
        <v>179464</v>
      </c>
      <c r="C145" s="4" t="str">
        <f>HYPERLINK("http://optservis.net:5080/photo?tov_code_internet=179464","Увеличить")</f>
        <v>Увеличить</v>
      </c>
      <c r="D145" s="3" t="s">
        <v>394</v>
      </c>
      <c r="E145" s="3"/>
      <c r="F145" s="3" t="s">
        <v>395</v>
      </c>
      <c r="G145" s="3" t="s">
        <v>392</v>
      </c>
      <c r="H145" s="3">
        <v>1</v>
      </c>
      <c r="I145" s="3">
        <v>1</v>
      </c>
      <c r="J145" s="3" t="s">
        <v>18</v>
      </c>
      <c r="K145" s="5">
        <v>0</v>
      </c>
      <c r="L145" s="6">
        <v>0</v>
      </c>
      <c r="M145" s="7" t="s">
        <v>396</v>
      </c>
      <c r="N145" s="8">
        <f>VLOOKUP(B145,'[1]новый без картинок'!$A$5:$F$2672,6,0)</f>
        <v>919</v>
      </c>
    </row>
    <row r="146" spans="1:14" ht="138.6" customHeight="1" x14ac:dyDescent="0.2">
      <c r="A146" s="3">
        <v>144</v>
      </c>
      <c r="B146" s="3">
        <v>179465</v>
      </c>
      <c r="C146" s="4" t="str">
        <f>HYPERLINK("http://optservis.net:5080/photo?tov_code_internet=179465","Увеличить")</f>
        <v>Увеличить</v>
      </c>
      <c r="D146" s="3" t="s">
        <v>397</v>
      </c>
      <c r="E146" s="3"/>
      <c r="F146" s="3" t="s">
        <v>68</v>
      </c>
      <c r="G146" s="3" t="s">
        <v>392</v>
      </c>
      <c r="H146" s="3">
        <v>1</v>
      </c>
      <c r="I146" s="3">
        <v>1</v>
      </c>
      <c r="J146" s="3" t="s">
        <v>18</v>
      </c>
      <c r="K146" s="5">
        <v>0</v>
      </c>
      <c r="L146" s="6">
        <v>0</v>
      </c>
      <c r="M146" s="7" t="s">
        <v>398</v>
      </c>
      <c r="N146" s="8">
        <f>VLOOKUP(B146,'[1]новый без картинок'!$A$5:$F$2672,6,0)</f>
        <v>525</v>
      </c>
    </row>
    <row r="147" spans="1:14" ht="138.6" customHeight="1" x14ac:dyDescent="0.2">
      <c r="A147" s="3">
        <v>145</v>
      </c>
      <c r="B147" s="3">
        <v>179466</v>
      </c>
      <c r="C147" s="4" t="str">
        <f>HYPERLINK("http://optservis.net:5080/photo?tov_code_internet=179466","Увеличить")</f>
        <v>Увеличить</v>
      </c>
      <c r="D147" s="3" t="s">
        <v>399</v>
      </c>
      <c r="E147" s="3"/>
      <c r="F147" s="3" t="s">
        <v>68</v>
      </c>
      <c r="G147" s="3" t="s">
        <v>392</v>
      </c>
      <c r="H147" s="3">
        <v>1</v>
      </c>
      <c r="I147" s="3">
        <v>1</v>
      </c>
      <c r="J147" s="3" t="s">
        <v>18</v>
      </c>
      <c r="K147" s="5">
        <v>0</v>
      </c>
      <c r="L147" s="6">
        <v>0</v>
      </c>
      <c r="M147" s="7" t="s">
        <v>400</v>
      </c>
      <c r="N147" s="8">
        <f>VLOOKUP(B147,'[1]новый без картинок'!$A$5:$F$2672,6,0)</f>
        <v>919</v>
      </c>
    </row>
    <row r="148" spans="1:14" ht="138.6" customHeight="1" x14ac:dyDescent="0.2">
      <c r="A148" s="3">
        <v>146</v>
      </c>
      <c r="B148" s="3">
        <v>179467</v>
      </c>
      <c r="C148" s="4" t="str">
        <f>HYPERLINK("http://optservis.net:5080/photo?tov_code_internet=179467","Увеличить")</f>
        <v>Увеличить</v>
      </c>
      <c r="D148" s="3" t="s">
        <v>401</v>
      </c>
      <c r="E148" s="3"/>
      <c r="F148" s="3" t="s">
        <v>68</v>
      </c>
      <c r="G148" s="3" t="s">
        <v>392</v>
      </c>
      <c r="H148" s="3">
        <v>1</v>
      </c>
      <c r="I148" s="3">
        <v>1</v>
      </c>
      <c r="J148" s="3" t="s">
        <v>18</v>
      </c>
      <c r="K148" s="5">
        <v>0</v>
      </c>
      <c r="L148" s="6">
        <v>0</v>
      </c>
      <c r="M148" s="7" t="s">
        <v>402</v>
      </c>
      <c r="N148" s="8">
        <f>VLOOKUP(B148,'[1]новый без картинок'!$A$5:$F$2672,6,0)</f>
        <v>493</v>
      </c>
    </row>
    <row r="149" spans="1:14" ht="138.6" customHeight="1" x14ac:dyDescent="0.2">
      <c r="A149" s="3">
        <v>147</v>
      </c>
      <c r="B149" s="3">
        <v>179468</v>
      </c>
      <c r="C149" s="4" t="str">
        <f>HYPERLINK("http://optservis.net:5080/photo?tov_code_internet=179468","Увеличить")</f>
        <v>Увеличить</v>
      </c>
      <c r="D149" s="3" t="s">
        <v>403</v>
      </c>
      <c r="E149" s="3"/>
      <c r="F149" s="3" t="s">
        <v>68</v>
      </c>
      <c r="G149" s="3" t="s">
        <v>392</v>
      </c>
      <c r="H149" s="3">
        <v>1</v>
      </c>
      <c r="I149" s="3">
        <v>1</v>
      </c>
      <c r="J149" s="3" t="s">
        <v>18</v>
      </c>
      <c r="K149" s="5">
        <v>0</v>
      </c>
      <c r="L149" s="6">
        <v>0</v>
      </c>
      <c r="M149" s="7" t="s">
        <v>404</v>
      </c>
      <c r="N149" s="8">
        <f>VLOOKUP(B149,'[1]новый без картинок'!$A$5:$F$2672,6,0)</f>
        <v>329</v>
      </c>
    </row>
    <row r="150" spans="1:14" ht="151.15" customHeight="1" x14ac:dyDescent="0.2">
      <c r="A150" s="3">
        <v>148</v>
      </c>
      <c r="B150" s="3">
        <v>940361</v>
      </c>
      <c r="C150" s="4" t="str">
        <f>HYPERLINK("http://optservis.net:5080/photo?tov_code_internet=940361","Увеличить")</f>
        <v>Увеличить</v>
      </c>
      <c r="D150" s="3" t="s">
        <v>405</v>
      </c>
      <c r="E150" s="3" t="s">
        <v>406</v>
      </c>
      <c r="F150" s="3" t="s">
        <v>407</v>
      </c>
      <c r="G150" s="3" t="s">
        <v>368</v>
      </c>
      <c r="H150" s="3">
        <v>2</v>
      </c>
      <c r="I150" s="3">
        <v>1</v>
      </c>
      <c r="J150" s="3" t="s">
        <v>18</v>
      </c>
      <c r="K150" s="5">
        <v>0.04</v>
      </c>
      <c r="L150" s="6">
        <v>4640020774619</v>
      </c>
      <c r="M150" s="7" t="s">
        <v>408</v>
      </c>
      <c r="N150" s="8">
        <f>VLOOKUP(B150,'[1]новый без картинок'!$A$5:$F$2672,6,0)</f>
        <v>74</v>
      </c>
    </row>
    <row r="151" spans="1:14" ht="151.15" customHeight="1" x14ac:dyDescent="0.2">
      <c r="A151" s="3">
        <v>149</v>
      </c>
      <c r="B151" s="3">
        <v>940359</v>
      </c>
      <c r="C151" s="4" t="str">
        <f>HYPERLINK("http://optservis.net:5080/photo?tov_code_internet=940359","Увеличить")</f>
        <v>Увеличить</v>
      </c>
      <c r="D151" s="3" t="s">
        <v>405</v>
      </c>
      <c r="E151" s="3" t="s">
        <v>406</v>
      </c>
      <c r="F151" s="3" t="s">
        <v>409</v>
      </c>
      <c r="G151" s="3" t="s">
        <v>368</v>
      </c>
      <c r="H151" s="3">
        <v>2</v>
      </c>
      <c r="I151" s="3">
        <v>1</v>
      </c>
      <c r="J151" s="3" t="s">
        <v>18</v>
      </c>
      <c r="K151" s="5">
        <v>0.04</v>
      </c>
      <c r="L151" s="6">
        <v>4640020774626</v>
      </c>
      <c r="M151" s="7" t="s">
        <v>410</v>
      </c>
      <c r="N151" s="8">
        <f>VLOOKUP(B151,'[1]новый без картинок'!$A$5:$F$2672,6,0)</f>
        <v>100</v>
      </c>
    </row>
    <row r="152" spans="1:14" ht="149.44999999999999" customHeight="1" x14ac:dyDescent="0.2">
      <c r="A152" s="3">
        <v>150</v>
      </c>
      <c r="B152" s="3">
        <v>940362</v>
      </c>
      <c r="C152" s="4" t="str">
        <f>HYPERLINK("http://optservis.net:5080/photo?tov_code_internet=940362","Увеличить")</f>
        <v>Увеличить</v>
      </c>
      <c r="D152" s="3" t="s">
        <v>405</v>
      </c>
      <c r="E152" s="3" t="s">
        <v>406</v>
      </c>
      <c r="F152" s="3" t="s">
        <v>411</v>
      </c>
      <c r="G152" s="3" t="s">
        <v>368</v>
      </c>
      <c r="H152" s="3">
        <v>2</v>
      </c>
      <c r="I152" s="3">
        <v>1</v>
      </c>
      <c r="J152" s="3" t="s">
        <v>18</v>
      </c>
      <c r="K152" s="5">
        <v>0.04</v>
      </c>
      <c r="L152" s="6">
        <v>4640020774633</v>
      </c>
      <c r="M152" s="7" t="s">
        <v>408</v>
      </c>
      <c r="N152" s="8">
        <f>VLOOKUP(B152,'[1]новый без картинок'!$A$5:$F$2672,6,0)</f>
        <v>83</v>
      </c>
    </row>
    <row r="153" spans="1:14" ht="138.6" customHeight="1" x14ac:dyDescent="0.2">
      <c r="A153" s="3">
        <v>151</v>
      </c>
      <c r="B153" s="3">
        <v>920127</v>
      </c>
      <c r="C153" s="4" t="str">
        <f>HYPERLINK("http://optservis.net:5080/photo?tov_code_internet=920127","Увеличить")</f>
        <v>Увеличить</v>
      </c>
      <c r="D153" s="3" t="s">
        <v>412</v>
      </c>
      <c r="E153" s="3" t="s">
        <v>413</v>
      </c>
      <c r="F153" s="3" t="s">
        <v>414</v>
      </c>
      <c r="G153" s="3" t="s">
        <v>415</v>
      </c>
      <c r="H153" s="3">
        <v>1</v>
      </c>
      <c r="I153" s="3">
        <v>1</v>
      </c>
      <c r="J153" s="3" t="s">
        <v>18</v>
      </c>
      <c r="K153" s="5">
        <v>0.09</v>
      </c>
      <c r="L153" s="6">
        <v>4640020772363</v>
      </c>
      <c r="M153" s="7" t="s">
        <v>416</v>
      </c>
      <c r="N153" s="8">
        <f>VLOOKUP(B153,'[1]новый без картинок'!$A$5:$F$2672,6,0)</f>
        <v>131</v>
      </c>
    </row>
    <row r="154" spans="1:14" ht="138.6" customHeight="1" x14ac:dyDescent="0.2">
      <c r="A154" s="3">
        <v>152</v>
      </c>
      <c r="B154" s="3">
        <v>923826</v>
      </c>
      <c r="C154" s="4" t="str">
        <f>HYPERLINK("http://optservis.net:5080/photo?tov_code_internet=923826","Увеличить")</f>
        <v>Увеличить</v>
      </c>
      <c r="D154" s="3" t="s">
        <v>412</v>
      </c>
      <c r="E154" s="3" t="s">
        <v>413</v>
      </c>
      <c r="F154" s="3" t="s">
        <v>254</v>
      </c>
      <c r="G154" s="3" t="s">
        <v>415</v>
      </c>
      <c r="H154" s="3">
        <v>1</v>
      </c>
      <c r="I154" s="3">
        <v>1</v>
      </c>
      <c r="J154" s="3" t="s">
        <v>18</v>
      </c>
      <c r="K154" s="5">
        <v>0.09</v>
      </c>
      <c r="L154" s="6">
        <v>4640020772370</v>
      </c>
      <c r="M154" s="7" t="s">
        <v>416</v>
      </c>
      <c r="N154" s="8">
        <f>VLOOKUP(B154,'[1]новый без картинок'!$A$5:$F$2672,6,0)</f>
        <v>131</v>
      </c>
    </row>
    <row r="155" spans="1:14" ht="151.15" customHeight="1" x14ac:dyDescent="0.2">
      <c r="A155" s="3">
        <v>153</v>
      </c>
      <c r="B155" s="3">
        <v>196553</v>
      </c>
      <c r="C155" s="4" t="str">
        <f>HYPERLINK("http://optservis.net:5080/photo?tov_code_internet=196553","Увеличить")</f>
        <v>Увеличить</v>
      </c>
      <c r="D155" s="3" t="s">
        <v>417</v>
      </c>
      <c r="E155" s="3" t="s">
        <v>418</v>
      </c>
      <c r="F155" s="3" t="s">
        <v>419</v>
      </c>
      <c r="G155" s="3" t="s">
        <v>420</v>
      </c>
      <c r="H155" s="3">
        <v>1</v>
      </c>
      <c r="I155" s="3">
        <v>1</v>
      </c>
      <c r="J155" s="3" t="s">
        <v>18</v>
      </c>
      <c r="K155" s="5">
        <v>0.04</v>
      </c>
      <c r="L155" s="6">
        <v>4690654015077</v>
      </c>
      <c r="M155" s="7" t="s">
        <v>421</v>
      </c>
      <c r="N155" s="8">
        <f>VLOOKUP(B155,'[1]новый без картинок'!$A$5:$F$2672,6,0)</f>
        <v>161</v>
      </c>
    </row>
    <row r="156" spans="1:14" ht="151.15" customHeight="1" x14ac:dyDescent="0.2">
      <c r="A156" s="3">
        <v>154</v>
      </c>
      <c r="B156" s="3">
        <v>190209</v>
      </c>
      <c r="C156" s="4" t="str">
        <f>HYPERLINK("http://optservis.net:5080/photo?tov_code_internet=190209","Увеличить")</f>
        <v>Увеличить</v>
      </c>
      <c r="D156" s="3" t="s">
        <v>417</v>
      </c>
      <c r="E156" s="3" t="s">
        <v>418</v>
      </c>
      <c r="F156" s="3" t="s">
        <v>422</v>
      </c>
      <c r="G156" s="3" t="s">
        <v>420</v>
      </c>
      <c r="H156" s="3">
        <v>1</v>
      </c>
      <c r="I156" s="3">
        <v>1</v>
      </c>
      <c r="J156" s="3" t="s">
        <v>18</v>
      </c>
      <c r="K156" s="5">
        <v>0.04</v>
      </c>
      <c r="L156" s="6">
        <v>4690654014018</v>
      </c>
      <c r="M156" s="7" t="s">
        <v>423</v>
      </c>
      <c r="N156" s="8">
        <f>VLOOKUP(B156,'[1]новый без картинок'!$A$5:$F$2672,6,0)</f>
        <v>157</v>
      </c>
    </row>
    <row r="157" spans="1:14" ht="149.44999999999999" customHeight="1" x14ac:dyDescent="0.2">
      <c r="A157" s="3">
        <v>155</v>
      </c>
      <c r="B157" s="3">
        <v>190210</v>
      </c>
      <c r="C157" s="4" t="str">
        <f>HYPERLINK("http://optservis.net:5080/photo?tov_code_internet=190210","Увеличить")</f>
        <v>Увеличить</v>
      </c>
      <c r="D157" s="3" t="s">
        <v>417</v>
      </c>
      <c r="E157" s="3" t="s">
        <v>418</v>
      </c>
      <c r="F157" s="3" t="s">
        <v>424</v>
      </c>
      <c r="G157" s="3" t="s">
        <v>420</v>
      </c>
      <c r="H157" s="3">
        <v>1</v>
      </c>
      <c r="I157" s="3">
        <v>1</v>
      </c>
      <c r="J157" s="3" t="s">
        <v>18</v>
      </c>
      <c r="K157" s="5">
        <v>0.04</v>
      </c>
      <c r="L157" s="6">
        <v>4690654014025</v>
      </c>
      <c r="M157" s="7" t="s">
        <v>423</v>
      </c>
      <c r="N157" s="8">
        <f>VLOOKUP(B157,'[1]новый без картинок'!$A$5:$F$2672,6,0)</f>
        <v>157</v>
      </c>
    </row>
    <row r="158" spans="1:14" ht="151.15" customHeight="1" x14ac:dyDescent="0.2">
      <c r="A158" s="3">
        <v>156</v>
      </c>
      <c r="B158" s="3">
        <v>196552</v>
      </c>
      <c r="C158" s="4" t="str">
        <f>HYPERLINK("http://optservis.net:5080/photo?tov_code_internet=196552","Увеличить")</f>
        <v>Увеличить</v>
      </c>
      <c r="D158" s="3" t="s">
        <v>417</v>
      </c>
      <c r="E158" s="3" t="s">
        <v>418</v>
      </c>
      <c r="F158" s="3" t="s">
        <v>425</v>
      </c>
      <c r="G158" s="3" t="s">
        <v>420</v>
      </c>
      <c r="H158" s="3">
        <v>1</v>
      </c>
      <c r="I158" s="3">
        <v>1</v>
      </c>
      <c r="J158" s="3" t="s">
        <v>18</v>
      </c>
      <c r="K158" s="5">
        <v>0.04</v>
      </c>
      <c r="L158" s="6">
        <v>4690654015060</v>
      </c>
      <c r="M158" s="7" t="s">
        <v>421</v>
      </c>
      <c r="N158" s="8">
        <f>VLOOKUP(B158,'[1]новый без картинок'!$A$5:$F$2672,6,0)</f>
        <v>161</v>
      </c>
    </row>
    <row r="159" spans="1:14" ht="151.15" customHeight="1" x14ac:dyDescent="0.2">
      <c r="A159" s="3">
        <v>157</v>
      </c>
      <c r="B159" s="3">
        <v>190211</v>
      </c>
      <c r="C159" s="4" t="str">
        <f>HYPERLINK("http://optservis.net:5080/photo?tov_code_internet=190211","Увеличить")</f>
        <v>Увеличить</v>
      </c>
      <c r="D159" s="3" t="s">
        <v>417</v>
      </c>
      <c r="E159" s="3" t="s">
        <v>418</v>
      </c>
      <c r="F159" s="3" t="s">
        <v>426</v>
      </c>
      <c r="G159" s="3" t="s">
        <v>420</v>
      </c>
      <c r="H159" s="3">
        <v>1</v>
      </c>
      <c r="I159" s="3">
        <v>1</v>
      </c>
      <c r="J159" s="3" t="s">
        <v>18</v>
      </c>
      <c r="K159" s="5">
        <v>0.04</v>
      </c>
      <c r="L159" s="6">
        <v>4690654014032</v>
      </c>
      <c r="M159" s="7" t="s">
        <v>423</v>
      </c>
      <c r="N159" s="8">
        <f>VLOOKUP(B159,'[1]новый без картинок'!$A$5:$F$2672,6,0)</f>
        <v>157</v>
      </c>
    </row>
    <row r="160" spans="1:14" ht="138.6" customHeight="1" x14ac:dyDescent="0.2">
      <c r="A160" s="3">
        <v>158</v>
      </c>
      <c r="B160" s="3">
        <v>208961</v>
      </c>
      <c r="C160" s="4" t="str">
        <f>HYPERLINK("http://optservis.net:5080/photo?tov_code_internet=208961","Увеличить")</f>
        <v>Увеличить</v>
      </c>
      <c r="D160" s="3" t="s">
        <v>427</v>
      </c>
      <c r="E160" s="3" t="s">
        <v>428</v>
      </c>
      <c r="F160" s="3" t="s">
        <v>429</v>
      </c>
      <c r="G160" s="3" t="s">
        <v>430</v>
      </c>
      <c r="H160" s="3">
        <v>1</v>
      </c>
      <c r="I160" s="3">
        <v>1</v>
      </c>
      <c r="J160" s="3" t="s">
        <v>18</v>
      </c>
      <c r="K160" s="5">
        <v>7.0000000000000007E-2</v>
      </c>
      <c r="L160" s="6">
        <v>4690654019051</v>
      </c>
      <c r="M160" s="7" t="s">
        <v>431</v>
      </c>
      <c r="N160" s="8">
        <f>VLOOKUP(B160,'[1]новый без картинок'!$A$5:$F$2672,6,0)</f>
        <v>207</v>
      </c>
    </row>
    <row r="161" spans="1:14" ht="138.6" customHeight="1" x14ac:dyDescent="0.2">
      <c r="A161" s="3">
        <v>159</v>
      </c>
      <c r="B161" s="3">
        <v>208958</v>
      </c>
      <c r="C161" s="4" t="str">
        <f>HYPERLINK("http://optservis.net:5080/photo?tov_code_internet=208958","Увеличить")</f>
        <v>Увеличить</v>
      </c>
      <c r="D161" s="3" t="s">
        <v>427</v>
      </c>
      <c r="E161" s="3" t="s">
        <v>428</v>
      </c>
      <c r="F161" s="3" t="s">
        <v>432</v>
      </c>
      <c r="G161" s="3" t="s">
        <v>430</v>
      </c>
      <c r="H161" s="3">
        <v>1</v>
      </c>
      <c r="I161" s="3">
        <v>1</v>
      </c>
      <c r="J161" s="3" t="s">
        <v>18</v>
      </c>
      <c r="K161" s="5">
        <v>7.0000000000000007E-2</v>
      </c>
      <c r="L161" s="6">
        <v>4690654019044</v>
      </c>
      <c r="M161" s="7" t="s">
        <v>433</v>
      </c>
      <c r="N161" s="8">
        <f>VLOOKUP(B161,'[1]новый без картинок'!$A$5:$F$2672,6,0)</f>
        <v>213</v>
      </c>
    </row>
    <row r="162" spans="1:14" ht="138.6" customHeight="1" x14ac:dyDescent="0.2">
      <c r="A162" s="3">
        <v>160</v>
      </c>
      <c r="B162" s="3">
        <v>208960</v>
      </c>
      <c r="C162" s="4" t="str">
        <f>HYPERLINK("http://optservis.net:5080/photo?tov_code_internet=208960","Увеличить")</f>
        <v>Увеличить</v>
      </c>
      <c r="D162" s="3" t="s">
        <v>427</v>
      </c>
      <c r="E162" s="3" t="s">
        <v>428</v>
      </c>
      <c r="F162" s="3" t="s">
        <v>434</v>
      </c>
      <c r="G162" s="3" t="s">
        <v>430</v>
      </c>
      <c r="H162" s="3">
        <v>1</v>
      </c>
      <c r="I162" s="3">
        <v>1</v>
      </c>
      <c r="J162" s="3" t="s">
        <v>18</v>
      </c>
      <c r="K162" s="5">
        <v>7.0000000000000007E-2</v>
      </c>
      <c r="L162" s="6">
        <v>4690654019037</v>
      </c>
      <c r="M162" s="7" t="s">
        <v>431</v>
      </c>
      <c r="N162" s="8">
        <f>VLOOKUP(B162,'[1]новый без картинок'!$A$5:$F$2672,6,0)</f>
        <v>207</v>
      </c>
    </row>
    <row r="163" spans="1:14" ht="151.15" customHeight="1" x14ac:dyDescent="0.2">
      <c r="A163" s="3">
        <v>161</v>
      </c>
      <c r="B163" s="3">
        <v>208962</v>
      </c>
      <c r="C163" s="4" t="str">
        <f>HYPERLINK("http://optservis.net:5080/photo?tov_code_internet=208962","Увеличить")</f>
        <v>Увеличить</v>
      </c>
      <c r="D163" s="3" t="s">
        <v>435</v>
      </c>
      <c r="E163" s="3" t="s">
        <v>436</v>
      </c>
      <c r="F163" s="3" t="s">
        <v>429</v>
      </c>
      <c r="G163" s="3" t="s">
        <v>430</v>
      </c>
      <c r="H163" s="3">
        <v>1</v>
      </c>
      <c r="I163" s="3">
        <v>1</v>
      </c>
      <c r="J163" s="3" t="s">
        <v>18</v>
      </c>
      <c r="K163" s="5">
        <v>0.15</v>
      </c>
      <c r="L163" s="6">
        <v>4690654019020</v>
      </c>
      <c r="M163" s="7" t="s">
        <v>437</v>
      </c>
      <c r="N163" s="8">
        <f>VLOOKUP(B163,'[1]новый без картинок'!$A$5:$F$2672,6,0)</f>
        <v>343</v>
      </c>
    </row>
    <row r="164" spans="1:14" ht="151.15" customHeight="1" x14ac:dyDescent="0.2">
      <c r="A164" s="3">
        <v>162</v>
      </c>
      <c r="B164" s="3">
        <v>208963</v>
      </c>
      <c r="C164" s="4" t="str">
        <f>HYPERLINK("http://optservis.net:5080/photo?tov_code_internet=208963","Увеличить")</f>
        <v>Увеличить</v>
      </c>
      <c r="D164" s="3" t="s">
        <v>435</v>
      </c>
      <c r="E164" s="3" t="s">
        <v>436</v>
      </c>
      <c r="F164" s="3" t="s">
        <v>432</v>
      </c>
      <c r="G164" s="3" t="s">
        <v>430</v>
      </c>
      <c r="H164" s="3">
        <v>1</v>
      </c>
      <c r="I164" s="3">
        <v>1</v>
      </c>
      <c r="J164" s="3" t="s">
        <v>18</v>
      </c>
      <c r="K164" s="5">
        <v>0.15</v>
      </c>
      <c r="L164" s="6">
        <v>4690654019013</v>
      </c>
      <c r="M164" s="7" t="s">
        <v>438</v>
      </c>
      <c r="N164" s="8">
        <f>VLOOKUP(B164,'[1]новый без картинок'!$A$5:$F$2672,6,0)</f>
        <v>358</v>
      </c>
    </row>
    <row r="165" spans="1:14" ht="151.15" customHeight="1" x14ac:dyDescent="0.2">
      <c r="A165" s="3">
        <v>163</v>
      </c>
      <c r="B165" s="3">
        <v>208964</v>
      </c>
      <c r="C165" s="4" t="str">
        <f>HYPERLINK("http://optservis.net:5080/photo?tov_code_internet=208964","Увеличить")</f>
        <v>Увеличить</v>
      </c>
      <c r="D165" s="3" t="s">
        <v>435</v>
      </c>
      <c r="E165" s="3" t="s">
        <v>436</v>
      </c>
      <c r="F165" s="3" t="s">
        <v>434</v>
      </c>
      <c r="G165" s="3" t="s">
        <v>430</v>
      </c>
      <c r="H165" s="3">
        <v>1</v>
      </c>
      <c r="I165" s="3">
        <v>1</v>
      </c>
      <c r="J165" s="3" t="s">
        <v>18</v>
      </c>
      <c r="K165" s="5">
        <v>0.15</v>
      </c>
      <c r="L165" s="6">
        <v>4690654019006</v>
      </c>
      <c r="M165" s="7" t="s">
        <v>437</v>
      </c>
      <c r="N165" s="8">
        <f>VLOOKUP(B165,'[1]новый без картинок'!$A$5:$F$2672,6,0)</f>
        <v>345</v>
      </c>
    </row>
    <row r="166" spans="1:14" ht="151.15" customHeight="1" x14ac:dyDescent="0.2">
      <c r="A166" s="3">
        <v>164</v>
      </c>
      <c r="B166" s="3">
        <v>208965</v>
      </c>
      <c r="C166" s="4" t="str">
        <f>HYPERLINK("http://optservis.net:5080/photo?tov_code_internet=208965","Увеличить")</f>
        <v>Увеличить</v>
      </c>
      <c r="D166" s="3" t="s">
        <v>439</v>
      </c>
      <c r="E166" s="3" t="s">
        <v>440</v>
      </c>
      <c r="F166" s="3" t="s">
        <v>441</v>
      </c>
      <c r="G166" s="3" t="s">
        <v>430</v>
      </c>
      <c r="H166" s="3">
        <v>1</v>
      </c>
      <c r="I166" s="3">
        <v>1</v>
      </c>
      <c r="J166" s="3" t="s">
        <v>18</v>
      </c>
      <c r="K166" s="5">
        <v>0.11</v>
      </c>
      <c r="L166" s="6">
        <v>4690654018993</v>
      </c>
      <c r="M166" s="7" t="s">
        <v>442</v>
      </c>
      <c r="N166" s="8">
        <f>VLOOKUP(B166,'[1]новый без картинок'!$A$5:$F$2672,6,0)</f>
        <v>239</v>
      </c>
    </row>
    <row r="167" spans="1:14" ht="151.15" customHeight="1" x14ac:dyDescent="0.2">
      <c r="A167" s="3">
        <v>165</v>
      </c>
      <c r="B167" s="3">
        <v>208966</v>
      </c>
      <c r="C167" s="4" t="str">
        <f>HYPERLINK("http://optservis.net:5080/photo?tov_code_internet=208966","Увеличить")</f>
        <v>Увеличить</v>
      </c>
      <c r="D167" s="3" t="s">
        <v>439</v>
      </c>
      <c r="E167" s="3" t="s">
        <v>440</v>
      </c>
      <c r="F167" s="3" t="s">
        <v>443</v>
      </c>
      <c r="G167" s="3" t="s">
        <v>430</v>
      </c>
      <c r="H167" s="3">
        <v>1</v>
      </c>
      <c r="I167" s="3">
        <v>1</v>
      </c>
      <c r="J167" s="3" t="s">
        <v>18</v>
      </c>
      <c r="K167" s="5">
        <v>0.11</v>
      </c>
      <c r="L167" s="6">
        <v>4690654018986</v>
      </c>
      <c r="M167" s="7" t="s">
        <v>442</v>
      </c>
      <c r="N167" s="8">
        <f>VLOOKUP(B167,'[1]новый без картинок'!$A$5:$F$2672,6,0)</f>
        <v>239</v>
      </c>
    </row>
    <row r="168" spans="1:14" ht="151.15" customHeight="1" x14ac:dyDescent="0.2">
      <c r="A168" s="3">
        <v>166</v>
      </c>
      <c r="B168" s="3">
        <v>208967</v>
      </c>
      <c r="C168" s="4" t="str">
        <f>HYPERLINK("http://optservis.net:5080/photo?tov_code_internet=208967","Увеличить")</f>
        <v>Увеличить</v>
      </c>
      <c r="D168" s="3" t="s">
        <v>439</v>
      </c>
      <c r="E168" s="3" t="s">
        <v>440</v>
      </c>
      <c r="F168" s="3" t="s">
        <v>444</v>
      </c>
      <c r="G168" s="3" t="s">
        <v>430</v>
      </c>
      <c r="H168" s="3">
        <v>1</v>
      </c>
      <c r="I168" s="3">
        <v>1</v>
      </c>
      <c r="J168" s="3" t="s">
        <v>18</v>
      </c>
      <c r="K168" s="5">
        <v>0.11</v>
      </c>
      <c r="L168" s="6">
        <v>4690654018979</v>
      </c>
      <c r="M168" s="7" t="s">
        <v>445</v>
      </c>
      <c r="N168" s="8">
        <f>VLOOKUP(B168,'[1]новый без картинок'!$A$5:$F$2672,6,0)</f>
        <v>224</v>
      </c>
    </row>
    <row r="169" spans="1:14" ht="151.15" customHeight="1" x14ac:dyDescent="0.2">
      <c r="A169" s="3">
        <v>167</v>
      </c>
      <c r="B169" s="3">
        <v>208956</v>
      </c>
      <c r="C169" s="4" t="str">
        <f>HYPERLINK("http://optservis.net:5080/photo?tov_code_internet=208956","Увеличить")</f>
        <v>Увеличить</v>
      </c>
      <c r="D169" s="3" t="s">
        <v>446</v>
      </c>
      <c r="E169" s="3" t="s">
        <v>447</v>
      </c>
      <c r="F169" s="3" t="s">
        <v>419</v>
      </c>
      <c r="G169" s="3" t="s">
        <v>430</v>
      </c>
      <c r="H169" s="3">
        <v>1</v>
      </c>
      <c r="I169" s="3">
        <v>1</v>
      </c>
      <c r="J169" s="3" t="s">
        <v>18</v>
      </c>
      <c r="K169" s="5">
        <v>7.0000000000000007E-2</v>
      </c>
      <c r="L169" s="6">
        <v>4690654018962</v>
      </c>
      <c r="M169" s="7" t="s">
        <v>448</v>
      </c>
      <c r="N169" s="8">
        <f>VLOOKUP(B169,'[1]новый без картинок'!$A$5:$F$2672,6,0)</f>
        <v>282</v>
      </c>
    </row>
    <row r="170" spans="1:14" ht="151.15" customHeight="1" x14ac:dyDescent="0.2">
      <c r="A170" s="3">
        <v>168</v>
      </c>
      <c r="B170" s="3">
        <v>208957</v>
      </c>
      <c r="C170" s="4" t="str">
        <f>HYPERLINK("http://optservis.net:5080/photo?tov_code_internet=208957","Увеличить")</f>
        <v>Увеличить</v>
      </c>
      <c r="D170" s="3" t="s">
        <v>446</v>
      </c>
      <c r="E170" s="3" t="s">
        <v>447</v>
      </c>
      <c r="F170" s="3" t="s">
        <v>449</v>
      </c>
      <c r="G170" s="3" t="s">
        <v>430</v>
      </c>
      <c r="H170" s="3">
        <v>1</v>
      </c>
      <c r="I170" s="3">
        <v>1</v>
      </c>
      <c r="J170" s="3" t="s">
        <v>18</v>
      </c>
      <c r="K170" s="5">
        <v>7.0000000000000007E-2</v>
      </c>
      <c r="L170" s="6">
        <v>4690654018955</v>
      </c>
      <c r="M170" s="7" t="s">
        <v>450</v>
      </c>
      <c r="N170" s="8">
        <f>VLOOKUP(B170,'[1]новый без картинок'!$A$5:$F$2672,6,0)</f>
        <v>278</v>
      </c>
    </row>
    <row r="171" spans="1:14" ht="138.6" customHeight="1" x14ac:dyDescent="0.2">
      <c r="A171" s="3">
        <v>169</v>
      </c>
      <c r="B171" s="3">
        <v>194990</v>
      </c>
      <c r="C171" s="4" t="str">
        <f>HYPERLINK("http://optservis.net:5080/photo?tov_code_internet=194990","Увеличить")</f>
        <v>Увеличить</v>
      </c>
      <c r="D171" s="3" t="s">
        <v>451</v>
      </c>
      <c r="E171" s="3" t="s">
        <v>452</v>
      </c>
      <c r="F171" s="3" t="s">
        <v>453</v>
      </c>
      <c r="G171" s="3" t="s">
        <v>454</v>
      </c>
      <c r="H171" s="3">
        <v>1</v>
      </c>
      <c r="I171" s="3">
        <v>1</v>
      </c>
      <c r="J171" s="3" t="s">
        <v>18</v>
      </c>
      <c r="K171" s="5">
        <v>0.02</v>
      </c>
      <c r="L171" s="6">
        <v>4690654997939</v>
      </c>
      <c r="M171" s="7" t="s">
        <v>455</v>
      </c>
      <c r="N171" s="8">
        <f>VLOOKUP(B171,'[1]новый без картинок'!$A$5:$F$2672,6,0)</f>
        <v>224</v>
      </c>
    </row>
    <row r="172" spans="1:14" ht="138.6" customHeight="1" x14ac:dyDescent="0.2">
      <c r="A172" s="3">
        <v>170</v>
      </c>
      <c r="B172" s="3">
        <v>847452</v>
      </c>
      <c r="C172" s="4" t="str">
        <f>HYPERLINK("http://optservis.net:5080/photo?tov_code_internet=847452","Увеличить")</f>
        <v>Увеличить</v>
      </c>
      <c r="D172" s="3" t="s">
        <v>451</v>
      </c>
      <c r="E172" s="3" t="s">
        <v>456</v>
      </c>
      <c r="F172" s="3" t="s">
        <v>457</v>
      </c>
      <c r="G172" s="3" t="s">
        <v>454</v>
      </c>
      <c r="H172" s="3">
        <v>3</v>
      </c>
      <c r="I172" s="3">
        <v>1</v>
      </c>
      <c r="J172" s="3" t="s">
        <v>18</v>
      </c>
      <c r="K172" s="5">
        <v>0.16</v>
      </c>
      <c r="L172" s="6">
        <v>4603001061658</v>
      </c>
      <c r="M172" s="7" t="s">
        <v>458</v>
      </c>
      <c r="N172" s="8">
        <f>VLOOKUP(B172,'[1]новый без картинок'!$A$5:$F$2672,6,0)</f>
        <v>224</v>
      </c>
    </row>
    <row r="173" spans="1:14" ht="138.6" customHeight="1" x14ac:dyDescent="0.2">
      <c r="A173" s="3">
        <v>171</v>
      </c>
      <c r="B173" s="3">
        <v>199314</v>
      </c>
      <c r="C173" s="4" t="str">
        <f>HYPERLINK("http://optservis.net:5080/photo?tov_code_internet=199314","Увеличить")</f>
        <v>Увеличить</v>
      </c>
      <c r="D173" s="3" t="s">
        <v>459</v>
      </c>
      <c r="E173" s="3" t="s">
        <v>460</v>
      </c>
      <c r="F173" s="3" t="s">
        <v>461</v>
      </c>
      <c r="G173" s="3" t="s">
        <v>462</v>
      </c>
      <c r="H173" s="3">
        <v>1</v>
      </c>
      <c r="I173" s="3">
        <v>1</v>
      </c>
      <c r="J173" s="3" t="s">
        <v>18</v>
      </c>
      <c r="K173" s="5">
        <v>0.02</v>
      </c>
      <c r="L173" s="6">
        <v>4690654016395</v>
      </c>
      <c r="M173" s="7" t="s">
        <v>463</v>
      </c>
      <c r="N173" s="8">
        <f>VLOOKUP(B173,'[1]новый без картинок'!$A$5:$F$2672,6,0)</f>
        <v>230</v>
      </c>
    </row>
    <row r="174" spans="1:14" ht="138.6" customHeight="1" x14ac:dyDescent="0.2">
      <c r="A174" s="3">
        <v>172</v>
      </c>
      <c r="B174" s="3">
        <v>212629</v>
      </c>
      <c r="C174" s="4" t="str">
        <f>HYPERLINK("http://optservis.net:5080/photo?tov_code_internet=212629","Увеличить")</f>
        <v>Увеличить</v>
      </c>
      <c r="D174" s="3" t="s">
        <v>459</v>
      </c>
      <c r="E174" s="3" t="s">
        <v>460</v>
      </c>
      <c r="F174" s="3" t="s">
        <v>464</v>
      </c>
      <c r="G174" s="3" t="s">
        <v>462</v>
      </c>
      <c r="H174" s="3">
        <v>1</v>
      </c>
      <c r="I174" s="3">
        <v>1</v>
      </c>
      <c r="J174" s="3" t="s">
        <v>18</v>
      </c>
      <c r="K174" s="5">
        <v>0.02</v>
      </c>
      <c r="L174" s="6">
        <v>4690654020071</v>
      </c>
      <c r="M174" s="7" t="s">
        <v>463</v>
      </c>
      <c r="N174" s="8">
        <f>VLOOKUP(B174,'[1]новый без картинок'!$A$5:$F$2672,6,0)</f>
        <v>230</v>
      </c>
    </row>
    <row r="175" spans="1:14" ht="138.6" customHeight="1" x14ac:dyDescent="0.2">
      <c r="A175" s="3">
        <v>173</v>
      </c>
      <c r="B175" s="3">
        <v>194994</v>
      </c>
      <c r="C175" s="4" t="str">
        <f>HYPERLINK("http://optservis.net:5080/photo?tov_code_internet=194994","Увеличить")</f>
        <v>Увеличить</v>
      </c>
      <c r="D175" s="3" t="s">
        <v>459</v>
      </c>
      <c r="E175" s="3" t="s">
        <v>460</v>
      </c>
      <c r="F175" s="3" t="s">
        <v>465</v>
      </c>
      <c r="G175" s="3" t="s">
        <v>466</v>
      </c>
      <c r="H175" s="3">
        <v>1</v>
      </c>
      <c r="I175" s="3">
        <v>1</v>
      </c>
      <c r="J175" s="3" t="s">
        <v>18</v>
      </c>
      <c r="K175" s="5">
        <v>0.02</v>
      </c>
      <c r="L175" s="6">
        <v>4690654999834</v>
      </c>
      <c r="M175" s="7" t="s">
        <v>467</v>
      </c>
      <c r="N175" s="8">
        <f>VLOOKUP(B175,'[1]новый без картинок'!$A$5:$F$2672,6,0)</f>
        <v>202</v>
      </c>
    </row>
    <row r="176" spans="1:14" ht="138.6" customHeight="1" x14ac:dyDescent="0.2">
      <c r="A176" s="3">
        <v>174</v>
      </c>
      <c r="B176" s="3">
        <v>199313</v>
      </c>
      <c r="C176" s="4" t="str">
        <f>HYPERLINK("http://optservis.net:5080/photo?tov_code_internet=199313","Увеличить")</f>
        <v>Увеличить</v>
      </c>
      <c r="D176" s="3" t="s">
        <v>459</v>
      </c>
      <c r="E176" s="3" t="s">
        <v>460</v>
      </c>
      <c r="F176" s="3" t="s">
        <v>468</v>
      </c>
      <c r="G176" s="3" t="s">
        <v>469</v>
      </c>
      <c r="H176" s="3">
        <v>1</v>
      </c>
      <c r="I176" s="3">
        <v>1</v>
      </c>
      <c r="J176" s="3" t="s">
        <v>18</v>
      </c>
      <c r="K176" s="5">
        <v>0.02</v>
      </c>
      <c r="L176" s="6">
        <v>4690654016920</v>
      </c>
      <c r="M176" s="7" t="s">
        <v>470</v>
      </c>
      <c r="N176" s="8">
        <f>VLOOKUP(B176,'[1]новый без картинок'!$A$5:$F$2672,6,0)</f>
        <v>221</v>
      </c>
    </row>
    <row r="177" spans="1:14" ht="149.44999999999999" customHeight="1" x14ac:dyDescent="0.2">
      <c r="A177" s="3">
        <v>175</v>
      </c>
      <c r="B177" s="3">
        <v>194979</v>
      </c>
      <c r="C177" s="4" t="str">
        <f>HYPERLINK("http://optservis.net:5080/photo?tov_code_internet=194979","Увеличить")</f>
        <v>Увеличить</v>
      </c>
      <c r="D177" s="3" t="s">
        <v>471</v>
      </c>
      <c r="E177" s="3" t="s">
        <v>472</v>
      </c>
      <c r="F177" s="3" t="s">
        <v>473</v>
      </c>
      <c r="G177" s="3" t="s">
        <v>474</v>
      </c>
      <c r="H177" s="3">
        <v>1</v>
      </c>
      <c r="I177" s="3">
        <v>1</v>
      </c>
      <c r="J177" s="3" t="s">
        <v>18</v>
      </c>
      <c r="K177" s="5">
        <v>0.02</v>
      </c>
      <c r="L177" s="6">
        <v>4640020773131</v>
      </c>
      <c r="M177" s="7" t="s">
        <v>475</v>
      </c>
      <c r="N177" s="8">
        <f>VLOOKUP(B177,'[1]новый без картинок'!$A$5:$F$2672,6,0)</f>
        <v>212</v>
      </c>
    </row>
    <row r="178" spans="1:14" ht="149.44999999999999" customHeight="1" x14ac:dyDescent="0.2">
      <c r="A178" s="3">
        <v>176</v>
      </c>
      <c r="B178" s="3">
        <v>194984</v>
      </c>
      <c r="C178" s="4" t="str">
        <f>HYPERLINK("http://optservis.net:5080/photo?tov_code_internet=194984","Увеличить")</f>
        <v>Увеличить</v>
      </c>
      <c r="D178" s="3" t="s">
        <v>471</v>
      </c>
      <c r="E178" s="3" t="s">
        <v>472</v>
      </c>
      <c r="F178" s="3" t="s">
        <v>476</v>
      </c>
      <c r="G178" s="3" t="s">
        <v>477</v>
      </c>
      <c r="H178" s="3">
        <v>1</v>
      </c>
      <c r="I178" s="3">
        <v>1</v>
      </c>
      <c r="J178" s="3" t="s">
        <v>18</v>
      </c>
      <c r="K178" s="5">
        <v>0.04</v>
      </c>
      <c r="L178" s="6">
        <v>4640020773148</v>
      </c>
      <c r="M178" s="7" t="s">
        <v>478</v>
      </c>
      <c r="N178" s="8">
        <f>VLOOKUP(B178,'[1]новый без картинок'!$A$5:$F$2672,6,0)</f>
        <v>200</v>
      </c>
    </row>
    <row r="179" spans="1:14" ht="151.15" customHeight="1" x14ac:dyDescent="0.2">
      <c r="A179" s="3">
        <v>177</v>
      </c>
      <c r="B179" s="3">
        <v>194986</v>
      </c>
      <c r="C179" s="4" t="str">
        <f>HYPERLINK("http://optservis.net:5080/photo?tov_code_internet=194986","Увеличить")</f>
        <v>Увеличить</v>
      </c>
      <c r="D179" s="3" t="s">
        <v>471</v>
      </c>
      <c r="E179" s="3" t="s">
        <v>472</v>
      </c>
      <c r="F179" s="3" t="s">
        <v>479</v>
      </c>
      <c r="G179" s="3" t="s">
        <v>474</v>
      </c>
      <c r="H179" s="3">
        <v>1</v>
      </c>
      <c r="I179" s="3">
        <v>1</v>
      </c>
      <c r="J179" s="3" t="s">
        <v>18</v>
      </c>
      <c r="K179" s="5">
        <v>0.02</v>
      </c>
      <c r="L179" s="6">
        <v>4640020778426</v>
      </c>
      <c r="M179" s="7" t="s">
        <v>475</v>
      </c>
      <c r="N179" s="8">
        <f>VLOOKUP(B179,'[1]новый без картинок'!$A$5:$F$2672,6,0)</f>
        <v>196</v>
      </c>
    </row>
    <row r="180" spans="1:14" ht="138.6" customHeight="1" x14ac:dyDescent="0.2">
      <c r="A180" s="3">
        <v>178</v>
      </c>
      <c r="B180" s="3">
        <v>829478</v>
      </c>
      <c r="C180" s="4" t="str">
        <f>HYPERLINK("http://optservis.net:5080/photo?tov_code_internet=829478","Увеличить")</f>
        <v>Увеличить</v>
      </c>
      <c r="D180" s="3" t="s">
        <v>480</v>
      </c>
      <c r="E180" s="3" t="s">
        <v>481</v>
      </c>
      <c r="F180" s="3" t="s">
        <v>482</v>
      </c>
      <c r="G180" s="3" t="s">
        <v>483</v>
      </c>
      <c r="H180" s="3">
        <v>1</v>
      </c>
      <c r="I180" s="3">
        <v>1</v>
      </c>
      <c r="J180" s="3" t="s">
        <v>18</v>
      </c>
      <c r="K180" s="5">
        <v>0.05</v>
      </c>
      <c r="L180" s="6">
        <v>4690654996154</v>
      </c>
      <c r="M180" s="7" t="s">
        <v>484</v>
      </c>
      <c r="N180" s="8">
        <f>VLOOKUP(B180,'[1]новый без картинок'!$A$5:$F$2672,6,0)</f>
        <v>189</v>
      </c>
    </row>
    <row r="181" spans="1:14" ht="138.6" customHeight="1" x14ac:dyDescent="0.2">
      <c r="A181" s="3">
        <v>179</v>
      </c>
      <c r="B181" s="3">
        <v>825188</v>
      </c>
      <c r="C181" s="4" t="str">
        <f>HYPERLINK("http://optservis.net:5080/photo?tov_code_internet=825188","Увеличить")</f>
        <v>Увеличить</v>
      </c>
      <c r="D181" s="3" t="s">
        <v>480</v>
      </c>
      <c r="E181" s="3" t="s">
        <v>481</v>
      </c>
      <c r="F181" s="3" t="s">
        <v>485</v>
      </c>
      <c r="G181" s="3" t="s">
        <v>483</v>
      </c>
      <c r="H181" s="3">
        <v>1</v>
      </c>
      <c r="I181" s="3">
        <v>1</v>
      </c>
      <c r="J181" s="3" t="s">
        <v>18</v>
      </c>
      <c r="K181" s="5">
        <v>0.05</v>
      </c>
      <c r="L181" s="6">
        <v>4690654995911</v>
      </c>
      <c r="M181" s="7" t="s">
        <v>484</v>
      </c>
      <c r="N181" s="8">
        <f>VLOOKUP(B181,'[1]новый без картинок'!$A$5:$F$2672,6,0)</f>
        <v>183</v>
      </c>
    </row>
    <row r="182" spans="1:14" ht="151.15" customHeight="1" x14ac:dyDescent="0.2">
      <c r="A182" s="3">
        <v>180</v>
      </c>
      <c r="B182" s="3">
        <v>825190</v>
      </c>
      <c r="C182" s="4" t="str">
        <f>HYPERLINK("http://optservis.net:5080/photo?tov_code_internet=825190","Увеличить")</f>
        <v>Увеличить</v>
      </c>
      <c r="D182" s="3" t="s">
        <v>480</v>
      </c>
      <c r="E182" s="3" t="s">
        <v>481</v>
      </c>
      <c r="F182" s="3" t="s">
        <v>486</v>
      </c>
      <c r="G182" s="3" t="s">
        <v>483</v>
      </c>
      <c r="H182" s="3">
        <v>1</v>
      </c>
      <c r="I182" s="3">
        <v>1</v>
      </c>
      <c r="J182" s="3" t="s">
        <v>18</v>
      </c>
      <c r="K182" s="5">
        <v>0.05</v>
      </c>
      <c r="L182" s="6">
        <v>4690654995928</v>
      </c>
      <c r="M182" s="7" t="s">
        <v>484</v>
      </c>
      <c r="N182" s="8">
        <f>VLOOKUP(B182,'[1]новый без картинок'!$A$5:$F$2672,6,0)</f>
        <v>186</v>
      </c>
    </row>
    <row r="183" spans="1:14" ht="138.6" customHeight="1" x14ac:dyDescent="0.2">
      <c r="A183" s="3">
        <v>181</v>
      </c>
      <c r="B183" s="3">
        <v>825192</v>
      </c>
      <c r="C183" s="4" t="str">
        <f>HYPERLINK("http://optservis.net:5080/photo?tov_code_internet=825192","Увеличить")</f>
        <v>Увеличить</v>
      </c>
      <c r="D183" s="3" t="s">
        <v>480</v>
      </c>
      <c r="E183" s="3" t="s">
        <v>481</v>
      </c>
      <c r="F183" s="3" t="s">
        <v>487</v>
      </c>
      <c r="G183" s="3" t="s">
        <v>488</v>
      </c>
      <c r="H183" s="3">
        <v>1</v>
      </c>
      <c r="I183" s="3">
        <v>1</v>
      </c>
      <c r="J183" s="3" t="s">
        <v>18</v>
      </c>
      <c r="K183" s="5">
        <v>0.05</v>
      </c>
      <c r="L183" s="6">
        <v>4690654995935</v>
      </c>
      <c r="M183" s="7" t="s">
        <v>484</v>
      </c>
      <c r="N183" s="8">
        <f>VLOOKUP(B183,'[1]новый без картинок'!$A$5:$F$2672,6,0)</f>
        <v>181</v>
      </c>
    </row>
    <row r="184" spans="1:14" ht="153" customHeight="1" x14ac:dyDescent="0.2">
      <c r="A184" s="3">
        <v>182</v>
      </c>
      <c r="B184" s="3">
        <v>184327</v>
      </c>
      <c r="C184" s="4" t="str">
        <f>HYPERLINK("http://optservis.net:5080/photo?tov_code_internet=184327","Увеличить")</f>
        <v>Увеличить</v>
      </c>
      <c r="D184" s="3" t="s">
        <v>489</v>
      </c>
      <c r="E184" s="3" t="s">
        <v>490</v>
      </c>
      <c r="F184" s="3" t="s">
        <v>491</v>
      </c>
      <c r="G184" s="3" t="s">
        <v>110</v>
      </c>
      <c r="H184" s="3">
        <v>5</v>
      </c>
      <c r="I184" s="3">
        <v>1</v>
      </c>
      <c r="J184" s="3" t="s">
        <v>18</v>
      </c>
      <c r="K184" s="5">
        <v>0.06</v>
      </c>
      <c r="L184" s="6">
        <v>4690654012359</v>
      </c>
      <c r="M184" s="7" t="s">
        <v>492</v>
      </c>
      <c r="N184" s="8">
        <f>VLOOKUP(B184,'[1]новый без картинок'!$A$5:$F$2672,6,0)</f>
        <v>69</v>
      </c>
    </row>
    <row r="185" spans="1:14" ht="153" customHeight="1" x14ac:dyDescent="0.2">
      <c r="A185" s="3">
        <v>183</v>
      </c>
      <c r="B185" s="3">
        <v>184328</v>
      </c>
      <c r="C185" s="4" t="str">
        <f>HYPERLINK("http://optservis.net:5080/photo?tov_code_internet=184328","Увеличить")</f>
        <v>Увеличить</v>
      </c>
      <c r="D185" s="3" t="s">
        <v>489</v>
      </c>
      <c r="E185" s="3" t="s">
        <v>490</v>
      </c>
      <c r="F185" s="3" t="s">
        <v>493</v>
      </c>
      <c r="G185" s="3" t="s">
        <v>110</v>
      </c>
      <c r="H185" s="3">
        <v>5</v>
      </c>
      <c r="I185" s="3">
        <v>1</v>
      </c>
      <c r="J185" s="3" t="s">
        <v>18</v>
      </c>
      <c r="K185" s="5">
        <v>0.06</v>
      </c>
      <c r="L185" s="6">
        <v>4690654013615</v>
      </c>
      <c r="M185" s="7" t="s">
        <v>494</v>
      </c>
      <c r="N185" s="8">
        <f>VLOOKUP(B185,'[1]новый без картинок'!$A$5:$F$2672,6,0)</f>
        <v>82</v>
      </c>
    </row>
    <row r="186" spans="1:14" ht="153" customHeight="1" x14ac:dyDescent="0.2">
      <c r="A186" s="3">
        <v>184</v>
      </c>
      <c r="B186" s="3">
        <v>173556</v>
      </c>
      <c r="C186" s="4" t="str">
        <f>HYPERLINK("http://optservis.net:5080/photo?tov_code_internet=173556","Увеличить")</f>
        <v>Увеличить</v>
      </c>
      <c r="D186" s="3" t="s">
        <v>489</v>
      </c>
      <c r="E186" s="3" t="s">
        <v>490</v>
      </c>
      <c r="F186" s="3" t="s">
        <v>71</v>
      </c>
      <c r="G186" s="3" t="s">
        <v>110</v>
      </c>
      <c r="H186" s="3">
        <v>5</v>
      </c>
      <c r="I186" s="3">
        <v>1</v>
      </c>
      <c r="J186" s="3" t="s">
        <v>18</v>
      </c>
      <c r="K186" s="5">
        <v>0.05</v>
      </c>
      <c r="L186" s="6">
        <v>4690654009694</v>
      </c>
      <c r="M186" s="7" t="s">
        <v>492</v>
      </c>
      <c r="N186" s="8">
        <f>VLOOKUP(B186,'[1]новый без картинок'!$A$5:$F$2672,6,0)</f>
        <v>66</v>
      </c>
    </row>
    <row r="187" spans="1:14" ht="153" customHeight="1" x14ac:dyDescent="0.2">
      <c r="A187" s="3">
        <v>185</v>
      </c>
      <c r="B187" s="3">
        <v>190425</v>
      </c>
      <c r="C187" s="4" t="str">
        <f>HYPERLINK("http://optservis.net:5080/photo?tov_code_internet=190425","Увеличить")</f>
        <v>Увеличить</v>
      </c>
      <c r="D187" s="3" t="s">
        <v>495</v>
      </c>
      <c r="E187" s="3" t="s">
        <v>496</v>
      </c>
      <c r="F187" s="3" t="s">
        <v>491</v>
      </c>
      <c r="G187" s="3" t="s">
        <v>17</v>
      </c>
      <c r="H187" s="3">
        <v>5</v>
      </c>
      <c r="I187" s="3">
        <v>1</v>
      </c>
      <c r="J187" s="3" t="s">
        <v>18</v>
      </c>
      <c r="K187" s="5">
        <v>0.04</v>
      </c>
      <c r="L187" s="6">
        <v>4690654016463</v>
      </c>
      <c r="M187" s="7" t="s">
        <v>497</v>
      </c>
      <c r="N187" s="8">
        <f>VLOOKUP(B187,'[1]новый без картинок'!$A$5:$F$2672,6,0)</f>
        <v>53</v>
      </c>
    </row>
    <row r="188" spans="1:14" ht="153" customHeight="1" x14ac:dyDescent="0.2">
      <c r="A188" s="3">
        <v>186</v>
      </c>
      <c r="B188" s="3">
        <v>190424</v>
      </c>
      <c r="C188" s="4" t="str">
        <f>HYPERLINK("http://optservis.net:5080/photo?tov_code_internet=190424","Увеличить")</f>
        <v>Увеличить</v>
      </c>
      <c r="D188" s="3" t="s">
        <v>495</v>
      </c>
      <c r="E188" s="3" t="s">
        <v>496</v>
      </c>
      <c r="F188" s="3" t="s">
        <v>71</v>
      </c>
      <c r="G188" s="3" t="s">
        <v>17</v>
      </c>
      <c r="H188" s="3">
        <v>5</v>
      </c>
      <c r="I188" s="3">
        <v>1</v>
      </c>
      <c r="J188" s="3" t="s">
        <v>18</v>
      </c>
      <c r="K188" s="5">
        <v>0.04</v>
      </c>
      <c r="L188" s="6">
        <v>4690654016388</v>
      </c>
      <c r="M188" s="7" t="s">
        <v>498</v>
      </c>
      <c r="N188" s="8">
        <f>VLOOKUP(B188,'[1]новый без картинок'!$A$5:$F$2672,6,0)</f>
        <v>51</v>
      </c>
    </row>
    <row r="189" spans="1:14" ht="151.15" customHeight="1" x14ac:dyDescent="0.2">
      <c r="A189" s="3">
        <v>187</v>
      </c>
      <c r="B189" s="3">
        <v>190428</v>
      </c>
      <c r="C189" s="4" t="str">
        <f>HYPERLINK("http://optservis.net:5080/photo?tov_code_internet=190428","Увеличить")</f>
        <v>Увеличить</v>
      </c>
      <c r="D189" s="3" t="s">
        <v>499</v>
      </c>
      <c r="E189" s="3" t="s">
        <v>500</v>
      </c>
      <c r="F189" s="3" t="s">
        <v>501</v>
      </c>
      <c r="G189" s="3" t="s">
        <v>502</v>
      </c>
      <c r="H189" s="3">
        <v>1</v>
      </c>
      <c r="I189" s="3">
        <v>1</v>
      </c>
      <c r="J189" s="3" t="s">
        <v>18</v>
      </c>
      <c r="K189" s="5">
        <v>0.02</v>
      </c>
      <c r="L189" s="6">
        <v>4690654017569</v>
      </c>
      <c r="M189" s="7" t="s">
        <v>503</v>
      </c>
      <c r="N189" s="8">
        <f>VLOOKUP(B189,'[1]новый без картинок'!$A$5:$F$2672,6,0)</f>
        <v>72</v>
      </c>
    </row>
    <row r="190" spans="1:14" ht="153" customHeight="1" x14ac:dyDescent="0.2">
      <c r="A190" s="3">
        <v>188</v>
      </c>
      <c r="B190" s="3">
        <v>190426</v>
      </c>
      <c r="C190" s="4" t="str">
        <f>HYPERLINK("http://optservis.net:5080/photo?tov_code_internet=190426","Увеличить")</f>
        <v>Увеличить</v>
      </c>
      <c r="D190" s="3" t="s">
        <v>499</v>
      </c>
      <c r="E190" s="3" t="s">
        <v>500</v>
      </c>
      <c r="F190" s="3" t="s">
        <v>504</v>
      </c>
      <c r="G190" s="3" t="s">
        <v>502</v>
      </c>
      <c r="H190" s="3">
        <v>1</v>
      </c>
      <c r="I190" s="3">
        <v>1</v>
      </c>
      <c r="J190" s="3" t="s">
        <v>18</v>
      </c>
      <c r="K190" s="5">
        <v>0.01</v>
      </c>
      <c r="L190" s="6">
        <v>4690654017699</v>
      </c>
      <c r="M190" s="7" t="s">
        <v>505</v>
      </c>
      <c r="N190" s="8">
        <f>VLOOKUP(B190,'[1]новый без картинок'!$A$5:$F$2672,6,0)</f>
        <v>72</v>
      </c>
    </row>
    <row r="191" spans="1:14" ht="153" customHeight="1" x14ac:dyDescent="0.2">
      <c r="A191" s="3">
        <v>189</v>
      </c>
      <c r="B191" s="3">
        <v>190427</v>
      </c>
      <c r="C191" s="4" t="str">
        <f>HYPERLINK("http://optservis.net:5080/photo?tov_code_internet=190427","Увеличить")</f>
        <v>Увеличить</v>
      </c>
      <c r="D191" s="3" t="s">
        <v>499</v>
      </c>
      <c r="E191" s="3" t="s">
        <v>500</v>
      </c>
      <c r="F191" s="3" t="s">
        <v>506</v>
      </c>
      <c r="G191" s="3" t="s">
        <v>502</v>
      </c>
      <c r="H191" s="3">
        <v>1</v>
      </c>
      <c r="I191" s="3">
        <v>1</v>
      </c>
      <c r="J191" s="3" t="s">
        <v>18</v>
      </c>
      <c r="K191" s="5">
        <v>0.01</v>
      </c>
      <c r="L191" s="6">
        <v>4690654017705</v>
      </c>
      <c r="M191" s="7" t="s">
        <v>507</v>
      </c>
      <c r="N191" s="8">
        <f>VLOOKUP(B191,'[1]новый без картинок'!$A$5:$F$2672,6,0)</f>
        <v>72</v>
      </c>
    </row>
    <row r="192" spans="1:14" ht="151.15" customHeight="1" x14ac:dyDescent="0.2">
      <c r="A192" s="3">
        <v>190</v>
      </c>
      <c r="B192" s="3">
        <v>210908</v>
      </c>
      <c r="C192" s="4" t="str">
        <f>HYPERLINK("http://optservis.net:5080/photo?tov_code_internet=210908","Увеличить")</f>
        <v>Увеличить</v>
      </c>
      <c r="D192" s="3" t="s">
        <v>508</v>
      </c>
      <c r="E192" s="3" t="s">
        <v>509</v>
      </c>
      <c r="F192" s="3" t="s">
        <v>491</v>
      </c>
      <c r="G192" s="3" t="s">
        <v>17</v>
      </c>
      <c r="H192" s="3">
        <v>5</v>
      </c>
      <c r="I192" s="3">
        <v>1</v>
      </c>
      <c r="J192" s="3" t="s">
        <v>18</v>
      </c>
      <c r="K192" s="5">
        <v>0.05</v>
      </c>
      <c r="L192" s="6">
        <v>4690654007577</v>
      </c>
      <c r="M192" s="7" t="s">
        <v>510</v>
      </c>
      <c r="N192" s="8">
        <f>VLOOKUP(B192,'[1]новый без картинок'!$A$5:$F$2672,6,0)</f>
        <v>46</v>
      </c>
    </row>
    <row r="193" spans="1:14" ht="153" customHeight="1" x14ac:dyDescent="0.2">
      <c r="A193" s="3">
        <v>191</v>
      </c>
      <c r="B193" s="3">
        <v>210909</v>
      </c>
      <c r="C193" s="4" t="str">
        <f>HYPERLINK("http://optservis.net:5080/photo?tov_code_internet=210909","Увеличить")</f>
        <v>Увеличить</v>
      </c>
      <c r="D193" s="3" t="s">
        <v>508</v>
      </c>
      <c r="E193" s="3" t="s">
        <v>509</v>
      </c>
      <c r="F193" s="3" t="s">
        <v>493</v>
      </c>
      <c r="G193" s="3" t="s">
        <v>17</v>
      </c>
      <c r="H193" s="3">
        <v>5</v>
      </c>
      <c r="I193" s="3">
        <v>1</v>
      </c>
      <c r="J193" s="3" t="s">
        <v>18</v>
      </c>
      <c r="K193" s="5">
        <v>0.05</v>
      </c>
      <c r="L193" s="6">
        <v>4690654012335</v>
      </c>
      <c r="M193" s="7" t="s">
        <v>511</v>
      </c>
      <c r="N193" s="8">
        <f>VLOOKUP(B193,'[1]новый без картинок'!$A$5:$F$2672,6,0)</f>
        <v>52</v>
      </c>
    </row>
    <row r="194" spans="1:14" ht="149.44999999999999" customHeight="1" x14ac:dyDescent="0.2">
      <c r="A194" s="3">
        <v>192</v>
      </c>
      <c r="B194" s="3">
        <v>150941</v>
      </c>
      <c r="C194" s="4" t="str">
        <f>HYPERLINK("http://optservis.net:5080/photo?tov_code_internet=150941","Увеличить")</f>
        <v>Увеличить</v>
      </c>
      <c r="D194" s="3" t="s">
        <v>508</v>
      </c>
      <c r="E194" s="3" t="s">
        <v>509</v>
      </c>
      <c r="F194" s="3" t="s">
        <v>71</v>
      </c>
      <c r="G194" s="3" t="s">
        <v>17</v>
      </c>
      <c r="H194" s="3">
        <v>5</v>
      </c>
      <c r="I194" s="3">
        <v>1</v>
      </c>
      <c r="J194" s="3" t="s">
        <v>18</v>
      </c>
      <c r="K194" s="5">
        <v>0.06</v>
      </c>
      <c r="L194" s="6">
        <v>4690654005580</v>
      </c>
      <c r="M194" s="7" t="s">
        <v>512</v>
      </c>
      <c r="N194" s="8">
        <f>VLOOKUP(B194,'[1]новый без картинок'!$A$5:$F$2672,6,0)</f>
        <v>49</v>
      </c>
    </row>
    <row r="195" spans="1:14" ht="138.6" customHeight="1" x14ac:dyDescent="0.2">
      <c r="A195" s="3">
        <v>193</v>
      </c>
      <c r="B195" s="3">
        <v>172206</v>
      </c>
      <c r="C195" s="4" t="str">
        <f>HYPERLINK("http://optservis.net:5080/photo?tov_code_internet=172206","Увеличить")</f>
        <v>Увеличить</v>
      </c>
      <c r="D195" s="3" t="s">
        <v>513</v>
      </c>
      <c r="E195" s="3" t="s">
        <v>514</v>
      </c>
      <c r="F195" s="3" t="s">
        <v>491</v>
      </c>
      <c r="G195" s="3" t="s">
        <v>17</v>
      </c>
      <c r="H195" s="3">
        <v>3</v>
      </c>
      <c r="I195" s="3">
        <v>1</v>
      </c>
      <c r="J195" s="3" t="s">
        <v>18</v>
      </c>
      <c r="K195" s="5">
        <v>0.17</v>
      </c>
      <c r="L195" s="6">
        <v>4690654009113</v>
      </c>
      <c r="M195" s="7" t="s">
        <v>515</v>
      </c>
      <c r="N195" s="8">
        <f>VLOOKUP(B195,'[1]новый без картинок'!$A$5:$F$2672,6,0)</f>
        <v>82</v>
      </c>
    </row>
    <row r="196" spans="1:14" ht="138.6" customHeight="1" x14ac:dyDescent="0.2">
      <c r="A196" s="3">
        <v>194</v>
      </c>
      <c r="B196" s="3">
        <v>172214</v>
      </c>
      <c r="C196" s="4" t="str">
        <f>HYPERLINK("http://optservis.net:5080/photo?tov_code_internet=172214","Увеличить")</f>
        <v>Увеличить</v>
      </c>
      <c r="D196" s="3" t="s">
        <v>513</v>
      </c>
      <c r="E196" s="3" t="s">
        <v>514</v>
      </c>
      <c r="F196" s="3" t="s">
        <v>516</v>
      </c>
      <c r="G196" s="3" t="s">
        <v>17</v>
      </c>
      <c r="H196" s="3">
        <v>3</v>
      </c>
      <c r="I196" s="3">
        <v>1</v>
      </c>
      <c r="J196" s="3" t="s">
        <v>18</v>
      </c>
      <c r="K196" s="5">
        <v>0.17</v>
      </c>
      <c r="L196" s="6">
        <v>4690654009120</v>
      </c>
      <c r="M196" s="7" t="s">
        <v>517</v>
      </c>
      <c r="N196" s="8">
        <f>VLOOKUP(B196,'[1]новый без картинок'!$A$5:$F$2672,6,0)</f>
        <v>81</v>
      </c>
    </row>
    <row r="197" spans="1:14" ht="138.6" customHeight="1" x14ac:dyDescent="0.2">
      <c r="A197" s="3">
        <v>195</v>
      </c>
      <c r="B197" s="3">
        <v>172213</v>
      </c>
      <c r="C197" s="4" t="str">
        <f>HYPERLINK("http://optservis.net:5080/photo?tov_code_internet=172213","Увеличить")</f>
        <v>Увеличить</v>
      </c>
      <c r="D197" s="3" t="s">
        <v>513</v>
      </c>
      <c r="E197" s="3" t="s">
        <v>514</v>
      </c>
      <c r="F197" s="3" t="s">
        <v>71</v>
      </c>
      <c r="G197" s="3" t="s">
        <v>17</v>
      </c>
      <c r="H197" s="3">
        <v>3</v>
      </c>
      <c r="I197" s="3">
        <v>1</v>
      </c>
      <c r="J197" s="3" t="s">
        <v>18</v>
      </c>
      <c r="K197" s="5">
        <v>0.17</v>
      </c>
      <c r="L197" s="6">
        <v>4690654009137</v>
      </c>
      <c r="M197" s="7" t="s">
        <v>515</v>
      </c>
      <c r="N197" s="8">
        <f>VLOOKUP(B197,'[1]новый без картинок'!$A$5:$F$2672,6,0)</f>
        <v>77</v>
      </c>
    </row>
    <row r="198" spans="1:14" ht="151.15" customHeight="1" x14ac:dyDescent="0.2">
      <c r="A198" s="3">
        <v>196</v>
      </c>
      <c r="B198" s="3">
        <v>190222</v>
      </c>
      <c r="C198" s="4" t="str">
        <f>HYPERLINK("http://optservis.net:5080/photo?tov_code_internet=190222","Увеличить")</f>
        <v>Увеличить</v>
      </c>
      <c r="D198" s="3" t="s">
        <v>518</v>
      </c>
      <c r="E198" s="3" t="s">
        <v>519</v>
      </c>
      <c r="F198" s="3" t="s">
        <v>520</v>
      </c>
      <c r="G198" s="3" t="s">
        <v>349</v>
      </c>
      <c r="H198" s="3">
        <v>1</v>
      </c>
      <c r="I198" s="3">
        <v>1</v>
      </c>
      <c r="J198" s="3" t="s">
        <v>18</v>
      </c>
      <c r="K198" s="5">
        <v>0.15</v>
      </c>
      <c r="L198" s="6">
        <v>4690654009717</v>
      </c>
      <c r="M198" s="7" t="s">
        <v>521</v>
      </c>
      <c r="N198" s="8">
        <f>VLOOKUP(B198,'[1]новый без картинок'!$A$5:$F$2672,6,0)</f>
        <v>222</v>
      </c>
    </row>
    <row r="199" spans="1:14" ht="138.6" customHeight="1" x14ac:dyDescent="0.2">
      <c r="A199" s="3">
        <v>197</v>
      </c>
      <c r="B199" s="3">
        <v>205146</v>
      </c>
      <c r="C199" s="4" t="str">
        <f>HYPERLINK("http://optservis.net:5080/photo?tov_code_internet=205146","Увеличить")</f>
        <v>Увеличить</v>
      </c>
      <c r="D199" s="3" t="s">
        <v>518</v>
      </c>
      <c r="E199" s="3" t="s">
        <v>519</v>
      </c>
      <c r="F199" s="3" t="s">
        <v>522</v>
      </c>
      <c r="G199" s="3" t="s">
        <v>349</v>
      </c>
      <c r="H199" s="3">
        <v>1</v>
      </c>
      <c r="I199" s="3">
        <v>1</v>
      </c>
      <c r="J199" s="3" t="s">
        <v>18</v>
      </c>
      <c r="K199" s="5">
        <v>0.15</v>
      </c>
      <c r="L199" s="6">
        <v>4690654018245</v>
      </c>
      <c r="M199" s="7" t="s">
        <v>523</v>
      </c>
      <c r="N199" s="8">
        <f>VLOOKUP(B199,'[1]новый без картинок'!$A$5:$F$2672,6,0)</f>
        <v>231</v>
      </c>
    </row>
    <row r="200" spans="1:14" ht="138.6" customHeight="1" x14ac:dyDescent="0.2">
      <c r="A200" s="3">
        <v>198</v>
      </c>
      <c r="B200" s="3">
        <v>205148</v>
      </c>
      <c r="C200" s="4" t="str">
        <f>HYPERLINK("http://optservis.net:5080/photo?tov_code_internet=205148","Увеличить")</f>
        <v>Увеличить</v>
      </c>
      <c r="D200" s="3" t="s">
        <v>518</v>
      </c>
      <c r="E200" s="3" t="s">
        <v>519</v>
      </c>
      <c r="F200" s="3" t="s">
        <v>524</v>
      </c>
      <c r="G200" s="3" t="s">
        <v>349</v>
      </c>
      <c r="H200" s="3">
        <v>1</v>
      </c>
      <c r="I200" s="3">
        <v>1</v>
      </c>
      <c r="J200" s="3" t="s">
        <v>18</v>
      </c>
      <c r="K200" s="5">
        <v>0.15</v>
      </c>
      <c r="L200" s="6">
        <v>4690654018252</v>
      </c>
      <c r="M200" s="7" t="s">
        <v>523</v>
      </c>
      <c r="N200" s="8">
        <f>VLOOKUP(B200,'[1]новый без картинок'!$A$5:$F$2672,6,0)</f>
        <v>237</v>
      </c>
    </row>
    <row r="201" spans="1:14" ht="153" customHeight="1" x14ac:dyDescent="0.2">
      <c r="A201" s="3">
        <v>199</v>
      </c>
      <c r="B201" s="3">
        <v>184326</v>
      </c>
      <c r="C201" s="4" t="str">
        <f>HYPERLINK("http://optservis.net:5080/photo?tov_code_internet=184326","Увеличить")</f>
        <v>Увеличить</v>
      </c>
      <c r="D201" s="3" t="s">
        <v>525</v>
      </c>
      <c r="E201" s="3" t="s">
        <v>526</v>
      </c>
      <c r="F201" s="3" t="s">
        <v>491</v>
      </c>
      <c r="G201" s="3" t="s">
        <v>17</v>
      </c>
      <c r="H201" s="3">
        <v>5</v>
      </c>
      <c r="I201" s="3">
        <v>1</v>
      </c>
      <c r="J201" s="3" t="s">
        <v>18</v>
      </c>
      <c r="K201" s="5">
        <v>0.04</v>
      </c>
      <c r="L201" s="6">
        <v>4690654014308</v>
      </c>
      <c r="M201" s="7" t="s">
        <v>527</v>
      </c>
      <c r="N201" s="8">
        <f>VLOOKUP(B201,'[1]новый без картинок'!$A$5:$F$2672,6,0)</f>
        <v>87</v>
      </c>
    </row>
    <row r="202" spans="1:14" ht="153" customHeight="1" x14ac:dyDescent="0.2">
      <c r="A202" s="3">
        <v>200</v>
      </c>
      <c r="B202" s="3">
        <v>184325</v>
      </c>
      <c r="C202" s="4" t="str">
        <f>HYPERLINK("http://optservis.net:5080/photo?tov_code_internet=184325","Увеличить")</f>
        <v>Увеличить</v>
      </c>
      <c r="D202" s="3" t="s">
        <v>525</v>
      </c>
      <c r="E202" s="3" t="s">
        <v>526</v>
      </c>
      <c r="F202" s="3" t="s">
        <v>493</v>
      </c>
      <c r="G202" s="3" t="s">
        <v>17</v>
      </c>
      <c r="H202" s="3">
        <v>5</v>
      </c>
      <c r="I202" s="3">
        <v>1</v>
      </c>
      <c r="J202" s="3" t="s">
        <v>18</v>
      </c>
      <c r="K202" s="5">
        <v>0.04</v>
      </c>
      <c r="L202" s="6">
        <v>4690654014315</v>
      </c>
      <c r="M202" s="7" t="s">
        <v>528</v>
      </c>
      <c r="N202" s="8">
        <f>VLOOKUP(B202,'[1]новый без картинок'!$A$5:$F$2672,6,0)</f>
        <v>91</v>
      </c>
    </row>
    <row r="203" spans="1:14" ht="153" customHeight="1" x14ac:dyDescent="0.2">
      <c r="A203" s="3">
        <v>201</v>
      </c>
      <c r="B203" s="3">
        <v>173554</v>
      </c>
      <c r="C203" s="4" t="str">
        <f>HYPERLINK("http://optservis.net:5080/photo?tov_code_internet=173554","Увеличить")</f>
        <v>Увеличить</v>
      </c>
      <c r="D203" s="3" t="s">
        <v>525</v>
      </c>
      <c r="E203" s="3" t="s">
        <v>526</v>
      </c>
      <c r="F203" s="3" t="s">
        <v>71</v>
      </c>
      <c r="G203" s="3" t="s">
        <v>17</v>
      </c>
      <c r="H203" s="3">
        <v>5</v>
      </c>
      <c r="I203" s="3">
        <v>1</v>
      </c>
      <c r="J203" s="3" t="s">
        <v>18</v>
      </c>
      <c r="K203" s="5">
        <v>0.04</v>
      </c>
      <c r="L203" s="6">
        <v>4690654009700</v>
      </c>
      <c r="M203" s="7" t="s">
        <v>527</v>
      </c>
      <c r="N203" s="8">
        <f>VLOOKUP(B203,'[1]новый без картинок'!$A$5:$F$2672,6,0)</f>
        <v>83</v>
      </c>
    </row>
    <row r="204" spans="1:14" ht="153" customHeight="1" x14ac:dyDescent="0.2">
      <c r="A204" s="3">
        <v>202</v>
      </c>
      <c r="B204" s="3">
        <v>205155</v>
      </c>
      <c r="C204" s="4" t="str">
        <f>HYPERLINK("http://optservis.net:5080/photo?tov_code_internet=205155","Увеличить")</f>
        <v>Увеличить</v>
      </c>
      <c r="D204" s="3" t="s">
        <v>529</v>
      </c>
      <c r="E204" s="3" t="s">
        <v>530</v>
      </c>
      <c r="F204" s="3" t="s">
        <v>531</v>
      </c>
      <c r="G204" s="3" t="s">
        <v>349</v>
      </c>
      <c r="H204" s="3">
        <v>1</v>
      </c>
      <c r="I204" s="3">
        <v>1</v>
      </c>
      <c r="J204" s="3" t="s">
        <v>18</v>
      </c>
      <c r="K204" s="5">
        <v>0.1</v>
      </c>
      <c r="L204" s="6">
        <v>4690654018269</v>
      </c>
      <c r="M204" s="7" t="s">
        <v>532</v>
      </c>
      <c r="N204" s="8">
        <f>VLOOKUP(B204,'[1]новый без картинок'!$A$5:$F$2672,6,0)</f>
        <v>104</v>
      </c>
    </row>
    <row r="205" spans="1:14" ht="153" customHeight="1" x14ac:dyDescent="0.2">
      <c r="A205" s="3">
        <v>203</v>
      </c>
      <c r="B205" s="3">
        <v>190212</v>
      </c>
      <c r="C205" s="4" t="str">
        <f>HYPERLINK("http://optservis.net:5080/photo?tov_code_internet=190212","Увеличить")</f>
        <v>Увеличить</v>
      </c>
      <c r="D205" s="3" t="s">
        <v>529</v>
      </c>
      <c r="E205" s="3" t="s">
        <v>530</v>
      </c>
      <c r="F205" s="3" t="s">
        <v>520</v>
      </c>
      <c r="G205" s="3" t="s">
        <v>349</v>
      </c>
      <c r="H205" s="3">
        <v>1</v>
      </c>
      <c r="I205" s="3">
        <v>1</v>
      </c>
      <c r="J205" s="3" t="s">
        <v>18</v>
      </c>
      <c r="K205" s="5">
        <v>0.09</v>
      </c>
      <c r="L205" s="6">
        <v>4690654009854</v>
      </c>
      <c r="M205" s="7" t="s">
        <v>533</v>
      </c>
      <c r="N205" s="8">
        <f>VLOOKUP(B205,'[1]новый без картинок'!$A$5:$F$2672,6,0)</f>
        <v>103</v>
      </c>
    </row>
    <row r="206" spans="1:14" ht="153" customHeight="1" x14ac:dyDescent="0.2">
      <c r="A206" s="3">
        <v>204</v>
      </c>
      <c r="B206" s="3">
        <v>205156</v>
      </c>
      <c r="C206" s="4" t="str">
        <f>HYPERLINK("http://optservis.net:5080/photo?tov_code_internet=205156","Увеличить")</f>
        <v>Увеличить</v>
      </c>
      <c r="D206" s="3" t="s">
        <v>529</v>
      </c>
      <c r="E206" s="3" t="s">
        <v>530</v>
      </c>
      <c r="F206" s="3" t="s">
        <v>534</v>
      </c>
      <c r="G206" s="3" t="s">
        <v>349</v>
      </c>
      <c r="H206" s="3">
        <v>1</v>
      </c>
      <c r="I206" s="3">
        <v>1</v>
      </c>
      <c r="J206" s="3" t="s">
        <v>18</v>
      </c>
      <c r="K206" s="5">
        <v>0.1</v>
      </c>
      <c r="L206" s="6">
        <v>4690654018276</v>
      </c>
      <c r="M206" s="7" t="s">
        <v>535</v>
      </c>
      <c r="N206" s="8">
        <f>VLOOKUP(B206,'[1]новый без картинок'!$A$5:$F$2672,6,0)</f>
        <v>104</v>
      </c>
    </row>
    <row r="207" spans="1:14" ht="157.5" customHeight="1" x14ac:dyDescent="0.2">
      <c r="A207" s="3">
        <v>205</v>
      </c>
      <c r="B207" s="3">
        <v>214477</v>
      </c>
      <c r="C207" s="4" t="str">
        <f>HYPERLINK("http://optservis.net:5080/photo?tov_code_internet=214477","Увеличить")</f>
        <v>Увеличить</v>
      </c>
      <c r="D207" s="3" t="s">
        <v>536</v>
      </c>
      <c r="E207" s="3"/>
      <c r="F207" s="3" t="s">
        <v>537</v>
      </c>
      <c r="G207" s="3" t="s">
        <v>175</v>
      </c>
      <c r="H207" s="3">
        <v>0.33300000000000002</v>
      </c>
      <c r="I207" s="3">
        <v>0</v>
      </c>
      <c r="J207" s="3" t="s">
        <v>18</v>
      </c>
      <c r="K207" s="5">
        <v>0.02</v>
      </c>
      <c r="L207" s="6">
        <v>0</v>
      </c>
      <c r="M207" s="7" t="s">
        <v>538</v>
      </c>
      <c r="N207" s="8">
        <f>VLOOKUP(B207,'[1]новый без картинок'!$A$5:$F$2672,6,0)</f>
        <v>217</v>
      </c>
    </row>
    <row r="208" spans="1:14" ht="157.5" customHeight="1" x14ac:dyDescent="0.2">
      <c r="A208" s="3">
        <v>206</v>
      </c>
      <c r="B208" s="3">
        <v>214481</v>
      </c>
      <c r="C208" s="4" t="str">
        <f>HYPERLINK("http://optservis.net:5080/photo?tov_code_internet=214481","Увеличить")</f>
        <v>Увеличить</v>
      </c>
      <c r="D208" s="3" t="s">
        <v>539</v>
      </c>
      <c r="E208" s="3"/>
      <c r="F208" s="3" t="s">
        <v>540</v>
      </c>
      <c r="G208" s="3" t="s">
        <v>175</v>
      </c>
      <c r="H208" s="3">
        <v>0.33300000000000002</v>
      </c>
      <c r="I208" s="3">
        <v>0</v>
      </c>
      <c r="J208" s="3" t="s">
        <v>18</v>
      </c>
      <c r="K208" s="5">
        <v>0.02</v>
      </c>
      <c r="L208" s="6">
        <v>0</v>
      </c>
      <c r="M208" s="7" t="s">
        <v>538</v>
      </c>
      <c r="N208" s="8">
        <f>VLOOKUP(B208,'[1]новый без картинок'!$A$5:$F$2672,6,0)</f>
        <v>239</v>
      </c>
    </row>
    <row r="209" spans="1:14" ht="157.5" customHeight="1" x14ac:dyDescent="0.2">
      <c r="A209" s="3">
        <v>207</v>
      </c>
      <c r="B209" s="3">
        <v>214162</v>
      </c>
      <c r="C209" s="4" t="str">
        <f>HYPERLINK("http://optservis.net:5080/photo?tov_code_internet=214162","Увеличить")</f>
        <v>Увеличить</v>
      </c>
      <c r="D209" s="3" t="s">
        <v>541</v>
      </c>
      <c r="E209" s="3"/>
      <c r="F209" s="3" t="s">
        <v>542</v>
      </c>
      <c r="G209" s="3" t="s">
        <v>175</v>
      </c>
      <c r="H209" s="3">
        <v>0.33300000000000002</v>
      </c>
      <c r="I209" s="3">
        <v>0</v>
      </c>
      <c r="J209" s="3" t="s">
        <v>18</v>
      </c>
      <c r="K209" s="5">
        <v>0.02</v>
      </c>
      <c r="L209" s="6">
        <v>0</v>
      </c>
      <c r="M209" s="7" t="s">
        <v>538</v>
      </c>
      <c r="N209" s="8">
        <f>VLOOKUP(B209,'[1]новый без картинок'!$A$5:$F$2672,6,0)</f>
        <v>224</v>
      </c>
    </row>
    <row r="210" spans="1:14" ht="157.5" customHeight="1" x14ac:dyDescent="0.2">
      <c r="A210" s="3">
        <v>208</v>
      </c>
      <c r="B210" s="3">
        <v>212909</v>
      </c>
      <c r="C210" s="4" t="str">
        <f>HYPERLINK("http://optservis.net:5080/photo?tov_code_internet=212909","Увеличить")</f>
        <v>Увеличить</v>
      </c>
      <c r="D210" s="3" t="s">
        <v>541</v>
      </c>
      <c r="E210" s="3" t="s">
        <v>543</v>
      </c>
      <c r="F210" s="3" t="s">
        <v>544</v>
      </c>
      <c r="G210" s="3" t="s">
        <v>175</v>
      </c>
      <c r="H210" s="3">
        <v>0.33300000000000002</v>
      </c>
      <c r="I210" s="3">
        <v>0</v>
      </c>
      <c r="J210" s="3" t="s">
        <v>18</v>
      </c>
      <c r="K210" s="5">
        <v>0.02</v>
      </c>
      <c r="L210" s="6">
        <v>4690654020606</v>
      </c>
      <c r="M210" s="7" t="s">
        <v>538</v>
      </c>
      <c r="N210" s="8">
        <f>VLOOKUP(B210,'[1]новый без картинок'!$A$5:$F$2672,6,0)</f>
        <v>224</v>
      </c>
    </row>
    <row r="211" spans="1:14" ht="157.5" customHeight="1" x14ac:dyDescent="0.2">
      <c r="A211" s="3">
        <v>209</v>
      </c>
      <c r="B211" s="3">
        <v>193020</v>
      </c>
      <c r="C211" s="4" t="str">
        <f>HYPERLINK("http://optservis.net:5080/photo?tov_code_internet=193020","Увеличить")</f>
        <v>Увеличить</v>
      </c>
      <c r="D211" s="3" t="s">
        <v>545</v>
      </c>
      <c r="E211" s="3" t="s">
        <v>546</v>
      </c>
      <c r="F211" s="3" t="s">
        <v>547</v>
      </c>
      <c r="G211" s="3" t="s">
        <v>175</v>
      </c>
      <c r="H211" s="3">
        <v>0.33300000000000002</v>
      </c>
      <c r="I211" s="3">
        <v>0</v>
      </c>
      <c r="J211" s="3" t="s">
        <v>18</v>
      </c>
      <c r="K211" s="5">
        <v>0.02</v>
      </c>
      <c r="L211" s="6">
        <v>4690654020613</v>
      </c>
      <c r="M211" s="7" t="s">
        <v>548</v>
      </c>
      <c r="N211" s="8">
        <f>VLOOKUP(B211,'[1]новый без картинок'!$A$5:$F$2672,6,0)</f>
        <v>173</v>
      </c>
    </row>
    <row r="212" spans="1:14" ht="138.6" customHeight="1" x14ac:dyDescent="0.2">
      <c r="A212" s="3">
        <v>210</v>
      </c>
      <c r="B212" s="3">
        <v>154372</v>
      </c>
      <c r="C212" s="4" t="str">
        <f>HYPERLINK("http://optservis.net:5080/photo?tov_code_internet=154372","Увеличить")</f>
        <v>Увеличить</v>
      </c>
      <c r="D212" s="3" t="s">
        <v>549</v>
      </c>
      <c r="E212" s="3" t="s">
        <v>550</v>
      </c>
      <c r="F212" s="3" t="s">
        <v>551</v>
      </c>
      <c r="G212" s="3" t="s">
        <v>502</v>
      </c>
      <c r="H212" s="3">
        <v>0.33300000000000002</v>
      </c>
      <c r="I212" s="3">
        <v>0</v>
      </c>
      <c r="J212" s="3" t="s">
        <v>18</v>
      </c>
      <c r="K212" s="5">
        <v>0.02</v>
      </c>
      <c r="L212" s="6">
        <v>4690654012182</v>
      </c>
      <c r="M212" s="7" t="s">
        <v>552</v>
      </c>
      <c r="N212" s="8">
        <f>VLOOKUP(B212,'[1]новый без картинок'!$A$5:$F$2672,6,0)</f>
        <v>309</v>
      </c>
    </row>
    <row r="213" spans="1:14" ht="138.6" customHeight="1" x14ac:dyDescent="0.2">
      <c r="A213" s="3">
        <v>211</v>
      </c>
      <c r="B213" s="3">
        <v>154371</v>
      </c>
      <c r="C213" s="4" t="str">
        <f>HYPERLINK("http://optservis.net:5080/photo?tov_code_internet=154371","Увеличить")</f>
        <v>Увеличить</v>
      </c>
      <c r="D213" s="3" t="s">
        <v>553</v>
      </c>
      <c r="E213" s="3"/>
      <c r="F213" s="3" t="s">
        <v>554</v>
      </c>
      <c r="G213" s="3" t="s">
        <v>502</v>
      </c>
      <c r="H213" s="3">
        <v>0.33300000000000002</v>
      </c>
      <c r="I213" s="3">
        <v>0</v>
      </c>
      <c r="J213" s="3" t="s">
        <v>18</v>
      </c>
      <c r="K213" s="5">
        <v>0.02</v>
      </c>
      <c r="L213" s="6">
        <v>0</v>
      </c>
      <c r="M213" s="7" t="s">
        <v>555</v>
      </c>
      <c r="N213" s="8">
        <f>VLOOKUP(B213,'[1]новый без картинок'!$A$5:$F$2672,6,0)</f>
        <v>226</v>
      </c>
    </row>
    <row r="214" spans="1:14" ht="157.5" customHeight="1" x14ac:dyDescent="0.2">
      <c r="A214" s="3">
        <v>212</v>
      </c>
      <c r="B214" s="3">
        <v>214482</v>
      </c>
      <c r="C214" s="4" t="str">
        <f>HYPERLINK("http://optservis.net:5080/photo?tov_code_internet=214482","Увеличить")</f>
        <v>Увеличить</v>
      </c>
      <c r="D214" s="3" t="s">
        <v>556</v>
      </c>
      <c r="E214" s="3"/>
      <c r="F214" s="3" t="s">
        <v>540</v>
      </c>
      <c r="G214" s="3" t="s">
        <v>175</v>
      </c>
      <c r="H214" s="3">
        <v>0.33300000000000002</v>
      </c>
      <c r="I214" s="3">
        <v>0</v>
      </c>
      <c r="J214" s="3" t="s">
        <v>18</v>
      </c>
      <c r="K214" s="5">
        <v>0.03</v>
      </c>
      <c r="L214" s="6">
        <v>0</v>
      </c>
      <c r="M214" s="7" t="s">
        <v>557</v>
      </c>
      <c r="N214" s="8">
        <f>VLOOKUP(B214,'[1]новый без картинок'!$A$5:$F$2672,6,0)</f>
        <v>304</v>
      </c>
    </row>
    <row r="215" spans="1:14" ht="157.5" customHeight="1" x14ac:dyDescent="0.2">
      <c r="A215" s="3">
        <v>213</v>
      </c>
      <c r="B215" s="3">
        <v>214160</v>
      </c>
      <c r="C215" s="4" t="str">
        <f>HYPERLINK("http://optservis.net:5080/photo?tov_code_internet=214160","Увеличить")</f>
        <v>Увеличить</v>
      </c>
      <c r="D215" s="3" t="s">
        <v>558</v>
      </c>
      <c r="E215" s="3"/>
      <c r="F215" s="3" t="s">
        <v>542</v>
      </c>
      <c r="G215" s="3" t="s">
        <v>175</v>
      </c>
      <c r="H215" s="3">
        <v>0.33300000000000002</v>
      </c>
      <c r="I215" s="3">
        <v>0</v>
      </c>
      <c r="J215" s="3" t="s">
        <v>18</v>
      </c>
      <c r="K215" s="5">
        <v>0.03</v>
      </c>
      <c r="L215" s="6">
        <v>0</v>
      </c>
      <c r="M215" s="7" t="s">
        <v>557</v>
      </c>
      <c r="N215" s="8">
        <f>VLOOKUP(B215,'[1]новый без картинок'!$A$5:$F$2672,6,0)</f>
        <v>287</v>
      </c>
    </row>
    <row r="216" spans="1:14" ht="157.5" customHeight="1" x14ac:dyDescent="0.2">
      <c r="A216" s="3">
        <v>214</v>
      </c>
      <c r="B216" s="3">
        <v>212911</v>
      </c>
      <c r="C216" s="4" t="str">
        <f>HYPERLINK("http://optservis.net:5080/photo?tov_code_internet=212911","Увеличить")</f>
        <v>Увеличить</v>
      </c>
      <c r="D216" s="3" t="s">
        <v>558</v>
      </c>
      <c r="E216" s="3" t="s">
        <v>559</v>
      </c>
      <c r="F216" s="3" t="s">
        <v>544</v>
      </c>
      <c r="G216" s="3" t="s">
        <v>175</v>
      </c>
      <c r="H216" s="3">
        <v>0.33300000000000002</v>
      </c>
      <c r="I216" s="3">
        <v>0</v>
      </c>
      <c r="J216" s="3" t="s">
        <v>18</v>
      </c>
      <c r="K216" s="5">
        <v>0.03</v>
      </c>
      <c r="L216" s="6">
        <v>4690654020620</v>
      </c>
      <c r="M216" s="7" t="s">
        <v>557</v>
      </c>
      <c r="N216" s="8">
        <f>VLOOKUP(B216,'[1]новый без картинок'!$A$5:$F$2672,6,0)</f>
        <v>287</v>
      </c>
    </row>
    <row r="217" spans="1:14" ht="138.6" customHeight="1" x14ac:dyDescent="0.2">
      <c r="A217" s="3">
        <v>215</v>
      </c>
      <c r="B217" s="3">
        <v>165648</v>
      </c>
      <c r="C217" s="4" t="str">
        <f>HYPERLINK("http://optservis.net:5080/photo?tov_code_internet=165648","Увеличить")</f>
        <v>Увеличить</v>
      </c>
      <c r="D217" s="3" t="s">
        <v>560</v>
      </c>
      <c r="E217" s="3"/>
      <c r="F217" s="3" t="s">
        <v>561</v>
      </c>
      <c r="G217" s="3" t="s">
        <v>175</v>
      </c>
      <c r="H217" s="3">
        <v>0.33300000000000002</v>
      </c>
      <c r="I217" s="3">
        <v>0</v>
      </c>
      <c r="J217" s="3" t="s">
        <v>18</v>
      </c>
      <c r="K217" s="5">
        <v>0.03</v>
      </c>
      <c r="L217" s="6">
        <v>0</v>
      </c>
      <c r="M217" s="7" t="s">
        <v>562</v>
      </c>
      <c r="N217" s="8">
        <f>VLOOKUP(B217,'[1]новый без картинок'!$A$5:$F$2672,6,0)</f>
        <v>225</v>
      </c>
    </row>
    <row r="218" spans="1:14" ht="157.5" customHeight="1" x14ac:dyDescent="0.2">
      <c r="A218" s="3">
        <v>216</v>
      </c>
      <c r="B218" s="3">
        <v>214476</v>
      </c>
      <c r="C218" s="4" t="str">
        <f>HYPERLINK("http://optservis.net:5080/photo?tov_code_internet=214476","Увеличить")</f>
        <v>Увеличить</v>
      </c>
      <c r="D218" s="3" t="s">
        <v>563</v>
      </c>
      <c r="E218" s="3"/>
      <c r="F218" s="3" t="s">
        <v>537</v>
      </c>
      <c r="G218" s="3" t="s">
        <v>175</v>
      </c>
      <c r="H218" s="3">
        <v>0.33300000000000002</v>
      </c>
      <c r="I218" s="3">
        <v>0</v>
      </c>
      <c r="J218" s="3" t="s">
        <v>18</v>
      </c>
      <c r="K218" s="5">
        <v>0.04</v>
      </c>
      <c r="L218" s="6">
        <v>0</v>
      </c>
      <c r="M218" s="7" t="s">
        <v>564</v>
      </c>
      <c r="N218" s="8">
        <f>VLOOKUP(B218,'[1]новый без картинок'!$A$5:$F$2672,6,0)</f>
        <v>309</v>
      </c>
    </row>
    <row r="219" spans="1:14" ht="157.5" customHeight="1" x14ac:dyDescent="0.2">
      <c r="A219" s="3">
        <v>217</v>
      </c>
      <c r="B219" s="3">
        <v>212908</v>
      </c>
      <c r="C219" s="4" t="str">
        <f>HYPERLINK("http://optservis.net:5080/photo?tov_code_internet=212908","Увеличить")</f>
        <v>Увеличить</v>
      </c>
      <c r="D219" s="3" t="s">
        <v>565</v>
      </c>
      <c r="E219" s="3"/>
      <c r="F219" s="3" t="s">
        <v>544</v>
      </c>
      <c r="G219" s="3" t="s">
        <v>175</v>
      </c>
      <c r="H219" s="3">
        <v>0.33300000000000002</v>
      </c>
      <c r="I219" s="3">
        <v>0</v>
      </c>
      <c r="J219" s="3" t="s">
        <v>18</v>
      </c>
      <c r="K219" s="5">
        <v>0.04</v>
      </c>
      <c r="L219" s="6">
        <v>0</v>
      </c>
      <c r="M219" s="7" t="s">
        <v>564</v>
      </c>
      <c r="N219" s="8">
        <f>VLOOKUP(B219,'[1]новый без картинок'!$A$5:$F$2672,6,0)</f>
        <v>316</v>
      </c>
    </row>
    <row r="220" spans="1:14" ht="157.5" customHeight="1" x14ac:dyDescent="0.2">
      <c r="A220" s="3">
        <v>218</v>
      </c>
      <c r="B220" s="3">
        <v>183615</v>
      </c>
      <c r="C220" s="4" t="str">
        <f>HYPERLINK("http://optservis.net:5080/photo?tov_code_internet=183615","Увеличить")</f>
        <v>Увеличить</v>
      </c>
      <c r="D220" s="3" t="s">
        <v>566</v>
      </c>
      <c r="E220" s="3" t="s">
        <v>567</v>
      </c>
      <c r="F220" s="3" t="s">
        <v>561</v>
      </c>
      <c r="G220" s="3" t="s">
        <v>175</v>
      </c>
      <c r="H220" s="3">
        <v>0.33300000000000002</v>
      </c>
      <c r="I220" s="3">
        <v>0</v>
      </c>
      <c r="J220" s="3" t="s">
        <v>18</v>
      </c>
      <c r="K220" s="5">
        <v>0.02</v>
      </c>
      <c r="L220" s="6">
        <v>4690654018115</v>
      </c>
      <c r="M220" s="7" t="s">
        <v>568</v>
      </c>
      <c r="N220" s="8">
        <f>VLOOKUP(B220,'[1]новый без картинок'!$A$5:$F$2672,6,0)</f>
        <v>256</v>
      </c>
    </row>
    <row r="221" spans="1:14" ht="157.5" customHeight="1" x14ac:dyDescent="0.2">
      <c r="A221" s="3">
        <v>219</v>
      </c>
      <c r="B221" s="3">
        <v>183616</v>
      </c>
      <c r="C221" s="4" t="str">
        <f>HYPERLINK("http://optservis.net:5080/photo?tov_code_internet=183616","Увеличить")</f>
        <v>Увеличить</v>
      </c>
      <c r="D221" s="3" t="s">
        <v>569</v>
      </c>
      <c r="E221" s="3" t="s">
        <v>570</v>
      </c>
      <c r="F221" s="3" t="s">
        <v>551</v>
      </c>
      <c r="G221" s="3" t="s">
        <v>502</v>
      </c>
      <c r="H221" s="3">
        <v>0.33300000000000002</v>
      </c>
      <c r="I221" s="3">
        <v>0</v>
      </c>
      <c r="J221" s="3" t="s">
        <v>18</v>
      </c>
      <c r="K221" s="5">
        <v>0.04</v>
      </c>
      <c r="L221" s="6">
        <v>4690654020026</v>
      </c>
      <c r="M221" s="7" t="s">
        <v>571</v>
      </c>
      <c r="N221" s="8">
        <f>VLOOKUP(B221,'[1]новый без картинок'!$A$5:$F$2672,6,0)</f>
        <v>402</v>
      </c>
    </row>
    <row r="222" spans="1:14" ht="157.5" customHeight="1" x14ac:dyDescent="0.2">
      <c r="A222" s="3">
        <v>220</v>
      </c>
      <c r="B222" s="3">
        <v>214483</v>
      </c>
      <c r="C222" s="4" t="str">
        <f>HYPERLINK("http://optservis.net:5080/photo?tov_code_internet=214483","Увеличить")</f>
        <v>Увеличить</v>
      </c>
      <c r="D222" s="3" t="s">
        <v>572</v>
      </c>
      <c r="E222" s="3"/>
      <c r="F222" s="3" t="s">
        <v>540</v>
      </c>
      <c r="G222" s="3" t="s">
        <v>175</v>
      </c>
      <c r="H222" s="3">
        <v>0.33300000000000002</v>
      </c>
      <c r="I222" s="3">
        <v>0</v>
      </c>
      <c r="J222" s="3" t="s">
        <v>18</v>
      </c>
      <c r="K222" s="5">
        <v>0.02</v>
      </c>
      <c r="L222" s="6">
        <v>0</v>
      </c>
      <c r="M222" s="7" t="s">
        <v>564</v>
      </c>
      <c r="N222" s="8">
        <f>VLOOKUP(B222,'[1]новый без картинок'!$A$5:$F$2672,6,0)</f>
        <v>294</v>
      </c>
    </row>
    <row r="223" spans="1:14" ht="157.5" customHeight="1" x14ac:dyDescent="0.2">
      <c r="A223" s="3">
        <v>221</v>
      </c>
      <c r="B223" s="3">
        <v>214163</v>
      </c>
      <c r="C223" s="4" t="str">
        <f>HYPERLINK("http://optservis.net:5080/photo?tov_code_internet=214163","Увеличить")</f>
        <v>Увеличить</v>
      </c>
      <c r="D223" s="3" t="s">
        <v>573</v>
      </c>
      <c r="E223" s="3"/>
      <c r="F223" s="3" t="s">
        <v>542</v>
      </c>
      <c r="G223" s="3" t="s">
        <v>175</v>
      </c>
      <c r="H223" s="3">
        <v>0.33300000000000002</v>
      </c>
      <c r="I223" s="3">
        <v>0</v>
      </c>
      <c r="J223" s="3" t="s">
        <v>18</v>
      </c>
      <c r="K223" s="5">
        <v>0.02</v>
      </c>
      <c r="L223" s="6">
        <v>0</v>
      </c>
      <c r="M223" s="7" t="s">
        <v>564</v>
      </c>
      <c r="N223" s="8">
        <f>VLOOKUP(B223,'[1]новый без картинок'!$A$5:$F$2672,6,0)</f>
        <v>278</v>
      </c>
    </row>
    <row r="224" spans="1:14" ht="157.5" customHeight="1" x14ac:dyDescent="0.2">
      <c r="A224" s="3">
        <v>222</v>
      </c>
      <c r="B224" s="3">
        <v>180537</v>
      </c>
      <c r="C224" s="4" t="str">
        <f>HYPERLINK("http://optservis.net:5080/photo?tov_code_internet=180537","Увеличить")</f>
        <v>Увеличить</v>
      </c>
      <c r="D224" s="3" t="s">
        <v>574</v>
      </c>
      <c r="E224" s="3"/>
      <c r="F224" s="3" t="s">
        <v>575</v>
      </c>
      <c r="G224" s="3" t="s">
        <v>175</v>
      </c>
      <c r="H224" s="3">
        <v>0.33300000000000002</v>
      </c>
      <c r="I224" s="3">
        <v>0</v>
      </c>
      <c r="J224" s="3" t="s">
        <v>18</v>
      </c>
      <c r="K224" s="5">
        <v>0.03</v>
      </c>
      <c r="L224" s="6">
        <v>0</v>
      </c>
      <c r="M224" s="7" t="s">
        <v>576</v>
      </c>
      <c r="N224" s="8">
        <f>VLOOKUP(B224,'[1]новый без картинок'!$A$5:$F$2672,6,0)</f>
        <v>152</v>
      </c>
    </row>
    <row r="225" spans="1:14" ht="157.5" customHeight="1" x14ac:dyDescent="0.2">
      <c r="A225" s="3">
        <v>223</v>
      </c>
      <c r="B225" s="3">
        <v>212910</v>
      </c>
      <c r="C225" s="4" t="str">
        <f>HYPERLINK("http://optservis.net:5080/photo?tov_code_internet=212910","Увеличить")</f>
        <v>Увеличить</v>
      </c>
      <c r="D225" s="3" t="s">
        <v>574</v>
      </c>
      <c r="E225" s="3"/>
      <c r="F225" s="3" t="s">
        <v>577</v>
      </c>
      <c r="G225" s="3" t="s">
        <v>175</v>
      </c>
      <c r="H225" s="3">
        <v>0.33300000000000002</v>
      </c>
      <c r="I225" s="3">
        <v>0</v>
      </c>
      <c r="J225" s="3" t="s">
        <v>18</v>
      </c>
      <c r="K225" s="5">
        <v>0.02</v>
      </c>
      <c r="L225" s="6">
        <v>0</v>
      </c>
      <c r="M225" s="7" t="s">
        <v>538</v>
      </c>
      <c r="N225" s="8">
        <f>VLOOKUP(B225,'[1]новый без картинок'!$A$5:$F$2672,6,0)</f>
        <v>221</v>
      </c>
    </row>
    <row r="226" spans="1:14" ht="157.5" customHeight="1" x14ac:dyDescent="0.2">
      <c r="A226" s="3">
        <v>224</v>
      </c>
      <c r="B226" s="3">
        <v>173704</v>
      </c>
      <c r="C226" s="4" t="str">
        <f>HYPERLINK("http://optservis.net:5080/photo?tov_code_internet=173704","Увеличить")</f>
        <v>Увеличить</v>
      </c>
      <c r="D226" s="3" t="s">
        <v>574</v>
      </c>
      <c r="E226" s="3" t="s">
        <v>578</v>
      </c>
      <c r="F226" s="3" t="s">
        <v>579</v>
      </c>
      <c r="G226" s="3" t="s">
        <v>175</v>
      </c>
      <c r="H226" s="3">
        <v>0.33300000000000002</v>
      </c>
      <c r="I226" s="3">
        <v>0</v>
      </c>
      <c r="J226" s="3" t="s">
        <v>18</v>
      </c>
      <c r="K226" s="5">
        <v>0.03</v>
      </c>
      <c r="L226" s="6">
        <v>4690654010065</v>
      </c>
      <c r="M226" s="7" t="s">
        <v>576</v>
      </c>
      <c r="N226" s="8">
        <f>VLOOKUP(B226,'[1]новый без картинок'!$A$5:$F$2672,6,0)</f>
        <v>160</v>
      </c>
    </row>
    <row r="227" spans="1:14" ht="157.5" customHeight="1" x14ac:dyDescent="0.2">
      <c r="A227" s="3">
        <v>225</v>
      </c>
      <c r="B227" s="3">
        <v>173658</v>
      </c>
      <c r="C227" s="4" t="str">
        <f>HYPERLINK("http://optservis.net:5080/photo?tov_code_internet=173658","Увеличить")</f>
        <v>Увеличить</v>
      </c>
      <c r="D227" s="3" t="s">
        <v>574</v>
      </c>
      <c r="E227" s="3" t="s">
        <v>578</v>
      </c>
      <c r="F227" s="3" t="s">
        <v>547</v>
      </c>
      <c r="G227" s="3" t="s">
        <v>175</v>
      </c>
      <c r="H227" s="3">
        <v>0.33300000000000002</v>
      </c>
      <c r="I227" s="3">
        <v>0</v>
      </c>
      <c r="J227" s="3" t="s">
        <v>18</v>
      </c>
      <c r="K227" s="5">
        <v>0.02</v>
      </c>
      <c r="L227" s="6">
        <v>4690654009465</v>
      </c>
      <c r="M227" s="7" t="s">
        <v>580</v>
      </c>
      <c r="N227" s="8">
        <f>VLOOKUP(B227,'[1]новый без картинок'!$A$5:$F$2672,6,0)</f>
        <v>161</v>
      </c>
    </row>
    <row r="228" spans="1:14" ht="138.6" customHeight="1" x14ac:dyDescent="0.2">
      <c r="A228" s="3">
        <v>226</v>
      </c>
      <c r="B228" s="3">
        <v>985611</v>
      </c>
      <c r="C228" s="4" t="str">
        <f>HYPERLINK("http://optservis.net:5080/photo?tov_code_internet=985611","Увеличить")</f>
        <v>Увеличить</v>
      </c>
      <c r="D228" s="3" t="s">
        <v>581</v>
      </c>
      <c r="E228" s="3" t="s">
        <v>582</v>
      </c>
      <c r="F228" s="3" t="s">
        <v>583</v>
      </c>
      <c r="G228" s="3" t="s">
        <v>175</v>
      </c>
      <c r="H228" s="3">
        <v>0.33300000000000002</v>
      </c>
      <c r="I228" s="3">
        <v>0</v>
      </c>
      <c r="J228" s="3" t="s">
        <v>18</v>
      </c>
      <c r="K228" s="5">
        <v>0.03</v>
      </c>
      <c r="L228" s="6">
        <v>4690654003203</v>
      </c>
      <c r="M228" s="7" t="s">
        <v>580</v>
      </c>
      <c r="N228" s="8">
        <f>VLOOKUP(B228,'[1]новый без картинок'!$A$5:$F$2672,6,0)</f>
        <v>146</v>
      </c>
    </row>
    <row r="229" spans="1:14" ht="157.5" customHeight="1" x14ac:dyDescent="0.2">
      <c r="A229" s="3">
        <v>227</v>
      </c>
      <c r="B229" s="3">
        <v>193016</v>
      </c>
      <c r="C229" s="4" t="str">
        <f>HYPERLINK("http://optservis.net:5080/photo?tov_code_internet=193016","Увеличить")</f>
        <v>Увеличить</v>
      </c>
      <c r="D229" s="3" t="s">
        <v>584</v>
      </c>
      <c r="E229" s="3"/>
      <c r="F229" s="3" t="s">
        <v>585</v>
      </c>
      <c r="G229" s="3" t="s">
        <v>175</v>
      </c>
      <c r="H229" s="3">
        <v>0.33300000000000002</v>
      </c>
      <c r="I229" s="3">
        <v>0</v>
      </c>
      <c r="J229" s="3" t="s">
        <v>18</v>
      </c>
      <c r="K229" s="5">
        <v>0.03</v>
      </c>
      <c r="L229" s="6">
        <v>0</v>
      </c>
      <c r="M229" s="7" t="s">
        <v>548</v>
      </c>
      <c r="N229" s="8">
        <f>VLOOKUP(B229,'[1]новый без картинок'!$A$5:$F$2672,6,0)</f>
        <v>163</v>
      </c>
    </row>
    <row r="230" spans="1:14" ht="138.6" customHeight="1" x14ac:dyDescent="0.2">
      <c r="A230" s="3">
        <v>228</v>
      </c>
      <c r="B230" s="3">
        <v>136914</v>
      </c>
      <c r="C230" s="4" t="str">
        <f>HYPERLINK("http://optservis.net:5080/photo?tov_code_internet=136914","Увеличить")</f>
        <v>Увеличить</v>
      </c>
      <c r="D230" s="3" t="s">
        <v>586</v>
      </c>
      <c r="E230" s="3"/>
      <c r="F230" s="3" t="s">
        <v>587</v>
      </c>
      <c r="G230" s="3" t="s">
        <v>588</v>
      </c>
      <c r="H230" s="3">
        <v>0.33300000000000002</v>
      </c>
      <c r="I230" s="3">
        <v>0</v>
      </c>
      <c r="J230" s="3" t="s">
        <v>18</v>
      </c>
      <c r="K230" s="5">
        <v>0.03</v>
      </c>
      <c r="L230" s="6">
        <v>0</v>
      </c>
      <c r="M230" s="7" t="s">
        <v>589</v>
      </c>
      <c r="N230" s="8">
        <f>VLOOKUP(B230,'[1]новый без картинок'!$A$5:$F$2672,6,0)</f>
        <v>618</v>
      </c>
    </row>
    <row r="231" spans="1:14" ht="138.6" customHeight="1" x14ac:dyDescent="0.2">
      <c r="A231" s="3">
        <v>229</v>
      </c>
      <c r="B231" s="3">
        <v>162324</v>
      </c>
      <c r="C231" s="4" t="str">
        <f>HYPERLINK("http://optservis.net:5080/photo?tov_code_internet=162324","Увеличить")</f>
        <v>Увеличить</v>
      </c>
      <c r="D231" s="3" t="s">
        <v>590</v>
      </c>
      <c r="E231" s="3" t="s">
        <v>591</v>
      </c>
      <c r="F231" s="3" t="s">
        <v>592</v>
      </c>
      <c r="G231" s="3" t="s">
        <v>593</v>
      </c>
      <c r="H231" s="3">
        <v>0.33300000000000002</v>
      </c>
      <c r="I231" s="3">
        <v>0</v>
      </c>
      <c r="J231" s="3" t="s">
        <v>18</v>
      </c>
      <c r="K231" s="5">
        <v>0.02</v>
      </c>
      <c r="L231" s="6">
        <v>4690654013103</v>
      </c>
      <c r="M231" s="7" t="s">
        <v>594</v>
      </c>
      <c r="N231" s="8">
        <f>VLOOKUP(B231,'[1]новый без картинок'!$A$5:$F$2672,6,0)</f>
        <v>446</v>
      </c>
    </row>
    <row r="232" spans="1:14" ht="157.5" customHeight="1" x14ac:dyDescent="0.2">
      <c r="A232" s="3">
        <v>230</v>
      </c>
      <c r="B232" s="3">
        <v>214484</v>
      </c>
      <c r="C232" s="4" t="str">
        <f>HYPERLINK("http://optservis.net:5080/photo?tov_code_internet=214484","Увеличить")</f>
        <v>Увеличить</v>
      </c>
      <c r="D232" s="3" t="s">
        <v>595</v>
      </c>
      <c r="E232" s="3"/>
      <c r="F232" s="3" t="s">
        <v>540</v>
      </c>
      <c r="G232" s="3" t="s">
        <v>175</v>
      </c>
      <c r="H232" s="3">
        <v>0.33300000000000002</v>
      </c>
      <c r="I232" s="3">
        <v>0</v>
      </c>
      <c r="J232" s="3" t="s">
        <v>18</v>
      </c>
      <c r="K232" s="5">
        <v>0.02</v>
      </c>
      <c r="L232" s="6">
        <v>0</v>
      </c>
      <c r="M232" s="7" t="s">
        <v>596</v>
      </c>
      <c r="N232" s="8">
        <f>VLOOKUP(B232,'[1]новый без картинок'!$A$5:$F$2672,6,0)</f>
        <v>241</v>
      </c>
    </row>
    <row r="233" spans="1:14" ht="157.5" customHeight="1" x14ac:dyDescent="0.2">
      <c r="A233" s="3">
        <v>231</v>
      </c>
      <c r="B233" s="3">
        <v>214165</v>
      </c>
      <c r="C233" s="4" t="str">
        <f>HYPERLINK("http://optservis.net:5080/photo?tov_code_internet=214165","Увеличить")</f>
        <v>Увеличить</v>
      </c>
      <c r="D233" s="3" t="s">
        <v>597</v>
      </c>
      <c r="E233" s="3"/>
      <c r="F233" s="3" t="s">
        <v>542</v>
      </c>
      <c r="G233" s="3" t="s">
        <v>175</v>
      </c>
      <c r="H233" s="3">
        <v>0.33300000000000002</v>
      </c>
      <c r="I233" s="3">
        <v>0</v>
      </c>
      <c r="J233" s="3" t="s">
        <v>18</v>
      </c>
      <c r="K233" s="5">
        <v>0.02</v>
      </c>
      <c r="L233" s="6">
        <v>0</v>
      </c>
      <c r="M233" s="7" t="s">
        <v>596</v>
      </c>
      <c r="N233" s="8">
        <f>VLOOKUP(B233,'[1]новый без картинок'!$A$5:$F$2672,6,0)</f>
        <v>225</v>
      </c>
    </row>
    <row r="234" spans="1:14" ht="157.5" customHeight="1" x14ac:dyDescent="0.2">
      <c r="A234" s="3">
        <v>232</v>
      </c>
      <c r="B234" s="3">
        <v>193018</v>
      </c>
      <c r="C234" s="4" t="str">
        <f>HYPERLINK("http://optservis.net:5080/photo?tov_code_internet=193018","Увеличить")</f>
        <v>Увеличить</v>
      </c>
      <c r="D234" s="3" t="s">
        <v>597</v>
      </c>
      <c r="E234" s="3"/>
      <c r="F234" s="3" t="s">
        <v>547</v>
      </c>
      <c r="G234" s="3" t="s">
        <v>175</v>
      </c>
      <c r="H234" s="3">
        <v>0.5</v>
      </c>
      <c r="I234" s="3">
        <v>0</v>
      </c>
      <c r="J234" s="3" t="s">
        <v>18</v>
      </c>
      <c r="K234" s="5">
        <v>0.03</v>
      </c>
      <c r="L234" s="6">
        <v>0</v>
      </c>
      <c r="M234" s="7" t="s">
        <v>598</v>
      </c>
      <c r="N234" s="8">
        <f>VLOOKUP(B234,'[1]новый без картинок'!$A$5:$F$2672,6,0)</f>
        <v>174</v>
      </c>
    </row>
    <row r="235" spans="1:14" ht="138.6" customHeight="1" x14ac:dyDescent="0.2">
      <c r="A235" s="3">
        <v>233</v>
      </c>
      <c r="B235" s="3">
        <v>137144</v>
      </c>
      <c r="C235" s="4" t="str">
        <f>HYPERLINK("http://optservis.net:5080/photo?tov_code_internet=137144","Увеличить")</f>
        <v>Увеличить</v>
      </c>
      <c r="D235" s="3" t="s">
        <v>599</v>
      </c>
      <c r="E235" s="3"/>
      <c r="F235" s="3" t="s">
        <v>34</v>
      </c>
      <c r="G235" s="3" t="s">
        <v>31</v>
      </c>
      <c r="H235" s="3">
        <v>0.33300000000000002</v>
      </c>
      <c r="I235" s="3">
        <v>0</v>
      </c>
      <c r="J235" s="3" t="s">
        <v>18</v>
      </c>
      <c r="K235" s="5">
        <v>0.02</v>
      </c>
      <c r="L235" s="6">
        <v>0</v>
      </c>
      <c r="M235" s="7" t="s">
        <v>600</v>
      </c>
      <c r="N235" s="8">
        <f>VLOOKUP(B235,'[1]новый без картинок'!$A$5:$F$2672,6,0)</f>
        <v>608</v>
      </c>
    </row>
    <row r="236" spans="1:14" ht="157.5" customHeight="1" x14ac:dyDescent="0.2">
      <c r="A236" s="3">
        <v>234</v>
      </c>
      <c r="B236" s="3">
        <v>173701</v>
      </c>
      <c r="C236" s="4" t="str">
        <f>HYPERLINK("http://optservis.net:5080/photo?tov_code_internet=173701","Увеличить")</f>
        <v>Увеличить</v>
      </c>
      <c r="D236" s="3" t="s">
        <v>601</v>
      </c>
      <c r="E236" s="3"/>
      <c r="F236" s="3" t="s">
        <v>602</v>
      </c>
      <c r="G236" s="3" t="s">
        <v>603</v>
      </c>
      <c r="H236" s="3">
        <v>0.33300000000000002</v>
      </c>
      <c r="I236" s="3">
        <v>0</v>
      </c>
      <c r="J236" s="3" t="s">
        <v>18</v>
      </c>
      <c r="K236" s="5">
        <v>0.02</v>
      </c>
      <c r="L236" s="6">
        <v>0</v>
      </c>
      <c r="M236" s="7" t="s">
        <v>604</v>
      </c>
      <c r="N236" s="8">
        <f>VLOOKUP(B236,'[1]новый без картинок'!$A$5:$F$2672,6,0)</f>
        <v>200</v>
      </c>
    </row>
    <row r="237" spans="1:14" ht="157.5" customHeight="1" x14ac:dyDescent="0.2">
      <c r="A237" s="3">
        <v>235</v>
      </c>
      <c r="B237" s="3">
        <v>212912</v>
      </c>
      <c r="C237" s="4" t="str">
        <f>HYPERLINK("http://optservis.net:5080/photo?tov_code_internet=212912","Увеличить")</f>
        <v>Увеличить</v>
      </c>
      <c r="D237" s="3" t="s">
        <v>601</v>
      </c>
      <c r="E237" s="3" t="s">
        <v>605</v>
      </c>
      <c r="F237" s="3" t="s">
        <v>606</v>
      </c>
      <c r="G237" s="3" t="s">
        <v>603</v>
      </c>
      <c r="H237" s="3">
        <v>0.33300000000000002</v>
      </c>
      <c r="I237" s="3">
        <v>0</v>
      </c>
      <c r="J237" s="3" t="s">
        <v>18</v>
      </c>
      <c r="K237" s="5">
        <v>0.01</v>
      </c>
      <c r="L237" s="6">
        <v>4690654020637</v>
      </c>
      <c r="M237" s="7" t="s">
        <v>607</v>
      </c>
      <c r="N237" s="8">
        <f>VLOOKUP(B237,'[1]новый без картинок'!$A$5:$F$2672,6,0)</f>
        <v>321</v>
      </c>
    </row>
    <row r="238" spans="1:14" ht="157.5" customHeight="1" x14ac:dyDescent="0.2">
      <c r="A238" s="3">
        <v>236</v>
      </c>
      <c r="B238" s="3">
        <v>174440</v>
      </c>
      <c r="C238" s="4" t="str">
        <f>HYPERLINK("http://optservis.net:5080/photo?tov_code_internet=174440","Увеличить")</f>
        <v>Увеличить</v>
      </c>
      <c r="D238" s="3" t="s">
        <v>601</v>
      </c>
      <c r="E238" s="3" t="s">
        <v>605</v>
      </c>
      <c r="F238" s="3" t="s">
        <v>608</v>
      </c>
      <c r="G238" s="3" t="s">
        <v>603</v>
      </c>
      <c r="H238" s="3">
        <v>0.33300000000000002</v>
      </c>
      <c r="I238" s="3">
        <v>0</v>
      </c>
      <c r="J238" s="3" t="s">
        <v>18</v>
      </c>
      <c r="K238" s="5">
        <v>0.02</v>
      </c>
      <c r="L238" s="6">
        <v>4690654014674</v>
      </c>
      <c r="M238" s="7" t="s">
        <v>609</v>
      </c>
      <c r="N238" s="8">
        <f>VLOOKUP(B238,'[1]новый без картинок'!$A$5:$F$2672,6,0)</f>
        <v>280</v>
      </c>
    </row>
    <row r="239" spans="1:14" ht="138.6" customHeight="1" x14ac:dyDescent="0.2">
      <c r="A239" s="3">
        <v>237</v>
      </c>
      <c r="B239" s="3">
        <v>136979</v>
      </c>
      <c r="C239" s="4" t="str">
        <f>HYPERLINK("http://optservis.net:5080/photo?tov_code_internet=136979","Увеличить")</f>
        <v>Увеличить</v>
      </c>
      <c r="D239" s="3" t="s">
        <v>610</v>
      </c>
      <c r="E239" s="3"/>
      <c r="F239" s="3" t="s">
        <v>611</v>
      </c>
      <c r="G239" s="3" t="s">
        <v>603</v>
      </c>
      <c r="H239" s="3">
        <v>0.33300000000000002</v>
      </c>
      <c r="I239" s="3">
        <v>0</v>
      </c>
      <c r="J239" s="3" t="s">
        <v>18</v>
      </c>
      <c r="K239" s="5">
        <v>0.02</v>
      </c>
      <c r="L239" s="6">
        <v>0</v>
      </c>
      <c r="M239" s="7" t="s">
        <v>612</v>
      </c>
      <c r="N239" s="8">
        <f>VLOOKUP(B239,'[1]новый без картинок'!$A$5:$F$2672,6,0)</f>
        <v>291</v>
      </c>
    </row>
    <row r="240" spans="1:14" ht="138.6" customHeight="1" x14ac:dyDescent="0.2">
      <c r="A240" s="3">
        <v>238</v>
      </c>
      <c r="B240" s="3">
        <v>985616</v>
      </c>
      <c r="C240" s="4" t="str">
        <f>HYPERLINK("http://optservis.net:5080/photo?tov_code_internet=985616","Увеличить")</f>
        <v>Увеличить</v>
      </c>
      <c r="D240" s="3" t="s">
        <v>610</v>
      </c>
      <c r="E240" s="3" t="s">
        <v>613</v>
      </c>
      <c r="F240" s="3" t="s">
        <v>614</v>
      </c>
      <c r="G240" s="3" t="s">
        <v>603</v>
      </c>
      <c r="H240" s="3">
        <v>0.33300000000000002</v>
      </c>
      <c r="I240" s="3">
        <v>0</v>
      </c>
      <c r="J240" s="3" t="s">
        <v>18</v>
      </c>
      <c r="K240" s="5">
        <v>0.02</v>
      </c>
      <c r="L240" s="6">
        <v>4690654000936</v>
      </c>
      <c r="M240" s="7" t="s">
        <v>615</v>
      </c>
      <c r="N240" s="8">
        <f>VLOOKUP(B240,'[1]новый без картинок'!$A$5:$F$2672,6,0)</f>
        <v>261</v>
      </c>
    </row>
    <row r="241" spans="1:14" ht="157.5" customHeight="1" x14ac:dyDescent="0.2">
      <c r="A241" s="3">
        <v>239</v>
      </c>
      <c r="B241" s="3">
        <v>193003</v>
      </c>
      <c r="C241" s="4" t="str">
        <f>HYPERLINK("http://optservis.net:5080/photo?tov_code_internet=193003","Увеличить")</f>
        <v>Увеличить</v>
      </c>
      <c r="D241" s="3" t="s">
        <v>616</v>
      </c>
      <c r="E241" s="3"/>
      <c r="F241" s="3" t="s">
        <v>617</v>
      </c>
      <c r="G241" s="3" t="s">
        <v>603</v>
      </c>
      <c r="H241" s="3">
        <v>0.33300000000000002</v>
      </c>
      <c r="I241" s="3">
        <v>0</v>
      </c>
      <c r="J241" s="3" t="s">
        <v>18</v>
      </c>
      <c r="K241" s="5">
        <v>0.01</v>
      </c>
      <c r="L241" s="6">
        <v>0</v>
      </c>
      <c r="M241" s="7" t="s">
        <v>618</v>
      </c>
      <c r="N241" s="8">
        <f>VLOOKUP(B241,'[1]новый без картинок'!$A$5:$F$2672,6,0)</f>
        <v>278</v>
      </c>
    </row>
    <row r="242" spans="1:14" ht="157.5" customHeight="1" x14ac:dyDescent="0.2">
      <c r="A242" s="3">
        <v>240</v>
      </c>
      <c r="B242" s="3">
        <v>193010</v>
      </c>
      <c r="C242" s="4" t="str">
        <f>HYPERLINK("http://optservis.net:5080/photo?tov_code_internet=193010","Увеличить")</f>
        <v>Увеличить</v>
      </c>
      <c r="D242" s="3" t="s">
        <v>616</v>
      </c>
      <c r="E242" s="3"/>
      <c r="F242" s="3" t="s">
        <v>608</v>
      </c>
      <c r="G242" s="3" t="s">
        <v>603</v>
      </c>
      <c r="H242" s="3">
        <v>0.33300000000000002</v>
      </c>
      <c r="I242" s="3">
        <v>0</v>
      </c>
      <c r="J242" s="3" t="s">
        <v>18</v>
      </c>
      <c r="K242" s="5">
        <v>0.02</v>
      </c>
      <c r="L242" s="6">
        <v>0</v>
      </c>
      <c r="M242" s="7" t="s">
        <v>618</v>
      </c>
      <c r="N242" s="8">
        <f>VLOOKUP(B242,'[1]новый без картинок'!$A$5:$F$2672,6,0)</f>
        <v>281</v>
      </c>
    </row>
    <row r="243" spans="1:14" ht="138.6" customHeight="1" x14ac:dyDescent="0.2">
      <c r="A243" s="3">
        <v>241</v>
      </c>
      <c r="B243" s="3">
        <v>136999</v>
      </c>
      <c r="C243" s="4" t="str">
        <f>HYPERLINK("http://optservis.net:5080/photo?tov_code_internet=136999","Увеличить")</f>
        <v>Увеличить</v>
      </c>
      <c r="D243" s="3" t="s">
        <v>619</v>
      </c>
      <c r="E243" s="3"/>
      <c r="F243" s="3" t="s">
        <v>620</v>
      </c>
      <c r="G243" s="3" t="s">
        <v>621</v>
      </c>
      <c r="H243" s="3">
        <v>0.33300000000000002</v>
      </c>
      <c r="I243" s="3">
        <v>0</v>
      </c>
      <c r="J243" s="3" t="s">
        <v>18</v>
      </c>
      <c r="K243" s="5">
        <v>0.02</v>
      </c>
      <c r="L243" s="6">
        <v>0</v>
      </c>
      <c r="M243" s="7" t="s">
        <v>622</v>
      </c>
      <c r="N243" s="8">
        <f>VLOOKUP(B243,'[1]новый без картинок'!$A$5:$F$2672,6,0)</f>
        <v>356</v>
      </c>
    </row>
    <row r="244" spans="1:14" ht="138.6" customHeight="1" x14ac:dyDescent="0.2">
      <c r="A244" s="3">
        <v>242</v>
      </c>
      <c r="B244" s="3">
        <v>136913</v>
      </c>
      <c r="C244" s="4" t="str">
        <f>HYPERLINK("http://optservis.net:5080/photo?tov_code_internet=136913","Увеличить")</f>
        <v>Увеличить</v>
      </c>
      <c r="D244" s="3" t="s">
        <v>623</v>
      </c>
      <c r="E244" s="3"/>
      <c r="F244" s="3" t="s">
        <v>624</v>
      </c>
      <c r="G244" s="3" t="s">
        <v>625</v>
      </c>
      <c r="H244" s="3">
        <v>0.33300000000000002</v>
      </c>
      <c r="I244" s="3">
        <v>0</v>
      </c>
      <c r="J244" s="3" t="s">
        <v>18</v>
      </c>
      <c r="K244" s="5">
        <v>0.02</v>
      </c>
      <c r="L244" s="6">
        <v>0</v>
      </c>
      <c r="M244" s="7" t="s">
        <v>626</v>
      </c>
      <c r="N244" s="8">
        <f>VLOOKUP(B244,'[1]новый без картинок'!$A$5:$F$2672,6,0)</f>
        <v>732</v>
      </c>
    </row>
    <row r="245" spans="1:14" ht="138.6" customHeight="1" x14ac:dyDescent="0.2">
      <c r="A245" s="3">
        <v>243</v>
      </c>
      <c r="B245" s="3">
        <v>136912</v>
      </c>
      <c r="C245" s="4" t="str">
        <f>HYPERLINK("http://optservis.net:5080/photo?tov_code_internet=136912","Увеличить")</f>
        <v>Увеличить</v>
      </c>
      <c r="D245" s="3" t="s">
        <v>627</v>
      </c>
      <c r="E245" s="3"/>
      <c r="F245" s="3" t="s">
        <v>628</v>
      </c>
      <c r="G245" s="3" t="s">
        <v>625</v>
      </c>
      <c r="H245" s="3">
        <v>0.33300000000000002</v>
      </c>
      <c r="I245" s="3">
        <v>0</v>
      </c>
      <c r="J245" s="3" t="s">
        <v>18</v>
      </c>
      <c r="K245" s="5">
        <v>0.03</v>
      </c>
      <c r="L245" s="6">
        <v>0</v>
      </c>
      <c r="M245" s="7" t="s">
        <v>629</v>
      </c>
      <c r="N245" s="8">
        <f>VLOOKUP(B245,'[1]новый без картинок'!$A$5:$F$2672,6,0)</f>
        <v>894</v>
      </c>
    </row>
    <row r="246" spans="1:14" ht="157.5" customHeight="1" x14ac:dyDescent="0.2">
      <c r="A246" s="3">
        <v>244</v>
      </c>
      <c r="B246" s="3">
        <v>214485</v>
      </c>
      <c r="C246" s="4" t="str">
        <f>HYPERLINK("http://optservis.net:5080/photo?tov_code_internet=214485","Увеличить")</f>
        <v>Увеличить</v>
      </c>
      <c r="D246" s="3" t="s">
        <v>630</v>
      </c>
      <c r="E246" s="3"/>
      <c r="F246" s="3" t="s">
        <v>631</v>
      </c>
      <c r="G246" s="3" t="s">
        <v>632</v>
      </c>
      <c r="H246" s="3">
        <v>0.33300000000000002</v>
      </c>
      <c r="I246" s="3">
        <v>0</v>
      </c>
      <c r="J246" s="3" t="s">
        <v>18</v>
      </c>
      <c r="K246" s="5">
        <v>0.01</v>
      </c>
      <c r="L246" s="6">
        <v>0</v>
      </c>
      <c r="M246" s="7" t="s">
        <v>633</v>
      </c>
      <c r="N246" s="8">
        <f>VLOOKUP(B246,'[1]новый без картинок'!$A$5:$F$2672,6,0)</f>
        <v>354</v>
      </c>
    </row>
    <row r="247" spans="1:14" ht="157.5" customHeight="1" x14ac:dyDescent="0.2">
      <c r="A247" s="3">
        <v>245</v>
      </c>
      <c r="B247" s="3">
        <v>214161</v>
      </c>
      <c r="C247" s="4" t="str">
        <f>HYPERLINK("http://optservis.net:5080/photo?tov_code_internet=214161","Увеличить")</f>
        <v>Увеличить</v>
      </c>
      <c r="D247" s="3" t="s">
        <v>634</v>
      </c>
      <c r="E247" s="3"/>
      <c r="F247" s="3" t="s">
        <v>635</v>
      </c>
      <c r="G247" s="3" t="s">
        <v>632</v>
      </c>
      <c r="H247" s="3">
        <v>0.33300000000000002</v>
      </c>
      <c r="I247" s="3">
        <v>0</v>
      </c>
      <c r="J247" s="3" t="s">
        <v>18</v>
      </c>
      <c r="K247" s="5">
        <v>0.01</v>
      </c>
      <c r="L247" s="6">
        <v>0</v>
      </c>
      <c r="M247" s="7" t="s">
        <v>633</v>
      </c>
      <c r="N247" s="8">
        <f>VLOOKUP(B247,'[1]новый без картинок'!$A$5:$F$2672,6,0)</f>
        <v>338</v>
      </c>
    </row>
    <row r="248" spans="1:14" ht="157.5" customHeight="1" x14ac:dyDescent="0.2">
      <c r="A248" s="3">
        <v>246</v>
      </c>
      <c r="B248" s="3">
        <v>174439</v>
      </c>
      <c r="C248" s="4" t="str">
        <f>HYPERLINK("http://optservis.net:5080/photo?tov_code_internet=174439","Увеличить")</f>
        <v>Увеличить</v>
      </c>
      <c r="D248" s="3" t="s">
        <v>634</v>
      </c>
      <c r="E248" s="3"/>
      <c r="F248" s="3" t="s">
        <v>636</v>
      </c>
      <c r="G248" s="3" t="s">
        <v>632</v>
      </c>
      <c r="H248" s="3">
        <v>0.33300000000000002</v>
      </c>
      <c r="I248" s="3">
        <v>0</v>
      </c>
      <c r="J248" s="3" t="s">
        <v>18</v>
      </c>
      <c r="K248" s="5">
        <v>0.01</v>
      </c>
      <c r="L248" s="6">
        <v>0</v>
      </c>
      <c r="M248" s="7" t="s">
        <v>637</v>
      </c>
      <c r="N248" s="8">
        <f>VLOOKUP(B248,'[1]новый без картинок'!$A$5:$F$2672,6,0)</f>
        <v>286</v>
      </c>
    </row>
    <row r="249" spans="1:14" ht="138.6" customHeight="1" x14ac:dyDescent="0.2">
      <c r="A249" s="3">
        <v>247</v>
      </c>
      <c r="B249" s="3">
        <v>136964</v>
      </c>
      <c r="C249" s="4" t="str">
        <f>HYPERLINK("http://optservis.net:5080/photo?tov_code_internet=136964","Увеличить")</f>
        <v>Увеличить</v>
      </c>
      <c r="D249" s="3" t="s">
        <v>638</v>
      </c>
      <c r="E249" s="3" t="s">
        <v>639</v>
      </c>
      <c r="F249" s="3" t="s">
        <v>640</v>
      </c>
      <c r="G249" s="3" t="s">
        <v>632</v>
      </c>
      <c r="H249" s="3">
        <v>0.33300000000000002</v>
      </c>
      <c r="I249" s="3">
        <v>0</v>
      </c>
      <c r="J249" s="3" t="s">
        <v>18</v>
      </c>
      <c r="K249" s="5">
        <v>0.01</v>
      </c>
      <c r="L249" s="6">
        <v>4690654003258</v>
      </c>
      <c r="M249" s="7" t="s">
        <v>637</v>
      </c>
      <c r="N249" s="8">
        <f>VLOOKUP(B249,'[1]новый без картинок'!$A$5:$F$2672,6,0)</f>
        <v>267</v>
      </c>
    </row>
    <row r="250" spans="1:14" ht="157.5" customHeight="1" x14ac:dyDescent="0.2">
      <c r="A250" s="3">
        <v>248</v>
      </c>
      <c r="B250" s="3">
        <v>193014</v>
      </c>
      <c r="C250" s="4" t="str">
        <f>HYPERLINK("http://optservis.net:5080/photo?tov_code_internet=193014","Увеличить")</f>
        <v>Увеличить</v>
      </c>
      <c r="D250" s="3" t="s">
        <v>641</v>
      </c>
      <c r="E250" s="3"/>
      <c r="F250" s="3" t="s">
        <v>636</v>
      </c>
      <c r="G250" s="3" t="s">
        <v>642</v>
      </c>
      <c r="H250" s="3">
        <v>0.5</v>
      </c>
      <c r="I250" s="3">
        <v>0</v>
      </c>
      <c r="J250" s="3" t="s">
        <v>18</v>
      </c>
      <c r="K250" s="5">
        <v>0.01</v>
      </c>
      <c r="L250" s="6">
        <v>0</v>
      </c>
      <c r="M250" s="7" t="s">
        <v>633</v>
      </c>
      <c r="N250" s="8">
        <f>VLOOKUP(B250,'[1]новый без картинок'!$A$5:$F$2672,6,0)</f>
        <v>287</v>
      </c>
    </row>
    <row r="251" spans="1:14" ht="138.6" customHeight="1" x14ac:dyDescent="0.2">
      <c r="A251" s="3">
        <v>249</v>
      </c>
      <c r="B251" s="3">
        <v>136966</v>
      </c>
      <c r="C251" s="4" t="str">
        <f>HYPERLINK("http://optservis.net:5080/photo?tov_code_internet=136966","Увеличить")</f>
        <v>Увеличить</v>
      </c>
      <c r="D251" s="3" t="s">
        <v>643</v>
      </c>
      <c r="E251" s="3" t="s">
        <v>644</v>
      </c>
      <c r="F251" s="3" t="s">
        <v>645</v>
      </c>
      <c r="G251" s="3" t="s">
        <v>646</v>
      </c>
      <c r="H251" s="3">
        <v>0.33300000000000002</v>
      </c>
      <c r="I251" s="3">
        <v>0</v>
      </c>
      <c r="J251" s="3" t="s">
        <v>18</v>
      </c>
      <c r="K251" s="5">
        <v>0.02</v>
      </c>
      <c r="L251" s="6">
        <v>4690654003265</v>
      </c>
      <c r="M251" s="7" t="s">
        <v>647</v>
      </c>
      <c r="N251" s="8">
        <f>VLOOKUP(B251,'[1]новый без картинок'!$A$5:$F$2672,6,0)</f>
        <v>911</v>
      </c>
    </row>
    <row r="252" spans="1:14" ht="138.6" customHeight="1" x14ac:dyDescent="0.2">
      <c r="A252" s="3">
        <v>250</v>
      </c>
      <c r="B252" s="3">
        <v>136959</v>
      </c>
      <c r="C252" s="4" t="str">
        <f>HYPERLINK("http://optservis.net:5080/photo?tov_code_internet=136959","Увеличить")</f>
        <v>Увеличить</v>
      </c>
      <c r="D252" s="3" t="s">
        <v>648</v>
      </c>
      <c r="E252" s="3" t="s">
        <v>649</v>
      </c>
      <c r="F252" s="3" t="s">
        <v>650</v>
      </c>
      <c r="G252" s="3" t="s">
        <v>651</v>
      </c>
      <c r="H252" s="3">
        <v>0.33300000000000002</v>
      </c>
      <c r="I252" s="3">
        <v>0</v>
      </c>
      <c r="J252" s="3" t="s">
        <v>18</v>
      </c>
      <c r="K252" s="5">
        <v>0.01</v>
      </c>
      <c r="L252" s="6">
        <v>4690654003272</v>
      </c>
      <c r="M252" s="7" t="s">
        <v>652</v>
      </c>
      <c r="N252" s="8">
        <f>VLOOKUP(B252,'[1]новый без картинок'!$A$5:$F$2672,6,0)</f>
        <v>512</v>
      </c>
    </row>
    <row r="253" spans="1:14" ht="138.6" customHeight="1" x14ac:dyDescent="0.2">
      <c r="A253" s="3">
        <v>251</v>
      </c>
      <c r="B253" s="3">
        <v>138208</v>
      </c>
      <c r="C253" s="4" t="str">
        <f>HYPERLINK("http://optservis.net:5080/photo?tov_code_internet=138208","Увеличить")</f>
        <v>Увеличить</v>
      </c>
      <c r="D253" s="3" t="s">
        <v>653</v>
      </c>
      <c r="E253" s="3" t="s">
        <v>654</v>
      </c>
      <c r="F253" s="3" t="s">
        <v>655</v>
      </c>
      <c r="G253" s="3" t="s">
        <v>502</v>
      </c>
      <c r="H253" s="3">
        <v>0.5</v>
      </c>
      <c r="I253" s="3">
        <v>0</v>
      </c>
      <c r="J253" s="3" t="s">
        <v>18</v>
      </c>
      <c r="K253" s="5">
        <v>7.0000000000000007E-2</v>
      </c>
      <c r="L253" s="6">
        <v>4690654004958</v>
      </c>
      <c r="M253" s="7" t="s">
        <v>656</v>
      </c>
      <c r="N253" s="8">
        <f>VLOOKUP(B253,'[1]новый без картинок'!$A$5:$F$2672,6,0)</f>
        <v>384</v>
      </c>
    </row>
    <row r="254" spans="1:14" ht="157.5" customHeight="1" x14ac:dyDescent="0.2">
      <c r="A254" s="3">
        <v>252</v>
      </c>
      <c r="B254" s="3">
        <v>214164</v>
      </c>
      <c r="C254" s="4" t="str">
        <f>HYPERLINK("http://optservis.net:5080/photo?tov_code_internet=214164","Увеличить")</f>
        <v>Увеличить</v>
      </c>
      <c r="D254" s="3" t="s">
        <v>657</v>
      </c>
      <c r="E254" s="3"/>
      <c r="F254" s="3" t="s">
        <v>542</v>
      </c>
      <c r="G254" s="3" t="s">
        <v>175</v>
      </c>
      <c r="H254" s="3">
        <v>0.25</v>
      </c>
      <c r="I254" s="3">
        <v>0</v>
      </c>
      <c r="J254" s="3" t="s">
        <v>18</v>
      </c>
      <c r="K254" s="5">
        <v>0.01</v>
      </c>
      <c r="L254" s="6">
        <v>0</v>
      </c>
      <c r="M254" s="7" t="s">
        <v>658</v>
      </c>
      <c r="N254" s="8">
        <f>VLOOKUP(B254,'[1]новый без картинок'!$A$5:$F$2672,6,0)</f>
        <v>246</v>
      </c>
    </row>
    <row r="255" spans="1:14" ht="157.5" customHeight="1" x14ac:dyDescent="0.2">
      <c r="A255" s="3">
        <v>253</v>
      </c>
      <c r="B255" s="3">
        <v>212907</v>
      </c>
      <c r="C255" s="4" t="str">
        <f>HYPERLINK("http://optservis.net:5080/photo?tov_code_internet=212907","Увеличить")</f>
        <v>Увеличить</v>
      </c>
      <c r="D255" s="3" t="s">
        <v>657</v>
      </c>
      <c r="E255" s="3"/>
      <c r="F255" s="3" t="s">
        <v>544</v>
      </c>
      <c r="G255" s="3" t="s">
        <v>175</v>
      </c>
      <c r="H255" s="3">
        <v>0.25</v>
      </c>
      <c r="I255" s="3">
        <v>0</v>
      </c>
      <c r="J255" s="3" t="s">
        <v>18</v>
      </c>
      <c r="K255" s="5">
        <v>0.01</v>
      </c>
      <c r="L255" s="6">
        <v>0</v>
      </c>
      <c r="M255" s="7" t="s">
        <v>658</v>
      </c>
      <c r="N255" s="8">
        <f>VLOOKUP(B255,'[1]новый без картинок'!$A$5:$F$2672,6,0)</f>
        <v>246</v>
      </c>
    </row>
    <row r="256" spans="1:14" ht="157.5" customHeight="1" x14ac:dyDescent="0.2">
      <c r="A256" s="3">
        <v>254</v>
      </c>
      <c r="B256" s="3">
        <v>193023</v>
      </c>
      <c r="C256" s="4" t="str">
        <f>HYPERLINK("http://optservis.net:5080/photo?tov_code_internet=193023","Увеличить")</f>
        <v>Увеличить</v>
      </c>
      <c r="D256" s="3" t="s">
        <v>659</v>
      </c>
      <c r="E256" s="3" t="s">
        <v>660</v>
      </c>
      <c r="F256" s="3" t="s">
        <v>661</v>
      </c>
      <c r="G256" s="3" t="s">
        <v>175</v>
      </c>
      <c r="H256" s="3">
        <v>0.33300000000000002</v>
      </c>
      <c r="I256" s="3">
        <v>0</v>
      </c>
      <c r="J256" s="3" t="s">
        <v>18</v>
      </c>
      <c r="K256" s="5">
        <v>0.02</v>
      </c>
      <c r="L256" s="6">
        <v>4690654014650</v>
      </c>
      <c r="M256" s="7" t="s">
        <v>662</v>
      </c>
      <c r="N256" s="8">
        <f>VLOOKUP(B256,'[1]новый без картинок'!$A$5:$F$2672,6,0)</f>
        <v>195</v>
      </c>
    </row>
    <row r="257" spans="1:14" ht="157.5" customHeight="1" x14ac:dyDescent="0.2">
      <c r="A257" s="3">
        <v>255</v>
      </c>
      <c r="B257" s="3">
        <v>193765</v>
      </c>
      <c r="C257" s="4" t="str">
        <f>HYPERLINK("http://optservis.net:5080/photo?tov_code_internet=193765","Увеличить")</f>
        <v>Увеличить</v>
      </c>
      <c r="D257" s="3" t="s">
        <v>663</v>
      </c>
      <c r="E257" s="3"/>
      <c r="F257" s="3" t="s">
        <v>664</v>
      </c>
      <c r="G257" s="3" t="s">
        <v>665</v>
      </c>
      <c r="H257" s="3">
        <v>0.5</v>
      </c>
      <c r="I257" s="3">
        <v>0</v>
      </c>
      <c r="J257" s="3" t="s">
        <v>18</v>
      </c>
      <c r="K257" s="5">
        <v>0.06</v>
      </c>
      <c r="L257" s="6">
        <v>0</v>
      </c>
      <c r="M257" s="7" t="s">
        <v>666</v>
      </c>
      <c r="N257" s="8">
        <f>VLOOKUP(B257,'[1]новый без картинок'!$A$5:$F$2672,6,0)</f>
        <v>438</v>
      </c>
    </row>
    <row r="258" spans="1:14" ht="157.5" customHeight="1" x14ac:dyDescent="0.2">
      <c r="A258" s="3">
        <v>256</v>
      </c>
      <c r="B258" s="3">
        <v>193845</v>
      </c>
      <c r="C258" s="4" t="str">
        <f>HYPERLINK("http://optservis.net:5080/photo?tov_code_internet=193845","Увеличить")</f>
        <v>Увеличить</v>
      </c>
      <c r="D258" s="3" t="s">
        <v>667</v>
      </c>
      <c r="E258" s="3"/>
      <c r="F258" s="3" t="s">
        <v>587</v>
      </c>
      <c r="G258" s="3" t="s">
        <v>668</v>
      </c>
      <c r="H258" s="3">
        <v>0.5</v>
      </c>
      <c r="I258" s="3">
        <v>0</v>
      </c>
      <c r="J258" s="3" t="s">
        <v>18</v>
      </c>
      <c r="K258" s="5">
        <v>7.0000000000000007E-2</v>
      </c>
      <c r="L258" s="6">
        <v>0</v>
      </c>
      <c r="M258" s="7" t="s">
        <v>669</v>
      </c>
      <c r="N258" s="8">
        <f>VLOOKUP(B258,'[1]новый без картинок'!$A$5:$F$2672,6,0)</f>
        <v>620</v>
      </c>
    </row>
    <row r="259" spans="1:14" ht="157.5" customHeight="1" x14ac:dyDescent="0.2">
      <c r="A259" s="3">
        <v>257</v>
      </c>
      <c r="B259" s="3">
        <v>212906</v>
      </c>
      <c r="C259" s="4" t="str">
        <f>HYPERLINK("http://optservis.net:5080/photo?tov_code_internet=212906","Увеличить")</f>
        <v>Увеличить</v>
      </c>
      <c r="D259" s="3" t="s">
        <v>670</v>
      </c>
      <c r="E259" s="3" t="s">
        <v>671</v>
      </c>
      <c r="F259" s="3" t="s">
        <v>672</v>
      </c>
      <c r="G259" s="3" t="s">
        <v>175</v>
      </c>
      <c r="H259" s="3">
        <v>0.5</v>
      </c>
      <c r="I259" s="3">
        <v>0</v>
      </c>
      <c r="J259" s="3" t="s">
        <v>18</v>
      </c>
      <c r="K259" s="5">
        <v>0.06</v>
      </c>
      <c r="L259" s="6">
        <v>4690654021009</v>
      </c>
      <c r="M259" s="7" t="s">
        <v>673</v>
      </c>
      <c r="N259" s="8">
        <f>VLOOKUP(B259,'[1]новый без картинок'!$A$5:$F$2672,6,0)</f>
        <v>220</v>
      </c>
    </row>
    <row r="260" spans="1:14" ht="157.5" customHeight="1" x14ac:dyDescent="0.2">
      <c r="A260" s="3">
        <v>258</v>
      </c>
      <c r="B260" s="3">
        <v>193766</v>
      </c>
      <c r="C260" s="4" t="str">
        <f>HYPERLINK("http://optservis.net:5080/photo?tov_code_internet=193766","Увеличить")</f>
        <v>Увеличить</v>
      </c>
      <c r="D260" s="3" t="s">
        <v>670</v>
      </c>
      <c r="E260" s="3" t="s">
        <v>671</v>
      </c>
      <c r="F260" s="3" t="s">
        <v>547</v>
      </c>
      <c r="G260" s="3" t="s">
        <v>175</v>
      </c>
      <c r="H260" s="3">
        <v>0.5</v>
      </c>
      <c r="I260" s="3">
        <v>0</v>
      </c>
      <c r="J260" s="3" t="s">
        <v>18</v>
      </c>
      <c r="K260" s="5">
        <v>0.06</v>
      </c>
      <c r="L260" s="6">
        <v>4690654015657</v>
      </c>
      <c r="M260" s="7" t="s">
        <v>674</v>
      </c>
      <c r="N260" s="8">
        <f>VLOOKUP(B260,'[1]новый без картинок'!$A$5:$F$2672,6,0)</f>
        <v>164</v>
      </c>
    </row>
    <row r="261" spans="1:14" ht="157.5" customHeight="1" x14ac:dyDescent="0.2">
      <c r="A261" s="3">
        <v>259</v>
      </c>
      <c r="B261" s="3">
        <v>212905</v>
      </c>
      <c r="C261" s="4" t="str">
        <f>HYPERLINK("http://optservis.net:5080/photo?tov_code_internet=212905","Увеличить")</f>
        <v>Увеличить</v>
      </c>
      <c r="D261" s="3" t="s">
        <v>670</v>
      </c>
      <c r="E261" s="3" t="s">
        <v>671</v>
      </c>
      <c r="F261" s="3" t="s">
        <v>544</v>
      </c>
      <c r="G261" s="3" t="s">
        <v>175</v>
      </c>
      <c r="H261" s="3">
        <v>0.33300000000000002</v>
      </c>
      <c r="I261" s="3">
        <v>0</v>
      </c>
      <c r="J261" s="3" t="s">
        <v>18</v>
      </c>
      <c r="K261" s="5">
        <v>0.03</v>
      </c>
      <c r="L261" s="6">
        <v>4690654020644</v>
      </c>
      <c r="M261" s="7" t="s">
        <v>673</v>
      </c>
      <c r="N261" s="8">
        <f>VLOOKUP(B261,'[1]новый без картинок'!$A$5:$F$2672,6,0)</f>
        <v>222</v>
      </c>
    </row>
    <row r="262" spans="1:14" ht="157.5" customHeight="1" x14ac:dyDescent="0.2">
      <c r="A262" s="3">
        <v>260</v>
      </c>
      <c r="B262" s="3">
        <v>193847</v>
      </c>
      <c r="C262" s="4" t="str">
        <f>HYPERLINK("http://optservis.net:5080/photo?tov_code_internet=193847","Увеличить")</f>
        <v>Увеличить</v>
      </c>
      <c r="D262" s="3" t="s">
        <v>675</v>
      </c>
      <c r="E262" s="3"/>
      <c r="F262" s="3" t="s">
        <v>676</v>
      </c>
      <c r="G262" s="3" t="s">
        <v>175</v>
      </c>
      <c r="H262" s="3">
        <v>0.5</v>
      </c>
      <c r="I262" s="3">
        <v>0</v>
      </c>
      <c r="J262" s="3" t="s">
        <v>18</v>
      </c>
      <c r="K262" s="5">
        <v>0.06</v>
      </c>
      <c r="L262" s="6">
        <v>0</v>
      </c>
      <c r="M262" s="7" t="s">
        <v>674</v>
      </c>
      <c r="N262" s="8">
        <f>VLOOKUP(B262,'[1]новый без картинок'!$A$5:$F$2672,6,0)</f>
        <v>151</v>
      </c>
    </row>
    <row r="263" spans="1:14" ht="157.5" customHeight="1" x14ac:dyDescent="0.2">
      <c r="A263" s="3">
        <v>261</v>
      </c>
      <c r="B263" s="3">
        <v>193846</v>
      </c>
      <c r="C263" s="4" t="str">
        <f>HYPERLINK("http://optservis.net:5080/photo?tov_code_internet=193846","Увеличить")</f>
        <v>Увеличить</v>
      </c>
      <c r="D263" s="3" t="s">
        <v>675</v>
      </c>
      <c r="E263" s="3" t="s">
        <v>677</v>
      </c>
      <c r="F263" s="3" t="s">
        <v>678</v>
      </c>
      <c r="G263" s="3" t="s">
        <v>175</v>
      </c>
      <c r="H263" s="3">
        <v>0.5</v>
      </c>
      <c r="I263" s="3">
        <v>0</v>
      </c>
      <c r="J263" s="3" t="s">
        <v>18</v>
      </c>
      <c r="K263" s="5">
        <v>0.06</v>
      </c>
      <c r="L263" s="6">
        <v>4690654015633</v>
      </c>
      <c r="M263" s="7" t="s">
        <v>674</v>
      </c>
      <c r="N263" s="8">
        <f>VLOOKUP(B263,'[1]новый без картинок'!$A$5:$F$2672,6,0)</f>
        <v>148</v>
      </c>
    </row>
    <row r="264" spans="1:14" ht="157.5" customHeight="1" x14ac:dyDescent="0.2">
      <c r="A264" s="3">
        <v>262</v>
      </c>
      <c r="B264" s="3">
        <v>193770</v>
      </c>
      <c r="C264" s="4" t="str">
        <f>HYPERLINK("http://optservis.net:5080/photo?tov_code_internet=193770","Увеличить")</f>
        <v>Увеличить</v>
      </c>
      <c r="D264" s="3" t="s">
        <v>679</v>
      </c>
      <c r="E264" s="3"/>
      <c r="F264" s="3" t="s">
        <v>554</v>
      </c>
      <c r="G264" s="3" t="s">
        <v>502</v>
      </c>
      <c r="H264" s="3">
        <v>0.5</v>
      </c>
      <c r="I264" s="3">
        <v>0</v>
      </c>
      <c r="J264" s="3" t="s">
        <v>18</v>
      </c>
      <c r="K264" s="5">
        <v>0.06</v>
      </c>
      <c r="L264" s="6">
        <v>0</v>
      </c>
      <c r="M264" s="7" t="s">
        <v>680</v>
      </c>
      <c r="N264" s="8">
        <f>VLOOKUP(B264,'[1]новый без картинок'!$A$5:$F$2672,6,0)</f>
        <v>238</v>
      </c>
    </row>
    <row r="265" spans="1:14" ht="157.5" customHeight="1" x14ac:dyDescent="0.2">
      <c r="A265" s="3">
        <v>263</v>
      </c>
      <c r="B265" s="3">
        <v>214474</v>
      </c>
      <c r="C265" s="4" t="str">
        <f>HYPERLINK("http://optservis.net:5080/photo?tov_code_internet=214474","Увеличить")</f>
        <v>Увеличить</v>
      </c>
      <c r="D265" s="3" t="s">
        <v>681</v>
      </c>
      <c r="E265" s="3"/>
      <c r="F265" s="3" t="s">
        <v>537</v>
      </c>
      <c r="G265" s="3" t="s">
        <v>175</v>
      </c>
      <c r="H265" s="3">
        <v>0.5</v>
      </c>
      <c r="I265" s="3">
        <v>0</v>
      </c>
      <c r="J265" s="3" t="s">
        <v>18</v>
      </c>
      <c r="K265" s="5">
        <v>0.06</v>
      </c>
      <c r="L265" s="6">
        <v>0</v>
      </c>
      <c r="M265" s="7" t="s">
        <v>674</v>
      </c>
      <c r="N265" s="8">
        <f>VLOOKUP(B265,'[1]новый без картинок'!$A$5:$F$2672,6,0)</f>
        <v>216</v>
      </c>
    </row>
    <row r="266" spans="1:14" ht="157.5" customHeight="1" x14ac:dyDescent="0.2">
      <c r="A266" s="3">
        <v>264</v>
      </c>
      <c r="B266" s="3">
        <v>193808</v>
      </c>
      <c r="C266" s="4" t="str">
        <f>HYPERLINK("http://optservis.net:5080/photo?tov_code_internet=193808","Увеличить")</f>
        <v>Увеличить</v>
      </c>
      <c r="D266" s="3" t="s">
        <v>681</v>
      </c>
      <c r="E266" s="3" t="s">
        <v>682</v>
      </c>
      <c r="F266" s="3" t="s">
        <v>683</v>
      </c>
      <c r="G266" s="3" t="s">
        <v>175</v>
      </c>
      <c r="H266" s="3">
        <v>0.5</v>
      </c>
      <c r="I266" s="3">
        <v>0</v>
      </c>
      <c r="J266" s="3" t="s">
        <v>18</v>
      </c>
      <c r="K266" s="5">
        <v>0.06</v>
      </c>
      <c r="L266" s="6">
        <v>4690654015640</v>
      </c>
      <c r="M266" s="7" t="s">
        <v>674</v>
      </c>
      <c r="N266" s="8">
        <f>VLOOKUP(B266,'[1]новый без картинок'!$A$5:$F$2672,6,0)</f>
        <v>157</v>
      </c>
    </row>
    <row r="267" spans="1:14" ht="157.5" customHeight="1" x14ac:dyDescent="0.2">
      <c r="A267" s="3">
        <v>265</v>
      </c>
      <c r="B267" s="3">
        <v>214478</v>
      </c>
      <c r="C267" s="4" t="str">
        <f>HYPERLINK("http://optservis.net:5080/photo?tov_code_internet=214478","Увеличить")</f>
        <v>Увеличить</v>
      </c>
      <c r="D267" s="3" t="s">
        <v>684</v>
      </c>
      <c r="E267" s="3"/>
      <c r="F267" s="3" t="s">
        <v>685</v>
      </c>
      <c r="G267" s="3" t="s">
        <v>175</v>
      </c>
      <c r="H267" s="3">
        <v>0.5</v>
      </c>
      <c r="I267" s="3">
        <v>0</v>
      </c>
      <c r="J267" s="3" t="s">
        <v>18</v>
      </c>
      <c r="K267" s="5">
        <v>0.06</v>
      </c>
      <c r="L267" s="6">
        <v>0</v>
      </c>
      <c r="M267" s="7" t="s">
        <v>674</v>
      </c>
      <c r="N267" s="8">
        <f>VLOOKUP(B267,'[1]новый без картинок'!$A$5:$F$2672,6,0)</f>
        <v>242</v>
      </c>
    </row>
    <row r="268" spans="1:14" ht="157.5" customHeight="1" x14ac:dyDescent="0.2">
      <c r="A268" s="3">
        <v>266</v>
      </c>
      <c r="B268" s="3">
        <v>193769</v>
      </c>
      <c r="C268" s="4" t="str">
        <f>HYPERLINK("http://optservis.net:5080/photo?tov_code_internet=193769","Увеличить")</f>
        <v>Увеличить</v>
      </c>
      <c r="D268" s="3" t="s">
        <v>684</v>
      </c>
      <c r="E268" s="3"/>
      <c r="F268" s="3" t="s">
        <v>686</v>
      </c>
      <c r="G268" s="3" t="s">
        <v>175</v>
      </c>
      <c r="H268" s="3">
        <v>0.5</v>
      </c>
      <c r="I268" s="3">
        <v>0</v>
      </c>
      <c r="J268" s="3" t="s">
        <v>18</v>
      </c>
      <c r="K268" s="5">
        <v>0.06</v>
      </c>
      <c r="L268" s="6">
        <v>0</v>
      </c>
      <c r="M268" s="7" t="s">
        <v>674</v>
      </c>
      <c r="N268" s="8">
        <f>VLOOKUP(B268,'[1]новый без картинок'!$A$5:$F$2672,6,0)</f>
        <v>169</v>
      </c>
    </row>
    <row r="269" spans="1:14" ht="157.5" customHeight="1" x14ac:dyDescent="0.2">
      <c r="A269" s="3">
        <v>267</v>
      </c>
      <c r="B269" s="3">
        <v>214479</v>
      </c>
      <c r="C269" s="4" t="str">
        <f>HYPERLINK("http://optservis.net:5080/photo?tov_code_internet=214479","Увеличить")</f>
        <v>Увеличить</v>
      </c>
      <c r="D269" s="3" t="s">
        <v>684</v>
      </c>
      <c r="E269" s="3"/>
      <c r="F269" s="3" t="s">
        <v>540</v>
      </c>
      <c r="G269" s="3" t="s">
        <v>175</v>
      </c>
      <c r="H269" s="3">
        <v>0.5</v>
      </c>
      <c r="I269" s="3">
        <v>0</v>
      </c>
      <c r="J269" s="3" t="s">
        <v>18</v>
      </c>
      <c r="K269" s="5">
        <v>0.06</v>
      </c>
      <c r="L269" s="6">
        <v>0</v>
      </c>
      <c r="M269" s="7" t="s">
        <v>674</v>
      </c>
      <c r="N269" s="8">
        <f>VLOOKUP(B269,'[1]новый без картинок'!$A$5:$F$2672,6,0)</f>
        <v>239</v>
      </c>
    </row>
    <row r="270" spans="1:14" ht="157.5" customHeight="1" x14ac:dyDescent="0.2">
      <c r="A270" s="3">
        <v>268</v>
      </c>
      <c r="B270" s="3">
        <v>193768</v>
      </c>
      <c r="C270" s="4" t="str">
        <f>HYPERLINK("http://optservis.net:5080/photo?tov_code_internet=193768","Увеличить")</f>
        <v>Увеличить</v>
      </c>
      <c r="D270" s="3" t="s">
        <v>684</v>
      </c>
      <c r="E270" s="3"/>
      <c r="F270" s="3" t="s">
        <v>547</v>
      </c>
      <c r="G270" s="3" t="s">
        <v>175</v>
      </c>
      <c r="H270" s="3">
        <v>0.5</v>
      </c>
      <c r="I270" s="3">
        <v>0</v>
      </c>
      <c r="J270" s="3" t="s">
        <v>18</v>
      </c>
      <c r="K270" s="5">
        <v>0.06</v>
      </c>
      <c r="L270" s="6">
        <v>0</v>
      </c>
      <c r="M270" s="7" t="s">
        <v>674</v>
      </c>
      <c r="N270" s="8">
        <f>VLOOKUP(B270,'[1]новый без картинок'!$A$5:$F$2672,6,0)</f>
        <v>165</v>
      </c>
    </row>
    <row r="271" spans="1:14" ht="157.5" customHeight="1" x14ac:dyDescent="0.2">
      <c r="A271" s="3">
        <v>269</v>
      </c>
      <c r="B271" s="3">
        <v>191160</v>
      </c>
      <c r="C271" s="4" t="str">
        <f>HYPERLINK("http://optservis.net:5080/photo?tov_code_internet=191160","Увеличить")</f>
        <v>Увеличить</v>
      </c>
      <c r="D271" s="3" t="s">
        <v>687</v>
      </c>
      <c r="E271" s="3"/>
      <c r="F271" s="3" t="s">
        <v>688</v>
      </c>
      <c r="G271" s="3" t="s">
        <v>665</v>
      </c>
      <c r="H271" s="3">
        <v>0.2</v>
      </c>
      <c r="I271" s="3">
        <v>0</v>
      </c>
      <c r="J271" s="3" t="s">
        <v>18</v>
      </c>
      <c r="K271" s="5">
        <v>0.02</v>
      </c>
      <c r="L271" s="6">
        <v>0</v>
      </c>
      <c r="M271" s="7" t="s">
        <v>689</v>
      </c>
      <c r="N271" s="8">
        <f>VLOOKUP(B271,'[1]новый без картинок'!$A$5:$F$2672,6,0)</f>
        <v>567</v>
      </c>
    </row>
    <row r="272" spans="1:14" ht="157.5" customHeight="1" x14ac:dyDescent="0.2">
      <c r="A272" s="3">
        <v>270</v>
      </c>
      <c r="B272" s="3">
        <v>214475</v>
      </c>
      <c r="C272" s="4" t="str">
        <f>HYPERLINK("http://optservis.net:5080/photo?tov_code_internet=214475","Увеличить")</f>
        <v>Увеличить</v>
      </c>
      <c r="D272" s="3" t="s">
        <v>690</v>
      </c>
      <c r="E272" s="3"/>
      <c r="F272" s="3" t="s">
        <v>537</v>
      </c>
      <c r="G272" s="3" t="s">
        <v>175</v>
      </c>
      <c r="H272" s="3">
        <v>0.25</v>
      </c>
      <c r="I272" s="3">
        <v>0</v>
      </c>
      <c r="J272" s="3" t="s">
        <v>18</v>
      </c>
      <c r="K272" s="5">
        <v>0.02</v>
      </c>
      <c r="L272" s="6">
        <v>0</v>
      </c>
      <c r="M272" s="7" t="s">
        <v>691</v>
      </c>
      <c r="N272" s="8">
        <f>VLOOKUP(B272,'[1]новый без картинок'!$A$5:$F$2672,6,0)</f>
        <v>246</v>
      </c>
    </row>
    <row r="273" spans="1:14" ht="157.5" customHeight="1" x14ac:dyDescent="0.2">
      <c r="A273" s="3">
        <v>271</v>
      </c>
      <c r="B273" s="3">
        <v>191163</v>
      </c>
      <c r="C273" s="4" t="str">
        <f>HYPERLINK("http://optservis.net:5080/photo?tov_code_internet=191163","Увеличить")</f>
        <v>Увеличить</v>
      </c>
      <c r="D273" s="3" t="s">
        <v>690</v>
      </c>
      <c r="E273" s="3" t="s">
        <v>692</v>
      </c>
      <c r="F273" s="3" t="s">
        <v>693</v>
      </c>
      <c r="G273" s="3" t="s">
        <v>175</v>
      </c>
      <c r="H273" s="3">
        <v>0.25</v>
      </c>
      <c r="I273" s="3">
        <v>0</v>
      </c>
      <c r="J273" s="3" t="s">
        <v>18</v>
      </c>
      <c r="K273" s="5">
        <v>0.02</v>
      </c>
      <c r="L273" s="6">
        <v>4690654020903</v>
      </c>
      <c r="M273" s="7" t="s">
        <v>694</v>
      </c>
      <c r="N273" s="8">
        <f>VLOOKUP(B273,'[1]новый без картинок'!$A$5:$F$2672,6,0)</f>
        <v>185</v>
      </c>
    </row>
    <row r="274" spans="1:14" ht="157.5" customHeight="1" x14ac:dyDescent="0.2">
      <c r="A274" s="3">
        <v>272</v>
      </c>
      <c r="B274" s="3">
        <v>214480</v>
      </c>
      <c r="C274" s="4" t="str">
        <f>HYPERLINK("http://optservis.net:5080/photo?tov_code_internet=214480","Увеличить")</f>
        <v>Увеличить</v>
      </c>
      <c r="D274" s="3" t="s">
        <v>695</v>
      </c>
      <c r="E274" s="3"/>
      <c r="F274" s="3" t="s">
        <v>540</v>
      </c>
      <c r="G274" s="3" t="s">
        <v>175</v>
      </c>
      <c r="H274" s="3">
        <v>0.25</v>
      </c>
      <c r="I274" s="3">
        <v>0</v>
      </c>
      <c r="J274" s="3" t="s">
        <v>18</v>
      </c>
      <c r="K274" s="5">
        <v>0.02</v>
      </c>
      <c r="L274" s="6">
        <v>0</v>
      </c>
      <c r="M274" s="7" t="s">
        <v>696</v>
      </c>
      <c r="N274" s="8">
        <f>VLOOKUP(B274,'[1]новый без картинок'!$A$5:$F$2672,6,0)</f>
        <v>269</v>
      </c>
    </row>
    <row r="275" spans="1:14" ht="157.5" customHeight="1" x14ac:dyDescent="0.2">
      <c r="A275" s="3">
        <v>273</v>
      </c>
      <c r="B275" s="3">
        <v>191165</v>
      </c>
      <c r="C275" s="4" t="str">
        <f>HYPERLINK("http://optservis.net:5080/photo?tov_code_internet=191165","Увеличить")</f>
        <v>Увеличить</v>
      </c>
      <c r="D275" s="3" t="s">
        <v>697</v>
      </c>
      <c r="E275" s="3" t="s">
        <v>698</v>
      </c>
      <c r="F275" s="3" t="s">
        <v>699</v>
      </c>
      <c r="G275" s="3" t="s">
        <v>175</v>
      </c>
      <c r="H275" s="3">
        <v>0.25</v>
      </c>
      <c r="I275" s="3">
        <v>0</v>
      </c>
      <c r="J275" s="3" t="s">
        <v>18</v>
      </c>
      <c r="K275" s="5">
        <v>0.02</v>
      </c>
      <c r="L275" s="6">
        <v>4690654021146</v>
      </c>
      <c r="M275" s="7" t="s">
        <v>700</v>
      </c>
      <c r="N275" s="8">
        <f>VLOOKUP(B275,'[1]новый без картинок'!$A$5:$F$2672,6,0)</f>
        <v>194</v>
      </c>
    </row>
    <row r="276" spans="1:14" ht="157.5" customHeight="1" x14ac:dyDescent="0.2">
      <c r="A276" s="3">
        <v>274</v>
      </c>
      <c r="B276" s="3">
        <v>191162</v>
      </c>
      <c r="C276" s="4" t="str">
        <f>HYPERLINK("http://optservis.net:5080/photo?tov_code_internet=191162","Увеличить")</f>
        <v>Увеличить</v>
      </c>
      <c r="D276" s="3" t="s">
        <v>701</v>
      </c>
      <c r="E276" s="3" t="s">
        <v>698</v>
      </c>
      <c r="F276" s="3" t="s">
        <v>702</v>
      </c>
      <c r="G276" s="3" t="s">
        <v>175</v>
      </c>
      <c r="H276" s="3">
        <v>0.33300000000000002</v>
      </c>
      <c r="I276" s="3">
        <v>0</v>
      </c>
      <c r="J276" s="3" t="s">
        <v>18</v>
      </c>
      <c r="K276" s="5">
        <v>0.03</v>
      </c>
      <c r="L276" s="6">
        <v>4690654017576</v>
      </c>
      <c r="M276" s="7" t="s">
        <v>703</v>
      </c>
      <c r="N276" s="8">
        <f>VLOOKUP(B276,'[1]новый без картинок'!$A$5:$F$2672,6,0)</f>
        <v>212</v>
      </c>
    </row>
    <row r="277" spans="1:14" ht="157.5" customHeight="1" x14ac:dyDescent="0.2">
      <c r="A277" s="3">
        <v>275</v>
      </c>
      <c r="B277" s="3">
        <v>191167</v>
      </c>
      <c r="C277" s="4" t="str">
        <f>HYPERLINK("http://optservis.net:5080/photo?tov_code_internet=191167","Увеличить")</f>
        <v>Увеличить</v>
      </c>
      <c r="D277" s="3" t="s">
        <v>704</v>
      </c>
      <c r="E277" s="3" t="s">
        <v>705</v>
      </c>
      <c r="F277" s="3" t="s">
        <v>706</v>
      </c>
      <c r="G277" s="3" t="s">
        <v>175</v>
      </c>
      <c r="H277" s="3">
        <v>0.2</v>
      </c>
      <c r="I277" s="3">
        <v>0</v>
      </c>
      <c r="J277" s="3" t="s">
        <v>18</v>
      </c>
      <c r="K277" s="5">
        <v>0.02</v>
      </c>
      <c r="L277" s="6">
        <v>4690654021016</v>
      </c>
      <c r="M277" s="7" t="s">
        <v>707</v>
      </c>
      <c r="N277" s="8">
        <f>VLOOKUP(B277,'[1]новый без картинок'!$A$5:$F$2672,6,0)</f>
        <v>300</v>
      </c>
    </row>
    <row r="278" spans="1:14" ht="157.5" customHeight="1" x14ac:dyDescent="0.2">
      <c r="A278" s="3">
        <v>276</v>
      </c>
      <c r="B278" s="3">
        <v>191166</v>
      </c>
      <c r="C278" s="4" t="str">
        <f>HYPERLINK("http://optservis.net:5080/photo?tov_code_internet=191166","Увеличить")</f>
        <v>Увеличить</v>
      </c>
      <c r="D278" s="3" t="s">
        <v>708</v>
      </c>
      <c r="E278" s="3"/>
      <c r="F278" s="3" t="s">
        <v>709</v>
      </c>
      <c r="G278" s="3" t="s">
        <v>502</v>
      </c>
      <c r="H278" s="3">
        <v>0.25</v>
      </c>
      <c r="I278" s="3">
        <v>0</v>
      </c>
      <c r="J278" s="3" t="s">
        <v>18</v>
      </c>
      <c r="K278" s="5">
        <v>0.02</v>
      </c>
      <c r="L278" s="6">
        <v>0</v>
      </c>
      <c r="M278" s="7" t="s">
        <v>710</v>
      </c>
      <c r="N278" s="8">
        <f>VLOOKUP(B278,'[1]новый без картинок'!$A$5:$F$2672,6,0)</f>
        <v>332</v>
      </c>
    </row>
    <row r="279" spans="1:14" ht="157.5" customHeight="1" x14ac:dyDescent="0.2">
      <c r="A279" s="3">
        <v>277</v>
      </c>
      <c r="B279" s="3">
        <v>191161</v>
      </c>
      <c r="C279" s="4" t="str">
        <f>HYPERLINK("http://optservis.net:5080/photo?tov_code_internet=191161","Увеличить")</f>
        <v>Увеличить</v>
      </c>
      <c r="D279" s="3" t="s">
        <v>711</v>
      </c>
      <c r="E279" s="3"/>
      <c r="F279" s="3" t="s">
        <v>712</v>
      </c>
      <c r="G279" s="3" t="s">
        <v>502</v>
      </c>
      <c r="H279" s="3">
        <v>0.33300000000000002</v>
      </c>
      <c r="I279" s="3">
        <v>0</v>
      </c>
      <c r="J279" s="3" t="s">
        <v>18</v>
      </c>
      <c r="K279" s="5">
        <v>0.03</v>
      </c>
      <c r="L279" s="6">
        <v>0</v>
      </c>
      <c r="M279" s="7" t="s">
        <v>713</v>
      </c>
      <c r="N279" s="8">
        <f>VLOOKUP(B279,'[1]новый без картинок'!$A$5:$F$2672,6,0)</f>
        <v>282</v>
      </c>
    </row>
    <row r="280" spans="1:14" ht="157.5" customHeight="1" x14ac:dyDescent="0.2">
      <c r="A280" s="3">
        <v>278</v>
      </c>
      <c r="B280" s="3">
        <v>191168</v>
      </c>
      <c r="C280" s="4" t="str">
        <f>HYPERLINK("http://optservis.net:5080/photo?tov_code_internet=191168","Увеличить")</f>
        <v>Увеличить</v>
      </c>
      <c r="D280" s="3" t="s">
        <v>714</v>
      </c>
      <c r="E280" s="3" t="s">
        <v>715</v>
      </c>
      <c r="F280" s="3" t="s">
        <v>716</v>
      </c>
      <c r="G280" s="3" t="s">
        <v>502</v>
      </c>
      <c r="H280" s="3">
        <v>0.2</v>
      </c>
      <c r="I280" s="3">
        <v>0</v>
      </c>
      <c r="J280" s="3" t="s">
        <v>18</v>
      </c>
      <c r="K280" s="5">
        <v>0.02</v>
      </c>
      <c r="L280" s="6">
        <v>4690654021023</v>
      </c>
      <c r="M280" s="7" t="s">
        <v>717</v>
      </c>
      <c r="N280" s="8">
        <f>VLOOKUP(B280,'[1]новый без картинок'!$A$5:$F$2672,6,0)</f>
        <v>394</v>
      </c>
    </row>
    <row r="281" spans="1:14" ht="157.5" customHeight="1" x14ac:dyDescent="0.2">
      <c r="A281" s="3">
        <v>279</v>
      </c>
      <c r="B281" s="3">
        <v>191169</v>
      </c>
      <c r="C281" s="4" t="str">
        <f>HYPERLINK("http://optservis.net:5080/photo?tov_code_internet=191169","Увеличить")</f>
        <v>Увеличить</v>
      </c>
      <c r="D281" s="3" t="s">
        <v>714</v>
      </c>
      <c r="E281" s="3" t="s">
        <v>715</v>
      </c>
      <c r="F281" s="3" t="s">
        <v>718</v>
      </c>
      <c r="G281" s="3" t="s">
        <v>502</v>
      </c>
      <c r="H281" s="3">
        <v>0.2</v>
      </c>
      <c r="I281" s="3">
        <v>0</v>
      </c>
      <c r="J281" s="3" t="s">
        <v>18</v>
      </c>
      <c r="K281" s="5">
        <v>0.02</v>
      </c>
      <c r="L281" s="6">
        <v>4690654021184</v>
      </c>
      <c r="M281" s="7" t="s">
        <v>719</v>
      </c>
      <c r="N281" s="8">
        <f>VLOOKUP(B281,'[1]новый без картинок'!$A$5:$F$2672,6,0)</f>
        <v>394</v>
      </c>
    </row>
    <row r="282" spans="1:14" ht="157.5" customHeight="1" x14ac:dyDescent="0.2">
      <c r="A282" s="3">
        <v>280</v>
      </c>
      <c r="B282" s="3">
        <v>191170</v>
      </c>
      <c r="C282" s="4" t="str">
        <f>HYPERLINK("http://optservis.net:5080/photo?tov_code_internet=191170","Увеличить")</f>
        <v>Увеличить</v>
      </c>
      <c r="D282" s="3" t="s">
        <v>714</v>
      </c>
      <c r="E282" s="3" t="s">
        <v>715</v>
      </c>
      <c r="F282" s="3" t="s">
        <v>720</v>
      </c>
      <c r="G282" s="3" t="s">
        <v>502</v>
      </c>
      <c r="H282" s="3">
        <v>0.2</v>
      </c>
      <c r="I282" s="3">
        <v>0</v>
      </c>
      <c r="J282" s="3" t="s">
        <v>18</v>
      </c>
      <c r="K282" s="5">
        <v>0.02</v>
      </c>
      <c r="L282" s="6">
        <v>4690654020941</v>
      </c>
      <c r="M282" s="7" t="s">
        <v>721</v>
      </c>
      <c r="N282" s="8">
        <f>VLOOKUP(B282,'[1]новый без картинок'!$A$5:$F$2672,6,0)</f>
        <v>374</v>
      </c>
    </row>
    <row r="283" spans="1:14" ht="138.6" customHeight="1" x14ac:dyDescent="0.2">
      <c r="A283" s="3">
        <v>281</v>
      </c>
      <c r="B283" s="3">
        <v>889098</v>
      </c>
      <c r="C283" s="4" t="str">
        <f>HYPERLINK("http://optservis.net:5080/photo?tov_code_internet=889098","Увеличить")</f>
        <v>Увеличить</v>
      </c>
      <c r="D283" s="3" t="s">
        <v>722</v>
      </c>
      <c r="E283" s="3" t="s">
        <v>723</v>
      </c>
      <c r="F283" s="3" t="s">
        <v>724</v>
      </c>
      <c r="G283" s="3" t="s">
        <v>110</v>
      </c>
      <c r="H283" s="3">
        <v>1</v>
      </c>
      <c r="I283" s="3">
        <v>1</v>
      </c>
      <c r="J283" s="3" t="s">
        <v>18</v>
      </c>
      <c r="K283" s="5">
        <v>0.02</v>
      </c>
      <c r="L283" s="6">
        <v>4690654999643</v>
      </c>
      <c r="M283" s="7" t="s">
        <v>725</v>
      </c>
      <c r="N283" s="8">
        <f>VLOOKUP(B283,'[1]новый без картинок'!$A$5:$F$2672,6,0)</f>
        <v>155</v>
      </c>
    </row>
    <row r="284" spans="1:14" ht="138.6" customHeight="1" x14ac:dyDescent="0.2">
      <c r="A284" s="3">
        <v>282</v>
      </c>
      <c r="B284" s="3">
        <v>888308</v>
      </c>
      <c r="C284" s="4" t="str">
        <f>HYPERLINK("http://optservis.net:5080/photo?tov_code_internet=888308","Увеличить")</f>
        <v>Увеличить</v>
      </c>
      <c r="D284" s="3" t="s">
        <v>726</v>
      </c>
      <c r="E284" s="3" t="s">
        <v>727</v>
      </c>
      <c r="F284" s="3" t="s">
        <v>724</v>
      </c>
      <c r="G284" s="3" t="s">
        <v>110</v>
      </c>
      <c r="H284" s="3">
        <v>1</v>
      </c>
      <c r="I284" s="3">
        <v>1</v>
      </c>
      <c r="J284" s="3" t="s">
        <v>18</v>
      </c>
      <c r="K284" s="5">
        <v>0.02</v>
      </c>
      <c r="L284" s="6">
        <v>4690654999636</v>
      </c>
      <c r="M284" s="7" t="s">
        <v>728</v>
      </c>
      <c r="N284" s="8">
        <f>VLOOKUP(B284,'[1]новый без картинок'!$A$5:$F$2672,6,0)</f>
        <v>100</v>
      </c>
    </row>
    <row r="285" spans="1:14" ht="129.6" customHeight="1" x14ac:dyDescent="0.2">
      <c r="A285" s="3">
        <v>283</v>
      </c>
      <c r="B285" s="3">
        <v>911202</v>
      </c>
      <c r="C285" s="4" t="str">
        <f>HYPERLINK("http://optservis.net:5080/photo?tov_code_internet=911202","Увеличить")</f>
        <v>Увеличить</v>
      </c>
      <c r="D285" s="3" t="s">
        <v>726</v>
      </c>
      <c r="E285" s="3" t="s">
        <v>727</v>
      </c>
      <c r="F285" s="3" t="s">
        <v>729</v>
      </c>
      <c r="G285" s="3" t="s">
        <v>110</v>
      </c>
      <c r="H285" s="3">
        <v>1</v>
      </c>
      <c r="I285" s="3">
        <v>1</v>
      </c>
      <c r="J285" s="3" t="s">
        <v>18</v>
      </c>
      <c r="K285" s="5">
        <v>0.02</v>
      </c>
      <c r="L285" s="6">
        <v>4640020771380</v>
      </c>
      <c r="M285" s="7" t="s">
        <v>730</v>
      </c>
      <c r="N285" s="8">
        <f>VLOOKUP(B285,'[1]новый без картинок'!$A$5:$F$2672,6,0)</f>
        <v>91</v>
      </c>
    </row>
    <row r="286" spans="1:14" ht="129.6" customHeight="1" x14ac:dyDescent="0.2">
      <c r="A286" s="3">
        <v>284</v>
      </c>
      <c r="B286" s="3">
        <v>911201</v>
      </c>
      <c r="C286" s="4" t="str">
        <f>HYPERLINK("http://optservis.net:5080/photo?tov_code_internet=911201","Увеличить")</f>
        <v>Увеличить</v>
      </c>
      <c r="D286" s="3" t="s">
        <v>726</v>
      </c>
      <c r="E286" s="3" t="s">
        <v>727</v>
      </c>
      <c r="F286" s="3" t="s">
        <v>731</v>
      </c>
      <c r="G286" s="3" t="s">
        <v>110</v>
      </c>
      <c r="H286" s="3">
        <v>1</v>
      </c>
      <c r="I286" s="3">
        <v>1</v>
      </c>
      <c r="J286" s="3" t="s">
        <v>18</v>
      </c>
      <c r="K286" s="5">
        <v>0.02</v>
      </c>
      <c r="L286" s="6">
        <v>4640020771397</v>
      </c>
      <c r="M286" s="7" t="s">
        <v>732</v>
      </c>
      <c r="N286" s="8">
        <f>VLOOKUP(B286,'[1]новый без картинок'!$A$5:$F$2672,6,0)</f>
        <v>91</v>
      </c>
    </row>
    <row r="287" spans="1:14" ht="153" customHeight="1" x14ac:dyDescent="0.2">
      <c r="A287" s="3">
        <v>285</v>
      </c>
      <c r="B287" s="3">
        <v>932289</v>
      </c>
      <c r="C287" s="4" t="str">
        <f>HYPERLINK("http://optservis.net:5080/photo?tov_code_internet=932289","Увеличить")</f>
        <v>Увеличить</v>
      </c>
      <c r="D287" s="3" t="s">
        <v>733</v>
      </c>
      <c r="E287" s="3" t="s">
        <v>734</v>
      </c>
      <c r="F287" s="3" t="s">
        <v>384</v>
      </c>
      <c r="G287" s="3" t="s">
        <v>735</v>
      </c>
      <c r="H287" s="3">
        <v>1</v>
      </c>
      <c r="I287" s="3">
        <v>1</v>
      </c>
      <c r="J287" s="3" t="s">
        <v>18</v>
      </c>
      <c r="K287" s="5">
        <v>0.03</v>
      </c>
      <c r="L287" s="6">
        <v>4640020772981</v>
      </c>
      <c r="M287" s="7" t="s">
        <v>736</v>
      </c>
      <c r="N287" s="8">
        <f>VLOOKUP(B287,'[1]новый без картинок'!$A$5:$F$2672,6,0)</f>
        <v>131</v>
      </c>
    </row>
    <row r="288" spans="1:14" ht="153" customHeight="1" x14ac:dyDescent="0.2">
      <c r="A288" s="3">
        <v>286</v>
      </c>
      <c r="B288" s="3">
        <v>920124</v>
      </c>
      <c r="C288" s="4" t="str">
        <f>HYPERLINK("http://optservis.net:5080/photo?tov_code_internet=920124","Увеличить")</f>
        <v>Увеличить</v>
      </c>
      <c r="D288" s="3" t="s">
        <v>737</v>
      </c>
      <c r="E288" s="3" t="s">
        <v>738</v>
      </c>
      <c r="F288" s="3" t="s">
        <v>377</v>
      </c>
      <c r="G288" s="3" t="s">
        <v>110</v>
      </c>
      <c r="H288" s="3">
        <v>1</v>
      </c>
      <c r="I288" s="3">
        <v>1</v>
      </c>
      <c r="J288" s="3" t="s">
        <v>18</v>
      </c>
      <c r="K288" s="5">
        <v>0.03</v>
      </c>
      <c r="L288" s="6">
        <v>4640020772998</v>
      </c>
      <c r="M288" s="7" t="s">
        <v>739</v>
      </c>
      <c r="N288" s="8">
        <f>VLOOKUP(B288,'[1]новый без картинок'!$A$5:$F$2672,6,0)</f>
        <v>156</v>
      </c>
    </row>
    <row r="289" spans="1:14" ht="138.6" customHeight="1" x14ac:dyDescent="0.2">
      <c r="A289" s="3">
        <v>287</v>
      </c>
      <c r="B289" s="3">
        <v>966210</v>
      </c>
      <c r="C289" s="4" t="str">
        <f>HYPERLINK("http://optservis.net:5080/photo?tov_code_internet=966210","Увеличить")</f>
        <v>Увеличить</v>
      </c>
      <c r="D289" s="3" t="s">
        <v>740</v>
      </c>
      <c r="E289" s="3" t="s">
        <v>741</v>
      </c>
      <c r="F289" s="3" t="s">
        <v>377</v>
      </c>
      <c r="G289" s="3" t="s">
        <v>742</v>
      </c>
      <c r="H289" s="3">
        <v>1</v>
      </c>
      <c r="I289" s="3">
        <v>1</v>
      </c>
      <c r="J289" s="3" t="s">
        <v>18</v>
      </c>
      <c r="K289" s="5">
        <v>0.1</v>
      </c>
      <c r="L289" s="6">
        <v>4640020779034</v>
      </c>
      <c r="M289" s="7" t="s">
        <v>743</v>
      </c>
      <c r="N289" s="8">
        <f>VLOOKUP(B289,'[1]новый без картинок'!$A$5:$F$2672,6,0)</f>
        <v>520</v>
      </c>
    </row>
    <row r="290" spans="1:14" ht="138.6" customHeight="1" x14ac:dyDescent="0.2">
      <c r="A290" s="3">
        <v>288</v>
      </c>
      <c r="B290" s="3">
        <v>199319</v>
      </c>
      <c r="C290" s="4" t="str">
        <f>HYPERLINK("http://optservis.net:5080/photo?tov_code_internet=199319","Увеличить")</f>
        <v>Увеличить</v>
      </c>
      <c r="D290" s="3" t="s">
        <v>744</v>
      </c>
      <c r="E290" s="3" t="s">
        <v>745</v>
      </c>
      <c r="F290" s="3" t="s">
        <v>190</v>
      </c>
      <c r="G290" s="3" t="s">
        <v>110</v>
      </c>
      <c r="H290" s="3">
        <v>1</v>
      </c>
      <c r="I290" s="3">
        <v>1</v>
      </c>
      <c r="J290" s="3" t="s">
        <v>18</v>
      </c>
      <c r="K290" s="5">
        <v>0.03</v>
      </c>
      <c r="L290" s="6">
        <v>4640020772806</v>
      </c>
      <c r="M290" s="7" t="s">
        <v>746</v>
      </c>
      <c r="N290" s="8">
        <f>VLOOKUP(B290,'[1]новый без картинок'!$A$5:$F$2672,6,0)</f>
        <v>92</v>
      </c>
    </row>
    <row r="291" spans="1:14" ht="138.6" customHeight="1" x14ac:dyDescent="0.2">
      <c r="A291" s="3">
        <v>289</v>
      </c>
      <c r="B291" s="3">
        <v>956168</v>
      </c>
      <c r="C291" s="4" t="str">
        <f>HYPERLINK("http://optservis.net:5080/photo?tov_code_internet=956168","Увеличить")</f>
        <v>Увеличить</v>
      </c>
      <c r="D291" s="3" t="s">
        <v>747</v>
      </c>
      <c r="E291" s="3" t="s">
        <v>748</v>
      </c>
      <c r="F291" s="3" t="s">
        <v>377</v>
      </c>
      <c r="G291" s="3" t="s">
        <v>110</v>
      </c>
      <c r="H291" s="3">
        <v>1</v>
      </c>
      <c r="I291" s="3">
        <v>1</v>
      </c>
      <c r="J291" s="3" t="s">
        <v>18</v>
      </c>
      <c r="K291" s="5">
        <v>0.04</v>
      </c>
      <c r="L291" s="6">
        <v>4640020775951</v>
      </c>
      <c r="M291" s="7" t="s">
        <v>749</v>
      </c>
      <c r="N291" s="8">
        <f>VLOOKUP(B291,'[1]новый без картинок'!$A$5:$F$2672,6,0)</f>
        <v>231</v>
      </c>
    </row>
    <row r="292" spans="1:14" ht="153" customHeight="1" x14ac:dyDescent="0.2">
      <c r="A292" s="3">
        <v>290</v>
      </c>
      <c r="B292" s="3">
        <v>170978</v>
      </c>
      <c r="C292" s="4" t="str">
        <f>HYPERLINK("http://optservis.net:5080/photo?tov_code_internet=170978","Увеличить")</f>
        <v>Увеличить</v>
      </c>
      <c r="D292" s="3" t="s">
        <v>750</v>
      </c>
      <c r="E292" s="3" t="s">
        <v>751</v>
      </c>
      <c r="F292" s="3" t="s">
        <v>752</v>
      </c>
      <c r="G292" s="3" t="s">
        <v>110</v>
      </c>
      <c r="H292" s="3">
        <v>15</v>
      </c>
      <c r="I292" s="3">
        <v>1</v>
      </c>
      <c r="J292" s="3" t="s">
        <v>18</v>
      </c>
      <c r="K292" s="5">
        <v>0.16</v>
      </c>
      <c r="L292" s="6">
        <v>4690654008949</v>
      </c>
      <c r="M292" s="7" t="s">
        <v>753</v>
      </c>
      <c r="N292" s="8">
        <f>VLOOKUP(B292,'[1]новый без картинок'!$A$5:$F$2672,6,0)</f>
        <v>82</v>
      </c>
    </row>
    <row r="293" spans="1:14" ht="151.15" customHeight="1" x14ac:dyDescent="0.2">
      <c r="A293" s="3">
        <v>291</v>
      </c>
      <c r="B293" s="3">
        <v>167811</v>
      </c>
      <c r="C293" s="4" t="str">
        <f>HYPERLINK("http://optservis.net:5080/photo?tov_code_internet=167811","Увеличить")</f>
        <v>Увеличить</v>
      </c>
      <c r="D293" s="3" t="s">
        <v>754</v>
      </c>
      <c r="E293" s="3" t="s">
        <v>755</v>
      </c>
      <c r="F293" s="3" t="s">
        <v>756</v>
      </c>
      <c r="G293" s="3" t="s">
        <v>110</v>
      </c>
      <c r="H293" s="3">
        <v>1</v>
      </c>
      <c r="I293" s="3">
        <v>1</v>
      </c>
      <c r="J293" s="3" t="s">
        <v>18</v>
      </c>
      <c r="K293" s="5">
        <v>0.06</v>
      </c>
      <c r="L293" s="6">
        <v>4690654008413</v>
      </c>
      <c r="M293" s="7" t="s">
        <v>757</v>
      </c>
      <c r="N293" s="8">
        <f>VLOOKUP(B293,'[1]новый без картинок'!$A$5:$F$2672,6,0)</f>
        <v>86</v>
      </c>
    </row>
    <row r="294" spans="1:14" ht="151.15" customHeight="1" x14ac:dyDescent="0.2">
      <c r="A294" s="3">
        <v>292</v>
      </c>
      <c r="B294" s="3">
        <v>181719</v>
      </c>
      <c r="C294" s="4" t="str">
        <f>HYPERLINK("http://optservis.net:5080/photo?tov_code_internet=181719","Увеличить")</f>
        <v>Увеличить</v>
      </c>
      <c r="D294" s="3" t="s">
        <v>754</v>
      </c>
      <c r="E294" s="3" t="s">
        <v>755</v>
      </c>
      <c r="F294" s="3" t="s">
        <v>758</v>
      </c>
      <c r="G294" s="3" t="s">
        <v>110</v>
      </c>
      <c r="H294" s="3">
        <v>1</v>
      </c>
      <c r="I294" s="3">
        <v>1</v>
      </c>
      <c r="J294" s="3" t="s">
        <v>18</v>
      </c>
      <c r="K294" s="5">
        <v>0.06</v>
      </c>
      <c r="L294" s="6">
        <v>4690654011321</v>
      </c>
      <c r="M294" s="7" t="s">
        <v>759</v>
      </c>
      <c r="N294" s="8">
        <f>VLOOKUP(B294,'[1]новый без картинок'!$A$5:$F$2672,6,0)</f>
        <v>86</v>
      </c>
    </row>
    <row r="295" spans="1:14" ht="138.6" customHeight="1" x14ac:dyDescent="0.2">
      <c r="A295" s="3">
        <v>293</v>
      </c>
      <c r="B295" s="3">
        <v>899484</v>
      </c>
      <c r="C295" s="4" t="str">
        <f>HYPERLINK("http://optservis.net:5080/photo?tov_code_internet=899484","Увеличить")</f>
        <v>Увеличить</v>
      </c>
      <c r="D295" s="3" t="s">
        <v>760</v>
      </c>
      <c r="E295" s="3" t="s">
        <v>761</v>
      </c>
      <c r="F295" s="3" t="s">
        <v>762</v>
      </c>
      <c r="G295" s="3" t="s">
        <v>110</v>
      </c>
      <c r="H295" s="3">
        <v>1</v>
      </c>
      <c r="I295" s="3">
        <v>1</v>
      </c>
      <c r="J295" s="3" t="s">
        <v>18</v>
      </c>
      <c r="K295" s="5">
        <v>0.02</v>
      </c>
      <c r="L295" s="6">
        <v>4690654999889</v>
      </c>
      <c r="M295" s="7" t="s">
        <v>763</v>
      </c>
      <c r="N295" s="8">
        <f>VLOOKUP(B295,'[1]новый без картинок'!$A$5:$F$2672,6,0)</f>
        <v>120</v>
      </c>
    </row>
    <row r="296" spans="1:14" ht="138.6" customHeight="1" x14ac:dyDescent="0.2">
      <c r="A296" s="3">
        <v>294</v>
      </c>
      <c r="B296" s="3">
        <v>898768</v>
      </c>
      <c r="C296" s="4" t="str">
        <f>HYPERLINK("http://optservis.net:5080/photo?tov_code_internet=898768","Увеличить")</f>
        <v>Увеличить</v>
      </c>
      <c r="D296" s="3" t="s">
        <v>764</v>
      </c>
      <c r="E296" s="3" t="s">
        <v>765</v>
      </c>
      <c r="F296" s="3" t="s">
        <v>762</v>
      </c>
      <c r="G296" s="3" t="s">
        <v>110</v>
      </c>
      <c r="H296" s="3">
        <v>1</v>
      </c>
      <c r="I296" s="3">
        <v>1</v>
      </c>
      <c r="J296" s="3" t="s">
        <v>18</v>
      </c>
      <c r="K296" s="5">
        <v>0.02</v>
      </c>
      <c r="L296" s="6">
        <v>4690654999803</v>
      </c>
      <c r="M296" s="7" t="s">
        <v>766</v>
      </c>
      <c r="N296" s="8">
        <f>VLOOKUP(B296,'[1]новый без картинок'!$A$5:$F$2672,6,0)</f>
        <v>70</v>
      </c>
    </row>
    <row r="297" spans="1:14" ht="148.5" customHeight="1" x14ac:dyDescent="0.2">
      <c r="A297" s="3">
        <v>295</v>
      </c>
      <c r="B297" s="3">
        <v>171491</v>
      </c>
      <c r="C297" s="4" t="str">
        <f>HYPERLINK("http://optservis.net:5080/photo?tov_code_internet=171491","Увеличить")</f>
        <v>Увеличить</v>
      </c>
      <c r="D297" s="3" t="s">
        <v>767</v>
      </c>
      <c r="E297" s="3" t="s">
        <v>768</v>
      </c>
      <c r="F297" s="3" t="s">
        <v>769</v>
      </c>
      <c r="G297" s="3" t="s">
        <v>110</v>
      </c>
      <c r="H297" s="3">
        <v>1</v>
      </c>
      <c r="I297" s="3">
        <v>1</v>
      </c>
      <c r="J297" s="3" t="s">
        <v>18</v>
      </c>
      <c r="K297" s="5">
        <v>0.14000000000000001</v>
      </c>
      <c r="L297" s="6">
        <v>4690654995584</v>
      </c>
      <c r="M297" s="7" t="s">
        <v>770</v>
      </c>
      <c r="N297" s="8">
        <f>VLOOKUP(B297,'[1]новый без картинок'!$A$5:$F$2672,6,0)</f>
        <v>161</v>
      </c>
    </row>
    <row r="298" spans="1:14" ht="138.6" customHeight="1" x14ac:dyDescent="0.2">
      <c r="A298" s="3">
        <v>296</v>
      </c>
      <c r="B298" s="3">
        <v>911208</v>
      </c>
      <c r="C298" s="4" t="str">
        <f>HYPERLINK("http://optservis.net:5080/photo?tov_code_internet=911208","Увеличить")</f>
        <v>Увеличить</v>
      </c>
      <c r="D298" s="3" t="s">
        <v>771</v>
      </c>
      <c r="E298" s="3" t="s">
        <v>772</v>
      </c>
      <c r="F298" s="3" t="s">
        <v>773</v>
      </c>
      <c r="G298" s="3" t="s">
        <v>110</v>
      </c>
      <c r="H298" s="3">
        <v>1</v>
      </c>
      <c r="I298" s="3">
        <v>1</v>
      </c>
      <c r="J298" s="3" t="s">
        <v>18</v>
      </c>
      <c r="K298" s="5">
        <v>0.03</v>
      </c>
      <c r="L298" s="6">
        <v>4640020771403</v>
      </c>
      <c r="M298" s="7" t="s">
        <v>774</v>
      </c>
      <c r="N298" s="8">
        <f>VLOOKUP(B298,'[1]новый без картинок'!$A$5:$F$2672,6,0)</f>
        <v>208</v>
      </c>
    </row>
    <row r="299" spans="1:14" ht="138.6" customHeight="1" x14ac:dyDescent="0.2">
      <c r="A299" s="3">
        <v>297</v>
      </c>
      <c r="B299" s="3">
        <v>889114</v>
      </c>
      <c r="C299" s="4" t="str">
        <f>HYPERLINK("http://optservis.net:5080/photo?tov_code_internet=889114","Увеличить")</f>
        <v>Увеличить</v>
      </c>
      <c r="D299" s="3" t="s">
        <v>775</v>
      </c>
      <c r="E299" s="3" t="s">
        <v>776</v>
      </c>
      <c r="F299" s="3" t="s">
        <v>773</v>
      </c>
      <c r="G299" s="3" t="s">
        <v>110</v>
      </c>
      <c r="H299" s="3">
        <v>1</v>
      </c>
      <c r="I299" s="3">
        <v>1</v>
      </c>
      <c r="J299" s="3" t="s">
        <v>18</v>
      </c>
      <c r="K299" s="5">
        <v>0.03</v>
      </c>
      <c r="L299" s="6">
        <v>4690654999612</v>
      </c>
      <c r="M299" s="7" t="s">
        <v>777</v>
      </c>
      <c r="N299" s="8">
        <f>VLOOKUP(B299,'[1]новый без картинок'!$A$5:$F$2672,6,0)</f>
        <v>205</v>
      </c>
    </row>
    <row r="300" spans="1:14" ht="151.15" customHeight="1" x14ac:dyDescent="0.2">
      <c r="A300" s="3">
        <v>298</v>
      </c>
      <c r="B300" s="3">
        <v>971517</v>
      </c>
      <c r="C300" s="4" t="str">
        <f>HYPERLINK("http://optservis.net:5080/photo?tov_code_internet=971517","Увеличить")</f>
        <v>Увеличить</v>
      </c>
      <c r="D300" s="3" t="s">
        <v>778</v>
      </c>
      <c r="E300" s="3"/>
      <c r="F300" s="3" t="s">
        <v>779</v>
      </c>
      <c r="G300" s="3" t="s">
        <v>780</v>
      </c>
      <c r="H300" s="3">
        <v>0.25</v>
      </c>
      <c r="I300" s="3">
        <v>0</v>
      </c>
      <c r="J300" s="3" t="s">
        <v>781</v>
      </c>
      <c r="K300" s="5">
        <v>0.06</v>
      </c>
      <c r="L300" s="6">
        <v>0</v>
      </c>
      <c r="M300" s="7" t="s">
        <v>782</v>
      </c>
      <c r="N300" s="8">
        <f>VLOOKUP(B300,'[1]новый без картинок'!$A$5:$F$2672,6,0)</f>
        <v>910</v>
      </c>
    </row>
    <row r="301" spans="1:14" ht="151.15" customHeight="1" x14ac:dyDescent="0.2">
      <c r="A301" s="3">
        <v>299</v>
      </c>
      <c r="B301" s="3">
        <v>887654</v>
      </c>
      <c r="C301" s="4" t="str">
        <f>HYPERLINK("http://optservis.net:5080/photo?tov_code_internet=887654","Увеличить")</f>
        <v>Увеличить</v>
      </c>
      <c r="D301" s="3" t="s">
        <v>783</v>
      </c>
      <c r="E301" s="3"/>
      <c r="F301" s="3" t="s">
        <v>784</v>
      </c>
      <c r="G301" s="3" t="s">
        <v>785</v>
      </c>
      <c r="H301" s="3">
        <v>1</v>
      </c>
      <c r="I301" s="3">
        <v>1</v>
      </c>
      <c r="J301" s="3" t="s">
        <v>781</v>
      </c>
      <c r="K301" s="5">
        <v>0.3</v>
      </c>
      <c r="L301" s="6">
        <v>0</v>
      </c>
      <c r="M301" s="7" t="s">
        <v>786</v>
      </c>
      <c r="N301" s="8">
        <f>VLOOKUP(B301,'[1]новый без картинок'!$A$5:$F$2672,6,0)</f>
        <v>949</v>
      </c>
    </row>
    <row r="302" spans="1:14" ht="163.9" customHeight="1" x14ac:dyDescent="0.2">
      <c r="A302" s="3">
        <v>300</v>
      </c>
      <c r="B302" s="3">
        <v>183765</v>
      </c>
      <c r="C302" s="4" t="str">
        <f>HYPERLINK("http://optservis.net:5080/photo?tov_code_internet=183765","Увеличить")</f>
        <v>Увеличить</v>
      </c>
      <c r="D302" s="3" t="s">
        <v>787</v>
      </c>
      <c r="E302" s="3"/>
      <c r="F302" s="3" t="s">
        <v>68</v>
      </c>
      <c r="G302" s="3" t="s">
        <v>788</v>
      </c>
      <c r="H302" s="3">
        <v>1</v>
      </c>
      <c r="I302" s="3">
        <v>1</v>
      </c>
      <c r="J302" s="3" t="s">
        <v>781</v>
      </c>
      <c r="K302" s="5">
        <v>0.53</v>
      </c>
      <c r="L302" s="6">
        <v>0</v>
      </c>
      <c r="M302" s="7" t="s">
        <v>789</v>
      </c>
      <c r="N302" s="8">
        <f>VLOOKUP(B302,'[1]новый без картинок'!$A$5:$F$2672,6,0)</f>
        <v>723</v>
      </c>
    </row>
    <row r="303" spans="1:14" ht="157.5" customHeight="1" x14ac:dyDescent="0.2">
      <c r="A303" s="3">
        <v>301</v>
      </c>
      <c r="B303" s="3">
        <v>182771</v>
      </c>
      <c r="C303" s="4" t="str">
        <f>HYPERLINK("http://optservis.net:5080/photo?tov_code_internet=182771","Увеличить")</f>
        <v>Увеличить</v>
      </c>
      <c r="D303" s="3" t="s">
        <v>790</v>
      </c>
      <c r="E303" s="3"/>
      <c r="F303" s="3" t="s">
        <v>791</v>
      </c>
      <c r="G303" s="3" t="s">
        <v>792</v>
      </c>
      <c r="H303" s="3">
        <v>1</v>
      </c>
      <c r="I303" s="3">
        <v>1</v>
      </c>
      <c r="J303" s="3" t="s">
        <v>781</v>
      </c>
      <c r="K303" s="5">
        <v>0.41</v>
      </c>
      <c r="L303" s="6">
        <v>0</v>
      </c>
      <c r="M303" s="7" t="s">
        <v>793</v>
      </c>
      <c r="N303" s="8">
        <f>VLOOKUP(B303,'[1]новый без картинок'!$A$5:$F$2672,6,0)</f>
        <v>1322</v>
      </c>
    </row>
    <row r="304" spans="1:14" ht="149.44999999999999" customHeight="1" x14ac:dyDescent="0.2">
      <c r="A304" s="3">
        <v>302</v>
      </c>
      <c r="B304" s="3">
        <v>185303</v>
      </c>
      <c r="C304" s="4" t="str">
        <f>HYPERLINK("http://optservis.net:5080/photo?tov_code_internet=185303","Увеличить")</f>
        <v>Увеличить</v>
      </c>
      <c r="D304" s="3" t="s">
        <v>794</v>
      </c>
      <c r="E304" s="3"/>
      <c r="F304" s="3" t="s">
        <v>795</v>
      </c>
      <c r="G304" s="3" t="s">
        <v>796</v>
      </c>
      <c r="H304" s="3">
        <v>1</v>
      </c>
      <c r="I304" s="3">
        <v>1</v>
      </c>
      <c r="J304" s="3" t="s">
        <v>781</v>
      </c>
      <c r="K304" s="5">
        <v>0.51</v>
      </c>
      <c r="L304" s="6">
        <v>0</v>
      </c>
      <c r="M304" s="7" t="s">
        <v>797</v>
      </c>
      <c r="N304" s="8">
        <f>VLOOKUP(B304,'[1]новый без картинок'!$A$5:$F$2672,6,0)</f>
        <v>954</v>
      </c>
    </row>
    <row r="305" spans="1:14" ht="153" customHeight="1" x14ac:dyDescent="0.2">
      <c r="A305" s="3">
        <v>303</v>
      </c>
      <c r="B305" s="3">
        <v>185885</v>
      </c>
      <c r="C305" s="4" t="str">
        <f>HYPERLINK("http://optservis.net:5080/photo?tov_code_internet=185885","Увеличить")</f>
        <v>Увеличить</v>
      </c>
      <c r="D305" s="3" t="s">
        <v>798</v>
      </c>
      <c r="E305" s="3"/>
      <c r="F305" s="3" t="s">
        <v>799</v>
      </c>
      <c r="G305" s="3" t="s">
        <v>788</v>
      </c>
      <c r="H305" s="3">
        <v>1</v>
      </c>
      <c r="I305" s="3">
        <v>1</v>
      </c>
      <c r="J305" s="3" t="s">
        <v>781</v>
      </c>
      <c r="K305" s="5">
        <v>0.51</v>
      </c>
      <c r="L305" s="6">
        <v>0</v>
      </c>
      <c r="M305" s="7" t="s">
        <v>800</v>
      </c>
      <c r="N305" s="8">
        <f>VLOOKUP(B305,'[1]новый без картинок'!$A$5:$F$2672,6,0)</f>
        <v>741</v>
      </c>
    </row>
    <row r="306" spans="1:14" ht="151.15" customHeight="1" x14ac:dyDescent="0.2">
      <c r="A306" s="3">
        <v>304</v>
      </c>
      <c r="B306" s="3">
        <v>185896</v>
      </c>
      <c r="C306" s="4" t="str">
        <f>HYPERLINK("http://optservis.net:5080/photo?tov_code_internet=185896","Увеличить")</f>
        <v>Увеличить</v>
      </c>
      <c r="D306" s="3" t="s">
        <v>801</v>
      </c>
      <c r="E306" s="3"/>
      <c r="F306" s="3" t="s">
        <v>802</v>
      </c>
      <c r="G306" s="3" t="s">
        <v>796</v>
      </c>
      <c r="H306" s="3">
        <v>1</v>
      </c>
      <c r="I306" s="3">
        <v>1</v>
      </c>
      <c r="J306" s="3" t="s">
        <v>781</v>
      </c>
      <c r="K306" s="5">
        <v>0.55000000000000004</v>
      </c>
      <c r="L306" s="6">
        <v>0</v>
      </c>
      <c r="M306" s="7" t="s">
        <v>803</v>
      </c>
      <c r="N306" s="8">
        <f>VLOOKUP(B306,'[1]новый без картинок'!$A$5:$F$2672,6,0)</f>
        <v>1093</v>
      </c>
    </row>
    <row r="307" spans="1:14" ht="149.44999999999999" customHeight="1" x14ac:dyDescent="0.2">
      <c r="A307" s="3">
        <v>305</v>
      </c>
      <c r="B307" s="3">
        <v>185900</v>
      </c>
      <c r="C307" s="4" t="str">
        <f>HYPERLINK("http://optservis.net:5080/photo?tov_code_internet=185900","Увеличить")</f>
        <v>Увеличить</v>
      </c>
      <c r="D307" s="3" t="s">
        <v>804</v>
      </c>
      <c r="E307" s="3"/>
      <c r="F307" s="3" t="s">
        <v>805</v>
      </c>
      <c r="G307" s="3" t="s">
        <v>806</v>
      </c>
      <c r="H307" s="3">
        <v>1</v>
      </c>
      <c r="I307" s="3">
        <v>1</v>
      </c>
      <c r="J307" s="3" t="s">
        <v>781</v>
      </c>
      <c r="K307" s="5">
        <v>0.34</v>
      </c>
      <c r="L307" s="6">
        <v>0</v>
      </c>
      <c r="M307" s="7" t="s">
        <v>807</v>
      </c>
      <c r="N307" s="8">
        <f>VLOOKUP(B307,'[1]новый без картинок'!$A$5:$F$2672,6,0)</f>
        <v>1110</v>
      </c>
    </row>
    <row r="308" spans="1:14" ht="151.15" customHeight="1" x14ac:dyDescent="0.2">
      <c r="A308" s="3">
        <v>306</v>
      </c>
      <c r="B308" s="3">
        <v>186102</v>
      </c>
      <c r="C308" s="4" t="str">
        <f>HYPERLINK("http://optservis.net:5080/photo?tov_code_internet=186102","Увеличить")</f>
        <v>Увеличить</v>
      </c>
      <c r="D308" s="3" t="s">
        <v>808</v>
      </c>
      <c r="E308" s="3"/>
      <c r="F308" s="3" t="s">
        <v>809</v>
      </c>
      <c r="G308" s="3" t="s">
        <v>810</v>
      </c>
      <c r="H308" s="3">
        <v>1</v>
      </c>
      <c r="I308" s="3">
        <v>1</v>
      </c>
      <c r="J308" s="3" t="s">
        <v>781</v>
      </c>
      <c r="K308" s="5">
        <v>0.33</v>
      </c>
      <c r="L308" s="6">
        <v>0</v>
      </c>
      <c r="M308" s="7" t="s">
        <v>811</v>
      </c>
      <c r="N308" s="8">
        <f>VLOOKUP(B308,'[1]новый без картинок'!$A$5:$F$2672,6,0)</f>
        <v>1451</v>
      </c>
    </row>
    <row r="309" spans="1:14" ht="149.44999999999999" customHeight="1" x14ac:dyDescent="0.2">
      <c r="A309" s="3">
        <v>307</v>
      </c>
      <c r="B309" s="3">
        <v>186101</v>
      </c>
      <c r="C309" s="4" t="str">
        <f>HYPERLINK("http://optservis.net:5080/photo?tov_code_internet=186101","Увеличить")</f>
        <v>Увеличить</v>
      </c>
      <c r="D309" s="3" t="s">
        <v>812</v>
      </c>
      <c r="E309" s="3"/>
      <c r="F309" s="3" t="s">
        <v>813</v>
      </c>
      <c r="G309" s="3" t="s">
        <v>814</v>
      </c>
      <c r="H309" s="3">
        <v>1</v>
      </c>
      <c r="I309" s="3">
        <v>1</v>
      </c>
      <c r="J309" s="3" t="s">
        <v>781</v>
      </c>
      <c r="K309" s="5">
        <v>0.28000000000000003</v>
      </c>
      <c r="L309" s="6">
        <v>0</v>
      </c>
      <c r="M309" s="7" t="s">
        <v>815</v>
      </c>
      <c r="N309" s="8">
        <f>VLOOKUP(B309,'[1]новый без картинок'!$A$5:$F$2672,6,0)</f>
        <v>943</v>
      </c>
    </row>
    <row r="310" spans="1:14" ht="163.9" customHeight="1" x14ac:dyDescent="0.2">
      <c r="A310" s="3">
        <v>308</v>
      </c>
      <c r="B310" s="3">
        <v>186331</v>
      </c>
      <c r="C310" s="4" t="str">
        <f>HYPERLINK("http://optservis.net:5080/photo?tov_code_internet=186331","Увеличить")</f>
        <v>Увеличить</v>
      </c>
      <c r="D310" s="3" t="s">
        <v>816</v>
      </c>
      <c r="E310" s="3"/>
      <c r="F310" s="3" t="s">
        <v>817</v>
      </c>
      <c r="G310" s="3" t="s">
        <v>818</v>
      </c>
      <c r="H310" s="3">
        <v>1</v>
      </c>
      <c r="I310" s="3">
        <v>1</v>
      </c>
      <c r="J310" s="3" t="s">
        <v>781</v>
      </c>
      <c r="K310" s="5">
        <v>0.56999999999999995</v>
      </c>
      <c r="L310" s="6">
        <v>0</v>
      </c>
      <c r="M310" s="7" t="s">
        <v>819</v>
      </c>
      <c r="N310" s="8">
        <f>VLOOKUP(B310,'[1]новый без картинок'!$A$5:$F$2672,6,0)</f>
        <v>1175</v>
      </c>
    </row>
    <row r="311" spans="1:14" ht="163.9" customHeight="1" x14ac:dyDescent="0.2">
      <c r="A311" s="3">
        <v>309</v>
      </c>
      <c r="B311" s="3">
        <v>186333</v>
      </c>
      <c r="C311" s="4" t="str">
        <f>HYPERLINK("http://optservis.net:5080/photo?tov_code_internet=186333","Увеличить")</f>
        <v>Увеличить</v>
      </c>
      <c r="D311" s="3" t="s">
        <v>820</v>
      </c>
      <c r="E311" s="3"/>
      <c r="F311" s="3" t="s">
        <v>821</v>
      </c>
      <c r="G311" s="3" t="s">
        <v>822</v>
      </c>
      <c r="H311" s="3">
        <v>1</v>
      </c>
      <c r="I311" s="3">
        <v>1</v>
      </c>
      <c r="J311" s="3" t="s">
        <v>781</v>
      </c>
      <c r="K311" s="5">
        <v>0.91</v>
      </c>
      <c r="L311" s="6">
        <v>0</v>
      </c>
      <c r="M311" s="7" t="s">
        <v>823</v>
      </c>
      <c r="N311" s="8">
        <f>VLOOKUP(B311,'[1]новый без картинок'!$A$5:$F$2672,6,0)</f>
        <v>1365</v>
      </c>
    </row>
    <row r="312" spans="1:14" ht="163.9" customHeight="1" x14ac:dyDescent="0.2">
      <c r="A312" s="3">
        <v>310</v>
      </c>
      <c r="B312" s="3">
        <v>186421</v>
      </c>
      <c r="C312" s="4" t="str">
        <f>HYPERLINK("http://optservis.net:5080/photo?tov_code_internet=186421","Увеличить")</f>
        <v>Увеличить</v>
      </c>
      <c r="D312" s="3" t="s">
        <v>824</v>
      </c>
      <c r="E312" s="3"/>
      <c r="F312" s="3" t="s">
        <v>825</v>
      </c>
      <c r="G312" s="3" t="s">
        <v>822</v>
      </c>
      <c r="H312" s="3">
        <v>1</v>
      </c>
      <c r="I312" s="3">
        <v>1</v>
      </c>
      <c r="J312" s="3" t="s">
        <v>781</v>
      </c>
      <c r="K312" s="5">
        <v>0.97</v>
      </c>
      <c r="L312" s="6">
        <v>0</v>
      </c>
      <c r="M312" s="7" t="s">
        <v>826</v>
      </c>
      <c r="N312" s="8">
        <f>VLOOKUP(B312,'[1]новый без картинок'!$A$5:$F$2672,6,0)</f>
        <v>1307</v>
      </c>
    </row>
    <row r="313" spans="1:14" ht="163.9" customHeight="1" x14ac:dyDescent="0.2">
      <c r="A313" s="3">
        <v>311</v>
      </c>
      <c r="B313" s="3">
        <v>186422</v>
      </c>
      <c r="C313" s="4" t="str">
        <f>HYPERLINK("http://optservis.net:5080/photo?tov_code_internet=186422","Увеличить")</f>
        <v>Увеличить</v>
      </c>
      <c r="D313" s="3" t="s">
        <v>827</v>
      </c>
      <c r="E313" s="3"/>
      <c r="F313" s="3" t="s">
        <v>828</v>
      </c>
      <c r="G313" s="3" t="s">
        <v>788</v>
      </c>
      <c r="H313" s="3">
        <v>1</v>
      </c>
      <c r="I313" s="3">
        <v>1</v>
      </c>
      <c r="J313" s="3" t="s">
        <v>781</v>
      </c>
      <c r="K313" s="5">
        <v>0.53</v>
      </c>
      <c r="L313" s="6">
        <v>0</v>
      </c>
      <c r="M313" s="7" t="s">
        <v>829</v>
      </c>
      <c r="N313" s="8">
        <f>VLOOKUP(B313,'[1]новый без картинок'!$A$5:$F$2672,6,0)</f>
        <v>723</v>
      </c>
    </row>
    <row r="314" spans="1:14" ht="163.9" customHeight="1" x14ac:dyDescent="0.2">
      <c r="A314" s="3">
        <v>312</v>
      </c>
      <c r="B314" s="3">
        <v>186426</v>
      </c>
      <c r="C314" s="4" t="str">
        <f>HYPERLINK("http://optservis.net:5080/photo?tov_code_internet=186426","Увеличить")</f>
        <v>Увеличить</v>
      </c>
      <c r="D314" s="3" t="s">
        <v>830</v>
      </c>
      <c r="E314" s="3"/>
      <c r="F314" s="3" t="s">
        <v>831</v>
      </c>
      <c r="G314" s="3" t="s">
        <v>832</v>
      </c>
      <c r="H314" s="3">
        <v>1</v>
      </c>
      <c r="I314" s="3">
        <v>1</v>
      </c>
      <c r="J314" s="3" t="s">
        <v>781</v>
      </c>
      <c r="K314" s="5">
        <v>0.24</v>
      </c>
      <c r="L314" s="6">
        <v>0</v>
      </c>
      <c r="M314" s="7" t="s">
        <v>833</v>
      </c>
      <c r="N314" s="8">
        <f>VLOOKUP(B314,'[1]новый без картинок'!$A$5:$F$2672,6,0)</f>
        <v>1156</v>
      </c>
    </row>
    <row r="315" spans="1:14" ht="163.9" customHeight="1" x14ac:dyDescent="0.2">
      <c r="A315" s="3">
        <v>313</v>
      </c>
      <c r="B315" s="3">
        <v>186427</v>
      </c>
      <c r="C315" s="4" t="str">
        <f>HYPERLINK("http://optservis.net:5080/photo?tov_code_internet=186427","Увеличить")</f>
        <v>Увеличить</v>
      </c>
      <c r="D315" s="3" t="s">
        <v>834</v>
      </c>
      <c r="E315" s="3"/>
      <c r="F315" s="3" t="s">
        <v>414</v>
      </c>
      <c r="G315" s="3" t="s">
        <v>373</v>
      </c>
      <c r="H315" s="3">
        <v>1</v>
      </c>
      <c r="I315" s="3">
        <v>1</v>
      </c>
      <c r="J315" s="3" t="s">
        <v>781</v>
      </c>
      <c r="K315" s="5">
        <v>0.53</v>
      </c>
      <c r="L315" s="6">
        <v>0</v>
      </c>
      <c r="M315" s="7" t="s">
        <v>835</v>
      </c>
      <c r="N315" s="8">
        <f>VLOOKUP(B315,'[1]новый без картинок'!$A$5:$F$2672,6,0)</f>
        <v>984</v>
      </c>
    </row>
    <row r="316" spans="1:14" ht="163.9" customHeight="1" x14ac:dyDescent="0.2">
      <c r="A316" s="3">
        <v>314</v>
      </c>
      <c r="B316" s="3">
        <v>186430</v>
      </c>
      <c r="C316" s="4" t="str">
        <f>HYPERLINK("http://optservis.net:5080/photo?tov_code_internet=186430","Увеличить")</f>
        <v>Увеличить</v>
      </c>
      <c r="D316" s="3" t="s">
        <v>836</v>
      </c>
      <c r="E316" s="3"/>
      <c r="F316" s="3" t="s">
        <v>837</v>
      </c>
      <c r="G316" s="3" t="s">
        <v>373</v>
      </c>
      <c r="H316" s="3">
        <v>1</v>
      </c>
      <c r="I316" s="3">
        <v>1</v>
      </c>
      <c r="J316" s="3" t="s">
        <v>781</v>
      </c>
      <c r="K316" s="5">
        <v>0.53</v>
      </c>
      <c r="L316" s="6">
        <v>0</v>
      </c>
      <c r="M316" s="7" t="s">
        <v>835</v>
      </c>
      <c r="N316" s="8">
        <f>VLOOKUP(B316,'[1]новый без картинок'!$A$5:$F$2672,6,0)</f>
        <v>1034</v>
      </c>
    </row>
    <row r="317" spans="1:14" ht="163.9" customHeight="1" x14ac:dyDescent="0.2">
      <c r="A317" s="3">
        <v>315</v>
      </c>
      <c r="B317" s="3">
        <v>186433</v>
      </c>
      <c r="C317" s="4" t="str">
        <f>HYPERLINK("http://optservis.net:5080/photo?tov_code_internet=186433","Увеличить")</f>
        <v>Увеличить</v>
      </c>
      <c r="D317" s="3" t="s">
        <v>838</v>
      </c>
      <c r="E317" s="3"/>
      <c r="F317" s="3" t="s">
        <v>839</v>
      </c>
      <c r="G317" s="3" t="s">
        <v>788</v>
      </c>
      <c r="H317" s="3">
        <v>1</v>
      </c>
      <c r="I317" s="3">
        <v>1</v>
      </c>
      <c r="J317" s="3" t="s">
        <v>781</v>
      </c>
      <c r="K317" s="5">
        <v>0.55000000000000004</v>
      </c>
      <c r="L317" s="6">
        <v>0</v>
      </c>
      <c r="M317" s="7" t="s">
        <v>840</v>
      </c>
      <c r="N317" s="8">
        <f>VLOOKUP(B317,'[1]новый без картинок'!$A$5:$F$2672,6,0)</f>
        <v>1080</v>
      </c>
    </row>
    <row r="318" spans="1:14" ht="163.9" customHeight="1" x14ac:dyDescent="0.2">
      <c r="A318" s="3">
        <v>316</v>
      </c>
      <c r="B318" s="3">
        <v>186434</v>
      </c>
      <c r="C318" s="4" t="str">
        <f>HYPERLINK("http://optservis.net:5080/photo?tov_code_internet=186434","Увеличить")</f>
        <v>Увеличить</v>
      </c>
      <c r="D318" s="3" t="s">
        <v>841</v>
      </c>
      <c r="E318" s="3"/>
      <c r="F318" s="3" t="s">
        <v>842</v>
      </c>
      <c r="G318" s="3" t="s">
        <v>788</v>
      </c>
      <c r="H318" s="3">
        <v>1</v>
      </c>
      <c r="I318" s="3">
        <v>1</v>
      </c>
      <c r="J318" s="3" t="s">
        <v>781</v>
      </c>
      <c r="K318" s="5">
        <v>0.55000000000000004</v>
      </c>
      <c r="L318" s="6">
        <v>0</v>
      </c>
      <c r="M318" s="7" t="s">
        <v>840</v>
      </c>
      <c r="N318" s="8">
        <f>VLOOKUP(B318,'[1]новый без картинок'!$A$5:$F$2672,6,0)</f>
        <v>1080</v>
      </c>
    </row>
    <row r="319" spans="1:14" ht="163.9" customHeight="1" x14ac:dyDescent="0.2">
      <c r="A319" s="3">
        <v>317</v>
      </c>
      <c r="B319" s="3">
        <v>186444</v>
      </c>
      <c r="C319" s="4" t="str">
        <f>HYPERLINK("http://optservis.net:5080/photo?tov_code_internet=186444","Увеличить")</f>
        <v>Увеличить</v>
      </c>
      <c r="D319" s="3" t="s">
        <v>843</v>
      </c>
      <c r="E319" s="3"/>
      <c r="F319" s="3" t="s">
        <v>844</v>
      </c>
      <c r="G319" s="3" t="s">
        <v>832</v>
      </c>
      <c r="H319" s="3">
        <v>1</v>
      </c>
      <c r="I319" s="3">
        <v>1</v>
      </c>
      <c r="J319" s="3" t="s">
        <v>781</v>
      </c>
      <c r="K319" s="5">
        <v>0.71</v>
      </c>
      <c r="L319" s="6">
        <v>0</v>
      </c>
      <c r="M319" s="7" t="s">
        <v>845</v>
      </c>
      <c r="N319" s="8">
        <f>VLOOKUP(B319,'[1]новый без картинок'!$A$5:$F$2672,6,0)</f>
        <v>1201</v>
      </c>
    </row>
    <row r="320" spans="1:14" ht="163.9" customHeight="1" x14ac:dyDescent="0.2">
      <c r="A320" s="3">
        <v>318</v>
      </c>
      <c r="B320" s="3">
        <v>186463</v>
      </c>
      <c r="C320" s="4" t="str">
        <f>HYPERLINK("http://optservis.net:5080/photo?tov_code_internet=186463","Увеличить")</f>
        <v>Увеличить</v>
      </c>
      <c r="D320" s="3" t="s">
        <v>846</v>
      </c>
      <c r="E320" s="3"/>
      <c r="F320" s="3" t="s">
        <v>847</v>
      </c>
      <c r="G320" s="3" t="s">
        <v>788</v>
      </c>
      <c r="H320" s="3">
        <v>1</v>
      </c>
      <c r="I320" s="3">
        <v>1</v>
      </c>
      <c r="J320" s="3" t="s">
        <v>781</v>
      </c>
      <c r="K320" s="5">
        <v>0.8</v>
      </c>
      <c r="L320" s="6">
        <v>0</v>
      </c>
      <c r="M320" s="7" t="s">
        <v>848</v>
      </c>
      <c r="N320" s="8">
        <f>VLOOKUP(B320,'[1]новый без картинок'!$A$5:$F$2672,6,0)</f>
        <v>1048</v>
      </c>
    </row>
    <row r="321" spans="1:14" ht="163.9" customHeight="1" x14ac:dyDescent="0.2">
      <c r="A321" s="3">
        <v>319</v>
      </c>
      <c r="B321" s="3">
        <v>186464</v>
      </c>
      <c r="C321" s="4" t="str">
        <f>HYPERLINK("http://optservis.net:5080/photo?tov_code_internet=186464","Увеличить")</f>
        <v>Увеличить</v>
      </c>
      <c r="D321" s="3" t="s">
        <v>849</v>
      </c>
      <c r="E321" s="3"/>
      <c r="F321" s="3" t="s">
        <v>850</v>
      </c>
      <c r="G321" s="3" t="s">
        <v>788</v>
      </c>
      <c r="H321" s="3">
        <v>1</v>
      </c>
      <c r="I321" s="3">
        <v>1</v>
      </c>
      <c r="J321" s="3" t="s">
        <v>781</v>
      </c>
      <c r="K321" s="5">
        <v>0.77</v>
      </c>
      <c r="L321" s="6">
        <v>0</v>
      </c>
      <c r="M321" s="7" t="s">
        <v>851</v>
      </c>
      <c r="N321" s="8">
        <f>VLOOKUP(B321,'[1]новый без картинок'!$A$5:$F$2672,6,0)</f>
        <v>1066</v>
      </c>
    </row>
    <row r="322" spans="1:14" ht="163.9" customHeight="1" x14ac:dyDescent="0.2">
      <c r="A322" s="3">
        <v>320</v>
      </c>
      <c r="B322" s="3">
        <v>186474</v>
      </c>
      <c r="C322" s="4" t="str">
        <f>HYPERLINK("http://optservis.net:5080/photo?tov_code_internet=186474","Увеличить")</f>
        <v>Увеличить</v>
      </c>
      <c r="D322" s="3" t="s">
        <v>852</v>
      </c>
      <c r="E322" s="3"/>
      <c r="F322" s="3" t="s">
        <v>853</v>
      </c>
      <c r="G322" s="3" t="s">
        <v>832</v>
      </c>
      <c r="H322" s="3">
        <v>1</v>
      </c>
      <c r="I322" s="3">
        <v>1</v>
      </c>
      <c r="J322" s="3" t="s">
        <v>781</v>
      </c>
      <c r="K322" s="5">
        <v>0.94</v>
      </c>
      <c r="L322" s="6">
        <v>0</v>
      </c>
      <c r="M322" s="7" t="s">
        <v>854</v>
      </c>
      <c r="N322" s="8">
        <f>VLOOKUP(B322,'[1]новый без картинок'!$A$5:$F$2672,6,0)</f>
        <v>1230</v>
      </c>
    </row>
    <row r="323" spans="1:14" ht="138.6" customHeight="1" x14ac:dyDescent="0.2">
      <c r="A323" s="3">
        <v>321</v>
      </c>
      <c r="B323" s="3">
        <v>186750</v>
      </c>
      <c r="C323" s="4" t="str">
        <f>HYPERLINK("http://optservis.net:5080/photo?tov_code_internet=186750","Увеличить")</f>
        <v>Увеличить</v>
      </c>
      <c r="D323" s="3" t="s">
        <v>855</v>
      </c>
      <c r="E323" s="3"/>
      <c r="F323" s="3" t="s">
        <v>856</v>
      </c>
      <c r="G323" s="3" t="s">
        <v>857</v>
      </c>
      <c r="H323" s="3">
        <v>0.25</v>
      </c>
      <c r="I323" s="3">
        <v>0</v>
      </c>
      <c r="J323" s="3" t="s">
        <v>781</v>
      </c>
      <c r="K323" s="5">
        <v>0.08</v>
      </c>
      <c r="L323" s="6">
        <v>0</v>
      </c>
      <c r="M323" s="7" t="s">
        <v>858</v>
      </c>
      <c r="N323" s="8">
        <f>VLOOKUP(B323,'[1]новый без картинок'!$A$5:$F$2672,6,0)</f>
        <v>1421</v>
      </c>
    </row>
    <row r="324" spans="1:14" ht="157.5" customHeight="1" x14ac:dyDescent="0.2">
      <c r="A324" s="3">
        <v>322</v>
      </c>
      <c r="B324" s="3">
        <v>186759</v>
      </c>
      <c r="C324" s="4" t="str">
        <f>HYPERLINK("http://optservis.net:5080/photo?tov_code_internet=186759","Увеличить")</f>
        <v>Увеличить</v>
      </c>
      <c r="D324" s="3" t="s">
        <v>859</v>
      </c>
      <c r="E324" s="3"/>
      <c r="F324" s="3" t="s">
        <v>860</v>
      </c>
      <c r="G324" s="3" t="s">
        <v>806</v>
      </c>
      <c r="H324" s="3">
        <v>1</v>
      </c>
      <c r="I324" s="3">
        <v>1</v>
      </c>
      <c r="J324" s="3" t="s">
        <v>781</v>
      </c>
      <c r="K324" s="5">
        <v>0.38</v>
      </c>
      <c r="L324" s="6">
        <v>0</v>
      </c>
      <c r="M324" s="7" t="s">
        <v>861</v>
      </c>
      <c r="N324" s="8">
        <f>VLOOKUP(B324,'[1]новый без картинок'!$A$5:$F$2672,6,0)</f>
        <v>1256</v>
      </c>
    </row>
    <row r="325" spans="1:14" ht="157.5" customHeight="1" x14ac:dyDescent="0.2">
      <c r="A325" s="3">
        <v>323</v>
      </c>
      <c r="B325" s="3">
        <v>187489</v>
      </c>
      <c r="C325" s="4" t="str">
        <f>HYPERLINK("http://optservis.net:5080/photo?tov_code_internet=187489","Увеличить")</f>
        <v>Увеличить</v>
      </c>
      <c r="D325" s="3" t="s">
        <v>862</v>
      </c>
      <c r="E325" s="3"/>
      <c r="F325" s="3" t="s">
        <v>863</v>
      </c>
      <c r="G325" s="3" t="s">
        <v>788</v>
      </c>
      <c r="H325" s="3">
        <v>1</v>
      </c>
      <c r="I325" s="3">
        <v>1</v>
      </c>
      <c r="J325" s="3" t="s">
        <v>781</v>
      </c>
      <c r="K325" s="5">
        <v>0.51</v>
      </c>
      <c r="L325" s="6">
        <v>0</v>
      </c>
      <c r="M325" s="7" t="s">
        <v>864</v>
      </c>
      <c r="N325" s="8">
        <f>VLOOKUP(B325,'[1]новый без картинок'!$A$5:$F$2672,6,0)</f>
        <v>958</v>
      </c>
    </row>
    <row r="326" spans="1:14" ht="151.15" customHeight="1" x14ac:dyDescent="0.2">
      <c r="A326" s="3">
        <v>324</v>
      </c>
      <c r="B326" s="3">
        <v>187666</v>
      </c>
      <c r="C326" s="4" t="str">
        <f>HYPERLINK("http://optservis.net:5080/photo?tov_code_internet=187666","Увеличить")</f>
        <v>Увеличить</v>
      </c>
      <c r="D326" s="3" t="s">
        <v>865</v>
      </c>
      <c r="E326" s="3"/>
      <c r="F326" s="3" t="s">
        <v>866</v>
      </c>
      <c r="G326" s="3" t="s">
        <v>788</v>
      </c>
      <c r="H326" s="3">
        <v>1</v>
      </c>
      <c r="I326" s="3">
        <v>1</v>
      </c>
      <c r="J326" s="3" t="s">
        <v>781</v>
      </c>
      <c r="K326" s="5">
        <v>0.94</v>
      </c>
      <c r="L326" s="6">
        <v>0</v>
      </c>
      <c r="M326" s="7" t="s">
        <v>867</v>
      </c>
      <c r="N326" s="8">
        <f>VLOOKUP(B326,'[1]новый без картинок'!$A$5:$F$2672,6,0)</f>
        <v>1201</v>
      </c>
    </row>
    <row r="327" spans="1:14" ht="163.9" customHeight="1" x14ac:dyDescent="0.2">
      <c r="A327" s="3">
        <v>325</v>
      </c>
      <c r="B327" s="3">
        <v>189746</v>
      </c>
      <c r="C327" s="4" t="str">
        <f>HYPERLINK("http://optservis.net:5080/photo?tov_code_internet=189746","Увеличить")</f>
        <v>Увеличить</v>
      </c>
      <c r="D327" s="3" t="s">
        <v>868</v>
      </c>
      <c r="E327" s="3"/>
      <c r="F327" s="3" t="s">
        <v>869</v>
      </c>
      <c r="G327" s="3" t="s">
        <v>806</v>
      </c>
      <c r="H327" s="3">
        <v>0.25</v>
      </c>
      <c r="I327" s="3">
        <v>0</v>
      </c>
      <c r="J327" s="3" t="s">
        <v>781</v>
      </c>
      <c r="K327" s="5">
        <v>0.19</v>
      </c>
      <c r="L327" s="6">
        <v>0</v>
      </c>
      <c r="M327" s="7" t="s">
        <v>870</v>
      </c>
      <c r="N327" s="8">
        <f>VLOOKUP(B327,'[1]новый без картинок'!$A$5:$F$2672,6,0)</f>
        <v>1223</v>
      </c>
    </row>
    <row r="328" spans="1:14" ht="163.9" customHeight="1" x14ac:dyDescent="0.2">
      <c r="A328" s="3">
        <v>326</v>
      </c>
      <c r="B328" s="3">
        <v>189757</v>
      </c>
      <c r="C328" s="4" t="str">
        <f>HYPERLINK("http://optservis.net:5080/photo?tov_code_internet=189757","Увеличить")</f>
        <v>Увеличить</v>
      </c>
      <c r="D328" s="3" t="s">
        <v>871</v>
      </c>
      <c r="E328" s="3"/>
      <c r="F328" s="3" t="s">
        <v>872</v>
      </c>
      <c r="G328" s="3" t="s">
        <v>806</v>
      </c>
      <c r="H328" s="3">
        <v>0.25</v>
      </c>
      <c r="I328" s="3">
        <v>0</v>
      </c>
      <c r="J328" s="3" t="s">
        <v>781</v>
      </c>
      <c r="K328" s="5">
        <v>0.15</v>
      </c>
      <c r="L328" s="6">
        <v>0</v>
      </c>
      <c r="M328" s="7" t="s">
        <v>873</v>
      </c>
      <c r="N328" s="8">
        <f>VLOOKUP(B328,'[1]новый без картинок'!$A$5:$F$2672,6,0)</f>
        <v>1695</v>
      </c>
    </row>
    <row r="329" spans="1:14" ht="163.9" customHeight="1" x14ac:dyDescent="0.2">
      <c r="A329" s="3">
        <v>327</v>
      </c>
      <c r="B329" s="3">
        <v>189766</v>
      </c>
      <c r="C329" s="4" t="str">
        <f>HYPERLINK("http://optservis.net:5080/photo?tov_code_internet=189766","Увеличить")</f>
        <v>Увеличить</v>
      </c>
      <c r="D329" s="3" t="s">
        <v>874</v>
      </c>
      <c r="E329" s="3"/>
      <c r="F329" s="3" t="s">
        <v>875</v>
      </c>
      <c r="G329" s="3" t="s">
        <v>806</v>
      </c>
      <c r="H329" s="3">
        <v>0.25</v>
      </c>
      <c r="I329" s="3">
        <v>0</v>
      </c>
      <c r="J329" s="3" t="s">
        <v>781</v>
      </c>
      <c r="K329" s="5">
        <v>0.09</v>
      </c>
      <c r="L329" s="6">
        <v>0</v>
      </c>
      <c r="M329" s="7" t="s">
        <v>876</v>
      </c>
      <c r="N329" s="8">
        <f>VLOOKUP(B329,'[1]новый без картинок'!$A$5:$F$2672,6,0)</f>
        <v>1227</v>
      </c>
    </row>
    <row r="330" spans="1:14" ht="163.9" customHeight="1" x14ac:dyDescent="0.2">
      <c r="A330" s="3">
        <v>328</v>
      </c>
      <c r="B330" s="3">
        <v>189760</v>
      </c>
      <c r="C330" s="4" t="str">
        <f>HYPERLINK("http://optservis.net:5080/photo?tov_code_internet=189760","Увеличить")</f>
        <v>Увеличить</v>
      </c>
      <c r="D330" s="3" t="s">
        <v>877</v>
      </c>
      <c r="E330" s="3"/>
      <c r="F330" s="3" t="s">
        <v>878</v>
      </c>
      <c r="G330" s="3" t="s">
        <v>806</v>
      </c>
      <c r="H330" s="3">
        <v>0.25</v>
      </c>
      <c r="I330" s="3">
        <v>0</v>
      </c>
      <c r="J330" s="3" t="s">
        <v>781</v>
      </c>
      <c r="K330" s="5">
        <v>0.1</v>
      </c>
      <c r="L330" s="6">
        <v>0</v>
      </c>
      <c r="M330" s="7" t="s">
        <v>879</v>
      </c>
      <c r="N330" s="8">
        <f>VLOOKUP(B330,'[1]новый без картинок'!$A$5:$F$2672,6,0)</f>
        <v>1221</v>
      </c>
    </row>
    <row r="331" spans="1:14" ht="163.9" customHeight="1" x14ac:dyDescent="0.2">
      <c r="A331" s="3">
        <v>329</v>
      </c>
      <c r="B331" s="3">
        <v>191387</v>
      </c>
      <c r="C331" s="4" t="str">
        <f>HYPERLINK("http://optservis.net:5080/photo?tov_code_internet=191387","Увеличить")</f>
        <v>Увеличить</v>
      </c>
      <c r="D331" s="3" t="s">
        <v>880</v>
      </c>
      <c r="E331" s="3"/>
      <c r="F331" s="3" t="s">
        <v>881</v>
      </c>
      <c r="G331" s="3" t="s">
        <v>806</v>
      </c>
      <c r="H331" s="3">
        <v>1</v>
      </c>
      <c r="I331" s="3">
        <v>1</v>
      </c>
      <c r="J331" s="3" t="s">
        <v>781</v>
      </c>
      <c r="K331" s="5">
        <v>0.66</v>
      </c>
      <c r="L331" s="6">
        <v>0</v>
      </c>
      <c r="M331" s="7" t="s">
        <v>882</v>
      </c>
      <c r="N331" s="8">
        <f>VLOOKUP(B331,'[1]новый без картинок'!$A$5:$F$2672,6,0)</f>
        <v>1193</v>
      </c>
    </row>
    <row r="332" spans="1:14" ht="163.9" customHeight="1" x14ac:dyDescent="0.2">
      <c r="A332" s="3">
        <v>330</v>
      </c>
      <c r="B332" s="3">
        <v>191388</v>
      </c>
      <c r="C332" s="4" t="str">
        <f>HYPERLINK("http://optservis.net:5080/photo?tov_code_internet=191388","Увеличить")</f>
        <v>Увеличить</v>
      </c>
      <c r="D332" s="3" t="s">
        <v>883</v>
      </c>
      <c r="E332" s="3"/>
      <c r="F332" s="3" t="s">
        <v>884</v>
      </c>
      <c r="G332" s="3" t="s">
        <v>806</v>
      </c>
      <c r="H332" s="3">
        <v>1</v>
      </c>
      <c r="I332" s="3">
        <v>1</v>
      </c>
      <c r="J332" s="3" t="s">
        <v>781</v>
      </c>
      <c r="K332" s="5">
        <v>0.94</v>
      </c>
      <c r="L332" s="6">
        <v>0</v>
      </c>
      <c r="M332" s="7" t="s">
        <v>885</v>
      </c>
      <c r="N332" s="8">
        <f>VLOOKUP(B332,'[1]новый без картинок'!$A$5:$F$2672,6,0)</f>
        <v>1680</v>
      </c>
    </row>
    <row r="333" spans="1:14" ht="163.9" customHeight="1" x14ac:dyDescent="0.2">
      <c r="A333" s="3">
        <v>331</v>
      </c>
      <c r="B333" s="3">
        <v>191389</v>
      </c>
      <c r="C333" s="4" t="str">
        <f>HYPERLINK("http://optservis.net:5080/photo?tov_code_internet=191389","Увеличить")</f>
        <v>Увеличить</v>
      </c>
      <c r="D333" s="3" t="s">
        <v>886</v>
      </c>
      <c r="E333" s="3"/>
      <c r="F333" s="3" t="s">
        <v>887</v>
      </c>
      <c r="G333" s="3" t="s">
        <v>806</v>
      </c>
      <c r="H333" s="3">
        <v>1</v>
      </c>
      <c r="I333" s="3">
        <v>1</v>
      </c>
      <c r="J333" s="3" t="s">
        <v>781</v>
      </c>
      <c r="K333" s="5">
        <v>0.53</v>
      </c>
      <c r="L333" s="6">
        <v>0</v>
      </c>
      <c r="M333" s="7" t="s">
        <v>888</v>
      </c>
      <c r="N333" s="8">
        <f>VLOOKUP(B333,'[1]новый без картинок'!$A$5:$F$2672,6,0)</f>
        <v>993</v>
      </c>
    </row>
    <row r="334" spans="1:14" ht="157.5" customHeight="1" x14ac:dyDescent="0.2">
      <c r="A334" s="3">
        <v>332</v>
      </c>
      <c r="B334" s="3">
        <v>192005</v>
      </c>
      <c r="C334" s="4" t="str">
        <f>HYPERLINK("http://optservis.net:5080/photo?tov_code_internet=192005","Увеличить")</f>
        <v>Увеличить</v>
      </c>
      <c r="D334" s="3" t="s">
        <v>889</v>
      </c>
      <c r="E334" s="3"/>
      <c r="F334" s="3" t="s">
        <v>890</v>
      </c>
      <c r="G334" s="3" t="s">
        <v>792</v>
      </c>
      <c r="H334" s="3">
        <v>1</v>
      </c>
      <c r="I334" s="3">
        <v>1</v>
      </c>
      <c r="J334" s="3" t="s">
        <v>781</v>
      </c>
      <c r="K334" s="5">
        <v>0.28000000000000003</v>
      </c>
      <c r="L334" s="6">
        <v>0</v>
      </c>
      <c r="M334" s="7" t="s">
        <v>891</v>
      </c>
      <c r="N334" s="8">
        <f>VLOOKUP(B334,'[1]новый без картинок'!$A$5:$F$2672,6,0)</f>
        <v>1036</v>
      </c>
    </row>
    <row r="335" spans="1:14" ht="157.5" customHeight="1" x14ac:dyDescent="0.2">
      <c r="A335" s="3">
        <v>333</v>
      </c>
      <c r="B335" s="3">
        <v>192008</v>
      </c>
      <c r="C335" s="4" t="str">
        <f>HYPERLINK("http://optservis.net:5080/photo?tov_code_internet=192008","Увеличить")</f>
        <v>Увеличить</v>
      </c>
      <c r="D335" s="3" t="s">
        <v>892</v>
      </c>
      <c r="E335" s="3"/>
      <c r="F335" s="3" t="s">
        <v>893</v>
      </c>
      <c r="G335" s="3" t="s">
        <v>806</v>
      </c>
      <c r="H335" s="3">
        <v>0.25</v>
      </c>
      <c r="I335" s="3">
        <v>0</v>
      </c>
      <c r="J335" s="3" t="s">
        <v>781</v>
      </c>
      <c r="K335" s="5">
        <v>0.14000000000000001</v>
      </c>
      <c r="L335" s="6">
        <v>0</v>
      </c>
      <c r="M335" s="7" t="s">
        <v>894</v>
      </c>
      <c r="N335" s="8">
        <f>VLOOKUP(B335,'[1]новый без картинок'!$A$5:$F$2672,6,0)</f>
        <v>1370</v>
      </c>
    </row>
    <row r="336" spans="1:14" ht="153" customHeight="1" x14ac:dyDescent="0.2">
      <c r="A336" s="3">
        <v>334</v>
      </c>
      <c r="B336" s="3">
        <v>192916</v>
      </c>
      <c r="C336" s="4" t="str">
        <f>HYPERLINK("http://optservis.net:5080/photo?tov_code_internet=192916","Увеличить")</f>
        <v>Увеличить</v>
      </c>
      <c r="D336" s="3" t="s">
        <v>895</v>
      </c>
      <c r="E336" s="3"/>
      <c r="F336" s="3" t="s">
        <v>896</v>
      </c>
      <c r="G336" s="3" t="s">
        <v>897</v>
      </c>
      <c r="H336" s="3">
        <v>0.25</v>
      </c>
      <c r="I336" s="3">
        <v>0</v>
      </c>
      <c r="J336" s="3" t="s">
        <v>781</v>
      </c>
      <c r="K336" s="5">
        <v>0.22</v>
      </c>
      <c r="L336" s="6">
        <v>0</v>
      </c>
      <c r="M336" s="7" t="s">
        <v>898</v>
      </c>
      <c r="N336" s="8">
        <f>VLOOKUP(B336,'[1]новый без картинок'!$A$5:$F$2672,6,0)</f>
        <v>1375</v>
      </c>
    </row>
    <row r="337" spans="1:14" ht="153" customHeight="1" x14ac:dyDescent="0.2">
      <c r="A337" s="3">
        <v>335</v>
      </c>
      <c r="B337" s="3">
        <v>192933</v>
      </c>
      <c r="C337" s="4" t="str">
        <f>HYPERLINK("http://optservis.net:5080/photo?tov_code_internet=192933","Увеличить")</f>
        <v>Увеличить</v>
      </c>
      <c r="D337" s="3" t="s">
        <v>899</v>
      </c>
      <c r="E337" s="3"/>
      <c r="F337" s="3" t="s">
        <v>900</v>
      </c>
      <c r="G337" s="3" t="s">
        <v>897</v>
      </c>
      <c r="H337" s="3">
        <v>0.25</v>
      </c>
      <c r="I337" s="3">
        <v>0</v>
      </c>
      <c r="J337" s="3" t="s">
        <v>781</v>
      </c>
      <c r="K337" s="5">
        <v>0.19</v>
      </c>
      <c r="L337" s="6">
        <v>0</v>
      </c>
      <c r="M337" s="7" t="s">
        <v>901</v>
      </c>
      <c r="N337" s="8">
        <f>VLOOKUP(B337,'[1]новый без картинок'!$A$5:$F$2672,6,0)</f>
        <v>1178</v>
      </c>
    </row>
    <row r="338" spans="1:14" ht="153" customHeight="1" x14ac:dyDescent="0.2">
      <c r="A338" s="3">
        <v>336</v>
      </c>
      <c r="B338" s="3">
        <v>192934</v>
      </c>
      <c r="C338" s="4" t="str">
        <f>HYPERLINK("http://optservis.net:5080/photo?tov_code_internet=192934","Увеличить")</f>
        <v>Увеличить</v>
      </c>
      <c r="D338" s="3" t="s">
        <v>902</v>
      </c>
      <c r="E338" s="3"/>
      <c r="F338" s="3" t="s">
        <v>853</v>
      </c>
      <c r="G338" s="3" t="s">
        <v>373</v>
      </c>
      <c r="H338" s="3">
        <v>0.25</v>
      </c>
      <c r="I338" s="3">
        <v>0</v>
      </c>
      <c r="J338" s="3" t="s">
        <v>781</v>
      </c>
      <c r="K338" s="5">
        <v>0.18</v>
      </c>
      <c r="L338" s="6">
        <v>0</v>
      </c>
      <c r="M338" s="7" t="s">
        <v>903</v>
      </c>
      <c r="N338" s="8">
        <f>VLOOKUP(B338,'[1]новый без картинок'!$A$5:$F$2672,6,0)</f>
        <v>1112</v>
      </c>
    </row>
    <row r="339" spans="1:14" ht="153" customHeight="1" x14ac:dyDescent="0.2">
      <c r="A339" s="3">
        <v>337</v>
      </c>
      <c r="B339" s="3">
        <v>192935</v>
      </c>
      <c r="C339" s="4" t="str">
        <f>HYPERLINK("http://optservis.net:5080/photo?tov_code_internet=192935","Увеличить")</f>
        <v>Увеличить</v>
      </c>
      <c r="D339" s="3" t="s">
        <v>904</v>
      </c>
      <c r="E339" s="3"/>
      <c r="F339" s="3" t="s">
        <v>280</v>
      </c>
      <c r="G339" s="3" t="s">
        <v>373</v>
      </c>
      <c r="H339" s="3">
        <v>0.25</v>
      </c>
      <c r="I339" s="3">
        <v>0</v>
      </c>
      <c r="J339" s="3" t="s">
        <v>781</v>
      </c>
      <c r="K339" s="5">
        <v>0.18</v>
      </c>
      <c r="L339" s="6">
        <v>0</v>
      </c>
      <c r="M339" s="7" t="s">
        <v>905</v>
      </c>
      <c r="N339" s="8">
        <f>VLOOKUP(B339,'[1]новый без картинок'!$A$5:$F$2672,6,0)</f>
        <v>1180</v>
      </c>
    </row>
    <row r="340" spans="1:14" ht="153" customHeight="1" x14ac:dyDescent="0.2">
      <c r="A340" s="3">
        <v>338</v>
      </c>
      <c r="B340" s="3">
        <v>192937</v>
      </c>
      <c r="C340" s="4" t="str">
        <f>HYPERLINK("http://optservis.net:5080/photo?tov_code_internet=192937","Увеличить")</f>
        <v>Увеличить</v>
      </c>
      <c r="D340" s="3" t="s">
        <v>906</v>
      </c>
      <c r="E340" s="3"/>
      <c r="F340" s="3" t="s">
        <v>165</v>
      </c>
      <c r="G340" s="3" t="s">
        <v>373</v>
      </c>
      <c r="H340" s="3">
        <v>0.25</v>
      </c>
      <c r="I340" s="3">
        <v>0</v>
      </c>
      <c r="J340" s="3" t="s">
        <v>781</v>
      </c>
      <c r="K340" s="5">
        <v>0.18</v>
      </c>
      <c r="L340" s="6">
        <v>0</v>
      </c>
      <c r="M340" s="7" t="s">
        <v>903</v>
      </c>
      <c r="N340" s="8">
        <f>VLOOKUP(B340,'[1]новый без картинок'!$A$5:$F$2672,6,0)</f>
        <v>1112</v>
      </c>
    </row>
    <row r="341" spans="1:14" ht="153" customHeight="1" x14ac:dyDescent="0.2">
      <c r="A341" s="3">
        <v>339</v>
      </c>
      <c r="B341" s="3">
        <v>192966</v>
      </c>
      <c r="C341" s="4" t="str">
        <f>HYPERLINK("http://optservis.net:5080/photo?tov_code_internet=192966","Увеличить")</f>
        <v>Увеличить</v>
      </c>
      <c r="D341" s="3" t="s">
        <v>907</v>
      </c>
      <c r="E341" s="3"/>
      <c r="F341" s="3" t="s">
        <v>908</v>
      </c>
      <c r="G341" s="3" t="s">
        <v>897</v>
      </c>
      <c r="H341" s="3">
        <v>0.25</v>
      </c>
      <c r="I341" s="3">
        <v>0</v>
      </c>
      <c r="J341" s="3" t="s">
        <v>781</v>
      </c>
      <c r="K341" s="5">
        <v>0.2</v>
      </c>
      <c r="L341" s="6">
        <v>0</v>
      </c>
      <c r="M341" s="7" t="s">
        <v>909</v>
      </c>
      <c r="N341" s="8">
        <f>VLOOKUP(B341,'[1]новый без картинок'!$A$5:$F$2672,6,0)</f>
        <v>1561</v>
      </c>
    </row>
    <row r="342" spans="1:14" ht="153" customHeight="1" x14ac:dyDescent="0.2">
      <c r="A342" s="3">
        <v>340</v>
      </c>
      <c r="B342" s="3">
        <v>192980</v>
      </c>
      <c r="C342" s="4" t="str">
        <f>HYPERLINK("http://optservis.net:5080/photo?tov_code_internet=192980","Увеличить")</f>
        <v>Увеличить</v>
      </c>
      <c r="D342" s="3" t="s">
        <v>910</v>
      </c>
      <c r="E342" s="3"/>
      <c r="F342" s="3" t="s">
        <v>911</v>
      </c>
      <c r="G342" s="3" t="s">
        <v>897</v>
      </c>
      <c r="H342" s="3">
        <v>0.25</v>
      </c>
      <c r="I342" s="3">
        <v>0</v>
      </c>
      <c r="J342" s="3" t="s">
        <v>781</v>
      </c>
      <c r="K342" s="5">
        <v>0.19</v>
      </c>
      <c r="L342" s="6">
        <v>0</v>
      </c>
      <c r="M342" s="7" t="s">
        <v>912</v>
      </c>
      <c r="N342" s="8">
        <f>VLOOKUP(B342,'[1]новый без картинок'!$A$5:$F$2672,6,0)</f>
        <v>1291</v>
      </c>
    </row>
    <row r="343" spans="1:14" ht="163.9" customHeight="1" x14ac:dyDescent="0.2">
      <c r="A343" s="3">
        <v>341</v>
      </c>
      <c r="B343" s="3">
        <v>192983</v>
      </c>
      <c r="C343" s="4" t="str">
        <f>HYPERLINK("http://optservis.net:5080/photo?tov_code_internet=192983","Увеличить")</f>
        <v>Увеличить</v>
      </c>
      <c r="D343" s="3" t="s">
        <v>913</v>
      </c>
      <c r="E343" s="3"/>
      <c r="F343" s="3" t="s">
        <v>914</v>
      </c>
      <c r="G343" s="3" t="s">
        <v>788</v>
      </c>
      <c r="H343" s="3">
        <v>0.25</v>
      </c>
      <c r="I343" s="3">
        <v>0</v>
      </c>
      <c r="J343" s="3" t="s">
        <v>781</v>
      </c>
      <c r="K343" s="5">
        <v>0.22</v>
      </c>
      <c r="L343" s="6">
        <v>0</v>
      </c>
      <c r="M343" s="7" t="s">
        <v>915</v>
      </c>
      <c r="N343" s="8">
        <f>VLOOKUP(B343,'[1]новый без картинок'!$A$5:$F$2672,6,0)</f>
        <v>1066</v>
      </c>
    </row>
    <row r="344" spans="1:14" ht="163.9" customHeight="1" x14ac:dyDescent="0.2">
      <c r="A344" s="3">
        <v>342</v>
      </c>
      <c r="B344" s="3">
        <v>192987</v>
      </c>
      <c r="C344" s="4" t="str">
        <f>HYPERLINK("http://optservis.net:5080/photo?tov_code_internet=192987","Увеличить")</f>
        <v>Увеличить</v>
      </c>
      <c r="D344" s="3" t="s">
        <v>916</v>
      </c>
      <c r="E344" s="3"/>
      <c r="F344" s="3" t="s">
        <v>917</v>
      </c>
      <c r="G344" s="3" t="s">
        <v>788</v>
      </c>
      <c r="H344" s="3">
        <v>0.25</v>
      </c>
      <c r="I344" s="3">
        <v>0</v>
      </c>
      <c r="J344" s="3" t="s">
        <v>781</v>
      </c>
      <c r="K344" s="5">
        <v>0.22</v>
      </c>
      <c r="L344" s="6">
        <v>0</v>
      </c>
      <c r="M344" s="7" t="s">
        <v>918</v>
      </c>
      <c r="N344" s="8">
        <f>VLOOKUP(B344,'[1]новый без картинок'!$A$5:$F$2672,6,0)</f>
        <v>1100</v>
      </c>
    </row>
    <row r="345" spans="1:14" ht="151.15" customHeight="1" x14ac:dyDescent="0.2">
      <c r="A345" s="3">
        <v>343</v>
      </c>
      <c r="B345" s="3">
        <v>193560</v>
      </c>
      <c r="C345" s="4" t="str">
        <f>HYPERLINK("http://optservis.net:5080/photo?tov_code_internet=193560","Увеличить")</f>
        <v>Увеличить</v>
      </c>
      <c r="D345" s="3" t="s">
        <v>919</v>
      </c>
      <c r="E345" s="3"/>
      <c r="F345" s="3" t="s">
        <v>920</v>
      </c>
      <c r="G345" s="3" t="s">
        <v>921</v>
      </c>
      <c r="H345" s="3">
        <v>0.25</v>
      </c>
      <c r="I345" s="3">
        <v>0</v>
      </c>
      <c r="J345" s="3" t="s">
        <v>781</v>
      </c>
      <c r="K345" s="5">
        <v>0.15</v>
      </c>
      <c r="L345" s="6">
        <v>0</v>
      </c>
      <c r="M345" s="7" t="s">
        <v>922</v>
      </c>
      <c r="N345" s="8">
        <f>VLOOKUP(B345,'[1]новый без картинок'!$A$5:$F$2672,6,0)</f>
        <v>1078</v>
      </c>
    </row>
    <row r="346" spans="1:14" ht="151.15" customHeight="1" x14ac:dyDescent="0.2">
      <c r="A346" s="3">
        <v>344</v>
      </c>
      <c r="B346" s="3">
        <v>193561</v>
      </c>
      <c r="C346" s="4" t="str">
        <f>HYPERLINK("http://optservis.net:5080/photo?tov_code_internet=193561","Увеличить")</f>
        <v>Увеличить</v>
      </c>
      <c r="D346" s="3" t="s">
        <v>923</v>
      </c>
      <c r="E346" s="3"/>
      <c r="F346" s="3" t="s">
        <v>924</v>
      </c>
      <c r="G346" s="3" t="s">
        <v>925</v>
      </c>
      <c r="H346" s="3">
        <v>0.25</v>
      </c>
      <c r="I346" s="3">
        <v>0</v>
      </c>
      <c r="J346" s="3" t="s">
        <v>781</v>
      </c>
      <c r="K346" s="5">
        <v>0.15</v>
      </c>
      <c r="L346" s="6">
        <v>0</v>
      </c>
      <c r="M346" s="7" t="s">
        <v>926</v>
      </c>
      <c r="N346" s="8">
        <f>VLOOKUP(B346,'[1]новый без картинок'!$A$5:$F$2672,6,0)</f>
        <v>1084</v>
      </c>
    </row>
    <row r="347" spans="1:14" ht="149.44999999999999" customHeight="1" x14ac:dyDescent="0.2">
      <c r="A347" s="3">
        <v>345</v>
      </c>
      <c r="B347" s="3">
        <v>193815</v>
      </c>
      <c r="C347" s="4" t="str">
        <f>HYPERLINK("http://optservis.net:5080/photo?tov_code_internet=193815","Увеличить")</f>
        <v>Увеличить</v>
      </c>
      <c r="D347" s="3" t="s">
        <v>927</v>
      </c>
      <c r="E347" s="3"/>
      <c r="F347" s="3" t="s">
        <v>928</v>
      </c>
      <c r="G347" s="3" t="s">
        <v>929</v>
      </c>
      <c r="H347" s="3">
        <v>0.25</v>
      </c>
      <c r="I347" s="3">
        <v>0</v>
      </c>
      <c r="J347" s="3" t="s">
        <v>781</v>
      </c>
      <c r="K347" s="5">
        <v>0.08</v>
      </c>
      <c r="L347" s="6">
        <v>0</v>
      </c>
      <c r="M347" s="7" t="s">
        <v>930</v>
      </c>
      <c r="N347" s="8">
        <f>VLOOKUP(B347,'[1]новый без картинок'!$A$5:$F$2672,6,0)</f>
        <v>815</v>
      </c>
    </row>
    <row r="348" spans="1:14" ht="149.44999999999999" customHeight="1" x14ac:dyDescent="0.2">
      <c r="A348" s="3">
        <v>346</v>
      </c>
      <c r="B348" s="3">
        <v>193822</v>
      </c>
      <c r="C348" s="4" t="str">
        <f>HYPERLINK("http://optservis.net:5080/photo?tov_code_internet=193822","Увеличить")</f>
        <v>Увеличить</v>
      </c>
      <c r="D348" s="3" t="s">
        <v>931</v>
      </c>
      <c r="E348" s="3"/>
      <c r="F348" s="3" t="s">
        <v>932</v>
      </c>
      <c r="G348" s="3" t="s">
        <v>933</v>
      </c>
      <c r="H348" s="3">
        <v>0.25</v>
      </c>
      <c r="I348" s="3">
        <v>0</v>
      </c>
      <c r="J348" s="3" t="s">
        <v>781</v>
      </c>
      <c r="K348" s="5">
        <v>0.08</v>
      </c>
      <c r="L348" s="6">
        <v>0</v>
      </c>
      <c r="M348" s="7" t="s">
        <v>934</v>
      </c>
      <c r="N348" s="8">
        <f>VLOOKUP(B348,'[1]новый без картинок'!$A$5:$F$2672,6,0)</f>
        <v>914</v>
      </c>
    </row>
    <row r="349" spans="1:14" ht="149.44999999999999" customHeight="1" x14ac:dyDescent="0.2">
      <c r="A349" s="3">
        <v>347</v>
      </c>
      <c r="B349" s="3">
        <v>193823</v>
      </c>
      <c r="C349" s="4" t="str">
        <f>HYPERLINK("http://optservis.net:5080/photo?tov_code_internet=193823","Увеличить")</f>
        <v>Увеличить</v>
      </c>
      <c r="D349" s="3" t="s">
        <v>935</v>
      </c>
      <c r="E349" s="3"/>
      <c r="F349" s="3" t="s">
        <v>936</v>
      </c>
      <c r="G349" s="3" t="s">
        <v>933</v>
      </c>
      <c r="H349" s="3">
        <v>0.25</v>
      </c>
      <c r="I349" s="3">
        <v>0</v>
      </c>
      <c r="J349" s="3" t="s">
        <v>781</v>
      </c>
      <c r="K349" s="5">
        <v>0.1</v>
      </c>
      <c r="L349" s="6">
        <v>0</v>
      </c>
      <c r="M349" s="7" t="s">
        <v>937</v>
      </c>
      <c r="N349" s="8">
        <f>VLOOKUP(B349,'[1]новый без картинок'!$A$5:$F$2672,6,0)</f>
        <v>1071</v>
      </c>
    </row>
    <row r="350" spans="1:14" ht="163.9" customHeight="1" x14ac:dyDescent="0.2">
      <c r="A350" s="3">
        <v>348</v>
      </c>
      <c r="B350" s="3">
        <v>194015</v>
      </c>
      <c r="C350" s="4" t="str">
        <f>HYPERLINK("http://optservis.net:5080/photo?tov_code_internet=194015","Увеличить")</f>
        <v>Увеличить</v>
      </c>
      <c r="D350" s="3" t="s">
        <v>938</v>
      </c>
      <c r="E350" s="3"/>
      <c r="F350" s="3" t="s">
        <v>939</v>
      </c>
      <c r="G350" s="3" t="s">
        <v>940</v>
      </c>
      <c r="H350" s="3">
        <v>0.25</v>
      </c>
      <c r="I350" s="3">
        <v>0</v>
      </c>
      <c r="J350" s="3" t="s">
        <v>781</v>
      </c>
      <c r="K350" s="5">
        <v>0.16</v>
      </c>
      <c r="L350" s="6">
        <v>0</v>
      </c>
      <c r="M350" s="7" t="s">
        <v>941</v>
      </c>
      <c r="N350" s="8">
        <f>VLOOKUP(B350,'[1]новый без картинок'!$A$5:$F$2672,6,0)</f>
        <v>1541</v>
      </c>
    </row>
    <row r="351" spans="1:14" ht="163.9" customHeight="1" x14ac:dyDescent="0.2">
      <c r="A351" s="3">
        <v>349</v>
      </c>
      <c r="B351" s="3">
        <v>195361</v>
      </c>
      <c r="C351" s="4" t="str">
        <f>HYPERLINK("http://optservis.net:5080/photo?tov_code_internet=195361","Увеличить")</f>
        <v>Увеличить</v>
      </c>
      <c r="D351" s="3" t="s">
        <v>942</v>
      </c>
      <c r="E351" s="3"/>
      <c r="F351" s="3" t="s">
        <v>943</v>
      </c>
      <c r="G351" s="3" t="s">
        <v>944</v>
      </c>
      <c r="H351" s="3">
        <v>1</v>
      </c>
      <c r="I351" s="3">
        <v>1</v>
      </c>
      <c r="J351" s="3" t="s">
        <v>781</v>
      </c>
      <c r="K351" s="5">
        <v>0.56999999999999995</v>
      </c>
      <c r="L351" s="6">
        <v>0</v>
      </c>
      <c r="M351" s="7" t="s">
        <v>945</v>
      </c>
      <c r="N351" s="8">
        <f>VLOOKUP(B351,'[1]новый без картинок'!$A$5:$F$2672,6,0)</f>
        <v>1690</v>
      </c>
    </row>
    <row r="352" spans="1:14" ht="163.9" customHeight="1" x14ac:dyDescent="0.2">
      <c r="A352" s="3">
        <v>350</v>
      </c>
      <c r="B352" s="3">
        <v>195362</v>
      </c>
      <c r="C352" s="4" t="str">
        <f>HYPERLINK("http://optservis.net:5080/photo?tov_code_internet=195362","Увеличить")</f>
        <v>Увеличить</v>
      </c>
      <c r="D352" s="3" t="s">
        <v>946</v>
      </c>
      <c r="E352" s="3"/>
      <c r="F352" s="3" t="s">
        <v>947</v>
      </c>
      <c r="G352" s="3" t="s">
        <v>944</v>
      </c>
      <c r="H352" s="3">
        <v>1</v>
      </c>
      <c r="I352" s="3">
        <v>1</v>
      </c>
      <c r="J352" s="3" t="s">
        <v>781</v>
      </c>
      <c r="K352" s="5">
        <v>0.56999999999999995</v>
      </c>
      <c r="L352" s="6">
        <v>0</v>
      </c>
      <c r="M352" s="7" t="s">
        <v>948</v>
      </c>
      <c r="N352" s="8">
        <f>VLOOKUP(B352,'[1]новый без картинок'!$A$5:$F$2672,6,0)</f>
        <v>1405</v>
      </c>
    </row>
    <row r="353" spans="1:14" ht="163.9" customHeight="1" x14ac:dyDescent="0.2">
      <c r="A353" s="3">
        <v>351</v>
      </c>
      <c r="B353" s="3">
        <v>195363</v>
      </c>
      <c r="C353" s="4" t="str">
        <f>HYPERLINK("http://optservis.net:5080/photo?tov_code_internet=195363","Увеличить")</f>
        <v>Увеличить</v>
      </c>
      <c r="D353" s="3" t="s">
        <v>949</v>
      </c>
      <c r="E353" s="3"/>
      <c r="F353" s="3" t="s">
        <v>950</v>
      </c>
      <c r="G353" s="3" t="s">
        <v>951</v>
      </c>
      <c r="H353" s="3">
        <v>1</v>
      </c>
      <c r="I353" s="3">
        <v>1</v>
      </c>
      <c r="J353" s="3" t="s">
        <v>781</v>
      </c>
      <c r="K353" s="5">
        <v>0.43</v>
      </c>
      <c r="L353" s="6">
        <v>0</v>
      </c>
      <c r="M353" s="7" t="s">
        <v>952</v>
      </c>
      <c r="N353" s="8">
        <f>VLOOKUP(B353,'[1]новый без картинок'!$A$5:$F$2672,6,0)</f>
        <v>2155</v>
      </c>
    </row>
    <row r="354" spans="1:14" ht="163.9" customHeight="1" x14ac:dyDescent="0.2">
      <c r="A354" s="3">
        <v>352</v>
      </c>
      <c r="B354" s="3">
        <v>195364</v>
      </c>
      <c r="C354" s="4" t="str">
        <f>HYPERLINK("http://optservis.net:5080/photo?tov_code_internet=195364","Увеличить")</f>
        <v>Увеличить</v>
      </c>
      <c r="D354" s="3" t="s">
        <v>953</v>
      </c>
      <c r="E354" s="3"/>
      <c r="F354" s="3" t="s">
        <v>954</v>
      </c>
      <c r="G354" s="3" t="s">
        <v>955</v>
      </c>
      <c r="H354" s="3">
        <v>1</v>
      </c>
      <c r="I354" s="3">
        <v>1</v>
      </c>
      <c r="J354" s="3" t="s">
        <v>781</v>
      </c>
      <c r="K354" s="5">
        <v>0.38</v>
      </c>
      <c r="L354" s="6">
        <v>0</v>
      </c>
      <c r="M354" s="7" t="s">
        <v>956</v>
      </c>
      <c r="N354" s="8">
        <f>VLOOKUP(B354,'[1]новый без картинок'!$A$5:$F$2672,6,0)</f>
        <v>1868</v>
      </c>
    </row>
    <row r="355" spans="1:14" ht="163.9" customHeight="1" x14ac:dyDescent="0.2">
      <c r="A355" s="3">
        <v>353</v>
      </c>
      <c r="B355" s="3">
        <v>195667</v>
      </c>
      <c r="C355" s="4" t="str">
        <f>HYPERLINK("http://optservis.net:5080/photo?tov_code_internet=195667","Увеличить")</f>
        <v>Увеличить</v>
      </c>
      <c r="D355" s="3" t="s">
        <v>957</v>
      </c>
      <c r="E355" s="3"/>
      <c r="F355" s="3" t="s">
        <v>958</v>
      </c>
      <c r="G355" s="3" t="s">
        <v>959</v>
      </c>
      <c r="H355" s="3">
        <v>1</v>
      </c>
      <c r="I355" s="3">
        <v>1</v>
      </c>
      <c r="J355" s="3" t="s">
        <v>781</v>
      </c>
      <c r="K355" s="5">
        <v>0.38</v>
      </c>
      <c r="L355" s="6">
        <v>0</v>
      </c>
      <c r="M355" s="7" t="s">
        <v>960</v>
      </c>
      <c r="N355" s="8">
        <f>VLOOKUP(B355,'[1]новый без картинок'!$A$5:$F$2672,6,0)</f>
        <v>1499</v>
      </c>
    </row>
    <row r="356" spans="1:14" ht="149.44999999999999" customHeight="1" x14ac:dyDescent="0.2">
      <c r="A356" s="3">
        <v>354</v>
      </c>
      <c r="B356" s="3">
        <v>195758</v>
      </c>
      <c r="C356" s="4" t="str">
        <f>HYPERLINK("http://optservis.net:5080/photo?tov_code_internet=195758","Увеличить")</f>
        <v>Увеличить</v>
      </c>
      <c r="D356" s="3" t="s">
        <v>961</v>
      </c>
      <c r="E356" s="3"/>
      <c r="F356" s="3" t="s">
        <v>962</v>
      </c>
      <c r="G356" s="3" t="s">
        <v>963</v>
      </c>
      <c r="H356" s="3">
        <v>1</v>
      </c>
      <c r="I356" s="3">
        <v>1</v>
      </c>
      <c r="J356" s="3" t="s">
        <v>781</v>
      </c>
      <c r="K356" s="5">
        <v>0.31</v>
      </c>
      <c r="L356" s="6">
        <v>0</v>
      </c>
      <c r="M356" s="7" t="s">
        <v>964</v>
      </c>
      <c r="N356" s="8">
        <f>VLOOKUP(B356,'[1]новый без картинок'!$A$5:$F$2672,6,0)</f>
        <v>1062</v>
      </c>
    </row>
    <row r="357" spans="1:14" ht="153.94999999999999" customHeight="1" x14ac:dyDescent="0.2">
      <c r="A357" s="3">
        <v>355</v>
      </c>
      <c r="B357" s="3">
        <v>195759</v>
      </c>
      <c r="C357" s="4" t="str">
        <f>HYPERLINK("http://optservis.net:5080/photo?tov_code_internet=195759","Увеличить")</f>
        <v>Увеличить</v>
      </c>
      <c r="D357" s="3" t="s">
        <v>965</v>
      </c>
      <c r="E357" s="3"/>
      <c r="F357" s="3" t="s">
        <v>966</v>
      </c>
      <c r="G357" s="3" t="s">
        <v>963</v>
      </c>
      <c r="H357" s="3">
        <v>1</v>
      </c>
      <c r="I357" s="3">
        <v>1</v>
      </c>
      <c r="J357" s="3" t="s">
        <v>781</v>
      </c>
      <c r="K357" s="5">
        <v>0.36</v>
      </c>
      <c r="L357" s="6">
        <v>0</v>
      </c>
      <c r="M357" s="7" t="s">
        <v>967</v>
      </c>
      <c r="N357" s="8">
        <f>VLOOKUP(B357,'[1]новый без картинок'!$A$5:$F$2672,6,0)</f>
        <v>1121</v>
      </c>
    </row>
    <row r="358" spans="1:14" ht="149.44999999999999" customHeight="1" x14ac:dyDescent="0.2">
      <c r="A358" s="3">
        <v>356</v>
      </c>
      <c r="B358" s="3">
        <v>195760</v>
      </c>
      <c r="C358" s="4" t="str">
        <f>HYPERLINK("http://optservis.net:5080/photo?tov_code_internet=195760","Увеличить")</f>
        <v>Увеличить</v>
      </c>
      <c r="D358" s="3" t="s">
        <v>968</v>
      </c>
      <c r="E358" s="3"/>
      <c r="F358" s="3" t="s">
        <v>969</v>
      </c>
      <c r="G358" s="3" t="s">
        <v>970</v>
      </c>
      <c r="H358" s="3">
        <v>1</v>
      </c>
      <c r="I358" s="3">
        <v>1</v>
      </c>
      <c r="J358" s="3" t="s">
        <v>781</v>
      </c>
      <c r="K358" s="5">
        <v>0.43</v>
      </c>
      <c r="L358" s="6">
        <v>0</v>
      </c>
      <c r="M358" s="7" t="s">
        <v>971</v>
      </c>
      <c r="N358" s="8">
        <f>VLOOKUP(B358,'[1]новый без картинок'!$A$5:$F$2672,6,0)</f>
        <v>1234</v>
      </c>
    </row>
    <row r="359" spans="1:14" ht="153" customHeight="1" x14ac:dyDescent="0.2">
      <c r="A359" s="3">
        <v>357</v>
      </c>
      <c r="B359" s="3">
        <v>195762</v>
      </c>
      <c r="C359" s="4" t="str">
        <f>HYPERLINK("http://optservis.net:5080/photo?tov_code_internet=195762","Увеличить")</f>
        <v>Увеличить</v>
      </c>
      <c r="D359" s="3" t="s">
        <v>972</v>
      </c>
      <c r="E359" s="3"/>
      <c r="F359" s="3" t="s">
        <v>973</v>
      </c>
      <c r="G359" s="3" t="s">
        <v>974</v>
      </c>
      <c r="H359" s="3">
        <v>1</v>
      </c>
      <c r="I359" s="3">
        <v>1</v>
      </c>
      <c r="J359" s="3" t="s">
        <v>781</v>
      </c>
      <c r="K359" s="5">
        <v>0.23</v>
      </c>
      <c r="L359" s="6">
        <v>0</v>
      </c>
      <c r="M359" s="7" t="s">
        <v>975</v>
      </c>
      <c r="N359" s="8">
        <f>VLOOKUP(B359,'[1]новый без картинок'!$A$5:$F$2672,6,0)</f>
        <v>1492</v>
      </c>
    </row>
    <row r="360" spans="1:14" ht="149.44999999999999" customHeight="1" x14ac:dyDescent="0.2">
      <c r="A360" s="3">
        <v>358</v>
      </c>
      <c r="B360" s="3">
        <v>201427</v>
      </c>
      <c r="C360" s="4" t="str">
        <f>HYPERLINK("http://optservis.net:5080/photo?tov_code_internet=201427","Увеличить")</f>
        <v>Увеличить</v>
      </c>
      <c r="D360" s="3" t="s">
        <v>976</v>
      </c>
      <c r="E360" s="3"/>
      <c r="F360" s="3" t="s">
        <v>977</v>
      </c>
      <c r="G360" s="3" t="s">
        <v>978</v>
      </c>
      <c r="H360" s="3">
        <v>1</v>
      </c>
      <c r="I360" s="3">
        <v>1</v>
      </c>
      <c r="J360" s="3" t="s">
        <v>781</v>
      </c>
      <c r="K360" s="5">
        <v>0.31</v>
      </c>
      <c r="L360" s="6">
        <v>0</v>
      </c>
      <c r="M360" s="7" t="s">
        <v>979</v>
      </c>
      <c r="N360" s="8">
        <f>VLOOKUP(B360,'[1]новый без картинок'!$A$5:$F$2672,6,0)</f>
        <v>1647</v>
      </c>
    </row>
    <row r="361" spans="1:14" ht="149.44999999999999" customHeight="1" x14ac:dyDescent="0.2">
      <c r="A361" s="3">
        <v>359</v>
      </c>
      <c r="B361" s="3">
        <v>201428</v>
      </c>
      <c r="C361" s="4" t="str">
        <f>HYPERLINK("http://optservis.net:5080/photo?tov_code_internet=201428","Увеличить")</f>
        <v>Увеличить</v>
      </c>
      <c r="D361" s="3" t="s">
        <v>980</v>
      </c>
      <c r="E361" s="3"/>
      <c r="F361" s="3" t="s">
        <v>981</v>
      </c>
      <c r="G361" s="3" t="s">
        <v>982</v>
      </c>
      <c r="H361" s="3">
        <v>1</v>
      </c>
      <c r="I361" s="3">
        <v>1</v>
      </c>
      <c r="J361" s="3" t="s">
        <v>781</v>
      </c>
      <c r="K361" s="5">
        <v>0.18</v>
      </c>
      <c r="L361" s="6">
        <v>0</v>
      </c>
      <c r="M361" s="7" t="s">
        <v>983</v>
      </c>
      <c r="N361" s="8">
        <f>VLOOKUP(B361,'[1]новый без картинок'!$A$5:$F$2672,6,0)</f>
        <v>1096</v>
      </c>
    </row>
    <row r="362" spans="1:14" ht="149.44999999999999" customHeight="1" x14ac:dyDescent="0.2">
      <c r="A362" s="3">
        <v>360</v>
      </c>
      <c r="B362" s="3">
        <v>201429</v>
      </c>
      <c r="C362" s="4" t="str">
        <f>HYPERLINK("http://optservis.net:5080/photo?tov_code_internet=201429","Увеличить")</f>
        <v>Увеличить</v>
      </c>
      <c r="D362" s="3" t="s">
        <v>984</v>
      </c>
      <c r="E362" s="3"/>
      <c r="F362" s="3" t="s">
        <v>985</v>
      </c>
      <c r="G362" s="3" t="s">
        <v>986</v>
      </c>
      <c r="H362" s="3">
        <v>1</v>
      </c>
      <c r="I362" s="3">
        <v>1</v>
      </c>
      <c r="J362" s="3" t="s">
        <v>781</v>
      </c>
      <c r="K362" s="5">
        <v>0.51</v>
      </c>
      <c r="L362" s="6">
        <v>0</v>
      </c>
      <c r="M362" s="7" t="s">
        <v>987</v>
      </c>
      <c r="N362" s="8">
        <f>VLOOKUP(B362,'[1]новый без картинок'!$A$5:$F$2672,6,0)</f>
        <v>1208</v>
      </c>
    </row>
    <row r="363" spans="1:14" ht="149.44999999999999" customHeight="1" x14ac:dyDescent="0.2">
      <c r="A363" s="3">
        <v>361</v>
      </c>
      <c r="B363" s="3">
        <v>201430</v>
      </c>
      <c r="C363" s="4" t="str">
        <f>HYPERLINK("http://optservis.net:5080/photo?tov_code_internet=201430","Увеличить")</f>
        <v>Увеличить</v>
      </c>
      <c r="D363" s="3" t="s">
        <v>988</v>
      </c>
      <c r="E363" s="3"/>
      <c r="F363" s="3" t="s">
        <v>989</v>
      </c>
      <c r="G363" s="3" t="s">
        <v>990</v>
      </c>
      <c r="H363" s="3">
        <v>1</v>
      </c>
      <c r="I363" s="3">
        <v>1</v>
      </c>
      <c r="J363" s="3" t="s">
        <v>781</v>
      </c>
      <c r="K363" s="5">
        <v>0.53</v>
      </c>
      <c r="L363" s="6">
        <v>0</v>
      </c>
      <c r="M363" s="7" t="s">
        <v>991</v>
      </c>
      <c r="N363" s="8">
        <f>VLOOKUP(B363,'[1]новый без картинок'!$A$5:$F$2672,6,0)</f>
        <v>1078</v>
      </c>
    </row>
    <row r="364" spans="1:14" ht="157.5" customHeight="1" x14ac:dyDescent="0.2">
      <c r="A364" s="3">
        <v>362</v>
      </c>
      <c r="B364" s="3">
        <v>202983</v>
      </c>
      <c r="C364" s="4" t="str">
        <f>HYPERLINK("http://optservis.net:5080/photo?tov_code_internet=202983","Увеличить")</f>
        <v>Увеличить</v>
      </c>
      <c r="D364" s="3" t="s">
        <v>992</v>
      </c>
      <c r="E364" s="3"/>
      <c r="F364" s="3" t="s">
        <v>993</v>
      </c>
      <c r="G364" s="3" t="s">
        <v>994</v>
      </c>
      <c r="H364" s="3">
        <v>1</v>
      </c>
      <c r="I364" s="3">
        <v>1</v>
      </c>
      <c r="J364" s="3" t="s">
        <v>781</v>
      </c>
      <c r="K364" s="5">
        <v>0.51</v>
      </c>
      <c r="L364" s="6">
        <v>0</v>
      </c>
      <c r="M364" s="7" t="s">
        <v>995</v>
      </c>
      <c r="N364" s="8">
        <f>VLOOKUP(B364,'[1]новый без картинок'!$A$5:$F$2672,6,0)</f>
        <v>1962</v>
      </c>
    </row>
    <row r="365" spans="1:14" ht="163.9" customHeight="1" x14ac:dyDescent="0.2">
      <c r="A365" s="3">
        <v>363</v>
      </c>
      <c r="B365" s="3">
        <v>202984</v>
      </c>
      <c r="C365" s="4" t="str">
        <f>HYPERLINK("http://optservis.net:5080/photo?tov_code_internet=202984","Увеличить")</f>
        <v>Увеличить</v>
      </c>
      <c r="D365" s="3" t="s">
        <v>996</v>
      </c>
      <c r="E365" s="3"/>
      <c r="F365" s="3" t="s">
        <v>997</v>
      </c>
      <c r="G365" s="3" t="s">
        <v>986</v>
      </c>
      <c r="H365" s="3">
        <v>1</v>
      </c>
      <c r="I365" s="3">
        <v>1</v>
      </c>
      <c r="J365" s="3" t="s">
        <v>781</v>
      </c>
      <c r="K365" s="5">
        <v>1.01</v>
      </c>
      <c r="L365" s="6">
        <v>0</v>
      </c>
      <c r="M365" s="7" t="s">
        <v>998</v>
      </c>
      <c r="N365" s="8">
        <f>VLOOKUP(B365,'[1]новый без картинок'!$A$5:$F$2672,6,0)</f>
        <v>1954</v>
      </c>
    </row>
    <row r="366" spans="1:14" ht="157.5" customHeight="1" x14ac:dyDescent="0.2">
      <c r="A366" s="3">
        <v>364</v>
      </c>
      <c r="B366" s="3">
        <v>202985</v>
      </c>
      <c r="C366" s="4" t="str">
        <f>HYPERLINK("http://optservis.net:5080/photo?tov_code_internet=202985","Увеличить")</f>
        <v>Увеличить</v>
      </c>
      <c r="D366" s="3" t="s">
        <v>999</v>
      </c>
      <c r="E366" s="3"/>
      <c r="F366" s="3" t="s">
        <v>1000</v>
      </c>
      <c r="G366" s="3" t="s">
        <v>1001</v>
      </c>
      <c r="H366" s="3">
        <v>1</v>
      </c>
      <c r="I366" s="3">
        <v>1</v>
      </c>
      <c r="J366" s="3" t="s">
        <v>781</v>
      </c>
      <c r="K366" s="5">
        <v>0.91</v>
      </c>
      <c r="L366" s="6">
        <v>0</v>
      </c>
      <c r="M366" s="7" t="s">
        <v>1002</v>
      </c>
      <c r="N366" s="8">
        <f>VLOOKUP(B366,'[1]новый без картинок'!$A$5:$F$2672,6,0)</f>
        <v>1138</v>
      </c>
    </row>
    <row r="367" spans="1:14" ht="163.9" customHeight="1" x14ac:dyDescent="0.2">
      <c r="A367" s="3">
        <v>365</v>
      </c>
      <c r="B367" s="3">
        <v>204183</v>
      </c>
      <c r="C367" s="4" t="str">
        <f>HYPERLINK("http://optservis.net:5080/photo?tov_code_internet=204183","Увеличить")</f>
        <v>Увеличить</v>
      </c>
      <c r="D367" s="3" t="s">
        <v>1003</v>
      </c>
      <c r="E367" s="3"/>
      <c r="F367" s="3" t="s">
        <v>1004</v>
      </c>
      <c r="G367" s="3" t="s">
        <v>986</v>
      </c>
      <c r="H367" s="3">
        <v>1</v>
      </c>
      <c r="I367" s="3">
        <v>1</v>
      </c>
      <c r="J367" s="3" t="s">
        <v>781</v>
      </c>
      <c r="K367" s="5">
        <v>0.71</v>
      </c>
      <c r="L367" s="6">
        <v>0</v>
      </c>
      <c r="M367" s="7" t="s">
        <v>1005</v>
      </c>
      <c r="N367" s="8">
        <f>VLOOKUP(B367,'[1]новый без картинок'!$A$5:$F$2672,6,0)</f>
        <v>1321</v>
      </c>
    </row>
    <row r="368" spans="1:14" ht="138.6" customHeight="1" x14ac:dyDescent="0.2">
      <c r="A368" s="3">
        <v>366</v>
      </c>
      <c r="B368" s="3">
        <v>210589</v>
      </c>
      <c r="C368" s="4" t="str">
        <f>HYPERLINK("http://optservis.net:5080/photo?tov_code_internet=210589","Увеличить")</f>
        <v>Увеличить</v>
      </c>
      <c r="D368" s="3" t="s">
        <v>1006</v>
      </c>
      <c r="E368" s="3"/>
      <c r="F368" s="3" t="s">
        <v>1007</v>
      </c>
      <c r="G368" s="3" t="s">
        <v>986</v>
      </c>
      <c r="H368" s="3">
        <v>1</v>
      </c>
      <c r="I368" s="3">
        <v>1</v>
      </c>
      <c r="J368" s="3" t="s">
        <v>781</v>
      </c>
      <c r="K368" s="5">
        <v>0.45</v>
      </c>
      <c r="L368" s="6">
        <v>0</v>
      </c>
      <c r="M368" s="7" t="s">
        <v>1008</v>
      </c>
      <c r="N368" s="8">
        <f>VLOOKUP(B368,'[1]новый без картинок'!$A$5:$F$2672,6,0)</f>
        <v>1317</v>
      </c>
    </row>
    <row r="369" spans="1:14" ht="138.6" customHeight="1" x14ac:dyDescent="0.2">
      <c r="A369" s="3">
        <v>367</v>
      </c>
      <c r="B369" s="3">
        <v>210590</v>
      </c>
      <c r="C369" s="4" t="str">
        <f>HYPERLINK("http://optservis.net:5080/photo?tov_code_internet=210590","Увеличить")</f>
        <v>Увеличить</v>
      </c>
      <c r="D369" s="3" t="s">
        <v>1009</v>
      </c>
      <c r="E369" s="3"/>
      <c r="F369" s="3" t="s">
        <v>1010</v>
      </c>
      <c r="G369" s="3" t="s">
        <v>986</v>
      </c>
      <c r="H369" s="3">
        <v>1</v>
      </c>
      <c r="I369" s="3">
        <v>1</v>
      </c>
      <c r="J369" s="3" t="s">
        <v>781</v>
      </c>
      <c r="K369" s="5">
        <v>0.74</v>
      </c>
      <c r="L369" s="6">
        <v>0</v>
      </c>
      <c r="M369" s="7" t="s">
        <v>1011</v>
      </c>
      <c r="N369" s="8">
        <f>VLOOKUP(B369,'[1]новый без картинок'!$A$5:$F$2672,6,0)</f>
        <v>1890</v>
      </c>
    </row>
    <row r="370" spans="1:14" ht="138.6" customHeight="1" x14ac:dyDescent="0.2">
      <c r="A370" s="3">
        <v>368</v>
      </c>
      <c r="B370" s="3">
        <v>210591</v>
      </c>
      <c r="C370" s="4" t="str">
        <f>HYPERLINK("http://optservis.net:5080/photo?tov_code_internet=210591","Увеличить")</f>
        <v>Увеличить</v>
      </c>
      <c r="D370" s="3" t="s">
        <v>1012</v>
      </c>
      <c r="E370" s="3"/>
      <c r="F370" s="3" t="s">
        <v>1013</v>
      </c>
      <c r="G370" s="3" t="s">
        <v>986</v>
      </c>
      <c r="H370" s="3">
        <v>1</v>
      </c>
      <c r="I370" s="3">
        <v>1</v>
      </c>
      <c r="J370" s="3" t="s">
        <v>781</v>
      </c>
      <c r="K370" s="5">
        <v>0.85</v>
      </c>
      <c r="L370" s="6">
        <v>0</v>
      </c>
      <c r="M370" s="7" t="s">
        <v>1014</v>
      </c>
      <c r="N370" s="8">
        <f>VLOOKUP(B370,'[1]новый без картинок'!$A$5:$F$2672,6,0)</f>
        <v>1737</v>
      </c>
    </row>
    <row r="371" spans="1:14" ht="138.6" customHeight="1" x14ac:dyDescent="0.2">
      <c r="A371" s="3">
        <v>369</v>
      </c>
      <c r="B371" s="3">
        <v>210638</v>
      </c>
      <c r="C371" s="4" t="str">
        <f>HYPERLINK("http://optservis.net:5080/photo?tov_code_internet=210638","Увеличить")</f>
        <v>Увеличить</v>
      </c>
      <c r="D371" s="3" t="s">
        <v>1015</v>
      </c>
      <c r="E371" s="3"/>
      <c r="F371" s="3" t="s">
        <v>1016</v>
      </c>
      <c r="G371" s="3" t="s">
        <v>1017</v>
      </c>
      <c r="H371" s="3">
        <v>1</v>
      </c>
      <c r="I371" s="3">
        <v>1</v>
      </c>
      <c r="J371" s="3" t="s">
        <v>781</v>
      </c>
      <c r="K371" s="5">
        <v>0.97</v>
      </c>
      <c r="L371" s="6">
        <v>0</v>
      </c>
      <c r="M371" s="7" t="s">
        <v>1018</v>
      </c>
      <c r="N371" s="8">
        <f>VLOOKUP(B371,'[1]новый без картинок'!$A$5:$F$2672,6,0)</f>
        <v>2202</v>
      </c>
    </row>
    <row r="372" spans="1:14" ht="138.6" customHeight="1" x14ac:dyDescent="0.2">
      <c r="A372" s="3">
        <v>370</v>
      </c>
      <c r="B372" s="3">
        <v>210639</v>
      </c>
      <c r="C372" s="4" t="str">
        <f>HYPERLINK("http://optservis.net:5080/photo?tov_code_internet=210639","Увеличить")</f>
        <v>Увеличить</v>
      </c>
      <c r="D372" s="3" t="s">
        <v>1019</v>
      </c>
      <c r="E372" s="3"/>
      <c r="F372" s="3" t="s">
        <v>1020</v>
      </c>
      <c r="G372" s="3" t="s">
        <v>1021</v>
      </c>
      <c r="H372" s="3">
        <v>1</v>
      </c>
      <c r="I372" s="3">
        <v>1</v>
      </c>
      <c r="J372" s="3" t="s">
        <v>781</v>
      </c>
      <c r="K372" s="5">
        <v>0.77</v>
      </c>
      <c r="L372" s="6">
        <v>0</v>
      </c>
      <c r="M372" s="7" t="s">
        <v>1022</v>
      </c>
      <c r="N372" s="8">
        <f>VLOOKUP(B372,'[1]новый без картинок'!$A$5:$F$2672,6,0)</f>
        <v>1612</v>
      </c>
    </row>
    <row r="373" spans="1:14" ht="138.6" customHeight="1" x14ac:dyDescent="0.2">
      <c r="A373" s="3">
        <v>371</v>
      </c>
      <c r="B373" s="3">
        <v>210640</v>
      </c>
      <c r="C373" s="4" t="str">
        <f>HYPERLINK("http://optservis.net:5080/photo?tov_code_internet=210640","Увеличить")</f>
        <v>Увеличить</v>
      </c>
      <c r="D373" s="3" t="s">
        <v>1023</v>
      </c>
      <c r="E373" s="3"/>
      <c r="F373" s="3" t="s">
        <v>1024</v>
      </c>
      <c r="G373" s="3" t="s">
        <v>978</v>
      </c>
      <c r="H373" s="3">
        <v>1</v>
      </c>
      <c r="I373" s="3">
        <v>1</v>
      </c>
      <c r="J373" s="3" t="s">
        <v>781</v>
      </c>
      <c r="K373" s="5">
        <v>0.38</v>
      </c>
      <c r="L373" s="6">
        <v>0</v>
      </c>
      <c r="M373" s="7" t="s">
        <v>1025</v>
      </c>
      <c r="N373" s="8">
        <f>VLOOKUP(B373,'[1]новый без картинок'!$A$5:$F$2672,6,0)</f>
        <v>1538</v>
      </c>
    </row>
    <row r="374" spans="1:14" ht="138.6" customHeight="1" x14ac:dyDescent="0.2">
      <c r="A374" s="3">
        <v>372</v>
      </c>
      <c r="B374" s="3">
        <v>210641</v>
      </c>
      <c r="C374" s="4" t="str">
        <f>HYPERLINK("http://optservis.net:5080/photo?tov_code_internet=210641","Увеличить")</f>
        <v>Увеличить</v>
      </c>
      <c r="D374" s="3" t="s">
        <v>1026</v>
      </c>
      <c r="E374" s="3"/>
      <c r="F374" s="3" t="s">
        <v>1027</v>
      </c>
      <c r="G374" s="3" t="s">
        <v>788</v>
      </c>
      <c r="H374" s="3">
        <v>1</v>
      </c>
      <c r="I374" s="3">
        <v>1</v>
      </c>
      <c r="J374" s="3" t="s">
        <v>781</v>
      </c>
      <c r="K374" s="5">
        <v>0.82</v>
      </c>
      <c r="L374" s="6">
        <v>0</v>
      </c>
      <c r="M374" s="7" t="s">
        <v>1028</v>
      </c>
      <c r="N374" s="8">
        <f>VLOOKUP(B374,'[1]новый без картинок'!$A$5:$F$2672,6,0)</f>
        <v>1066</v>
      </c>
    </row>
    <row r="375" spans="1:14" ht="138.6" customHeight="1" x14ac:dyDescent="0.2">
      <c r="A375" s="3">
        <v>373</v>
      </c>
      <c r="B375" s="3">
        <v>210642</v>
      </c>
      <c r="C375" s="4" t="str">
        <f>HYPERLINK("http://optservis.net:5080/photo?tov_code_internet=210642","Увеличить")</f>
        <v>Увеличить</v>
      </c>
      <c r="D375" s="3" t="s">
        <v>1029</v>
      </c>
      <c r="E375" s="3"/>
      <c r="F375" s="3" t="s">
        <v>1030</v>
      </c>
      <c r="G375" s="3" t="s">
        <v>832</v>
      </c>
      <c r="H375" s="3">
        <v>1</v>
      </c>
      <c r="I375" s="3">
        <v>1</v>
      </c>
      <c r="J375" s="3" t="s">
        <v>781</v>
      </c>
      <c r="K375" s="5">
        <v>0.94</v>
      </c>
      <c r="L375" s="6">
        <v>0</v>
      </c>
      <c r="M375" s="7" t="s">
        <v>1031</v>
      </c>
      <c r="N375" s="8">
        <f>VLOOKUP(B375,'[1]новый без картинок'!$A$5:$F$2672,6,0)</f>
        <v>1230</v>
      </c>
    </row>
    <row r="376" spans="1:14" ht="138.6" customHeight="1" x14ac:dyDescent="0.2">
      <c r="A376" s="3">
        <v>374</v>
      </c>
      <c r="B376" s="3">
        <v>210643</v>
      </c>
      <c r="C376" s="4" t="str">
        <f>HYPERLINK("http://optservis.net:5080/photo?tov_code_internet=210643","Увеличить")</f>
        <v>Увеличить</v>
      </c>
      <c r="D376" s="3" t="s">
        <v>1032</v>
      </c>
      <c r="E376" s="3"/>
      <c r="F376" s="3" t="s">
        <v>1033</v>
      </c>
      <c r="G376" s="3" t="s">
        <v>788</v>
      </c>
      <c r="H376" s="3">
        <v>1</v>
      </c>
      <c r="I376" s="3">
        <v>1</v>
      </c>
      <c r="J376" s="3" t="s">
        <v>781</v>
      </c>
      <c r="K376" s="5">
        <v>0.85</v>
      </c>
      <c r="L376" s="6">
        <v>0</v>
      </c>
      <c r="M376" s="7" t="s">
        <v>1034</v>
      </c>
      <c r="N376" s="8">
        <f>VLOOKUP(B376,'[1]новый без картинок'!$A$5:$F$2672,6,0)</f>
        <v>1078</v>
      </c>
    </row>
    <row r="377" spans="1:14" ht="138.6" customHeight="1" x14ac:dyDescent="0.2">
      <c r="A377" s="3">
        <v>375</v>
      </c>
      <c r="B377" s="3">
        <v>210684</v>
      </c>
      <c r="C377" s="4" t="str">
        <f>HYPERLINK("http://optservis.net:5080/photo?tov_code_internet=210684","Увеличить")</f>
        <v>Увеличить</v>
      </c>
      <c r="D377" s="3" t="s">
        <v>1035</v>
      </c>
      <c r="E377" s="3"/>
      <c r="F377" s="3" t="s">
        <v>1036</v>
      </c>
      <c r="G377" s="3" t="s">
        <v>1037</v>
      </c>
      <c r="H377" s="3">
        <v>1</v>
      </c>
      <c r="I377" s="3">
        <v>1</v>
      </c>
      <c r="J377" s="3" t="s">
        <v>781</v>
      </c>
      <c r="K377" s="5">
        <v>0.85</v>
      </c>
      <c r="L377" s="6">
        <v>0</v>
      </c>
      <c r="M377" s="7" t="s">
        <v>1038</v>
      </c>
      <c r="N377" s="8">
        <f>VLOOKUP(B377,'[1]новый без картинок'!$A$5:$F$2672,6,0)</f>
        <v>1557</v>
      </c>
    </row>
    <row r="378" spans="1:14" ht="138.6" customHeight="1" x14ac:dyDescent="0.2">
      <c r="A378" s="3">
        <v>376</v>
      </c>
      <c r="B378" s="3">
        <v>908245</v>
      </c>
      <c r="C378" s="4" t="str">
        <f>HYPERLINK("http://optservis.net:5080/photo?tov_code_internet=908245","Увеличить")</f>
        <v>Увеличить</v>
      </c>
      <c r="D378" s="3" t="s">
        <v>1039</v>
      </c>
      <c r="E378" s="3"/>
      <c r="F378" s="3" t="s">
        <v>1040</v>
      </c>
      <c r="G378" s="3" t="s">
        <v>1041</v>
      </c>
      <c r="H378" s="3">
        <v>1</v>
      </c>
      <c r="I378" s="3">
        <v>1</v>
      </c>
      <c r="J378" s="3" t="s">
        <v>781</v>
      </c>
      <c r="K378" s="5">
        <v>0</v>
      </c>
      <c r="L378" s="6">
        <v>0</v>
      </c>
      <c r="M378" s="7" t="s">
        <v>1042</v>
      </c>
      <c r="N378" s="8" t="e">
        <f>VLOOKUP(B378,'[1]новый без картинок'!$A$5:$F$2672,6,0)</f>
        <v>#N/A</v>
      </c>
    </row>
    <row r="379" spans="1:14" ht="157.5" customHeight="1" x14ac:dyDescent="0.2">
      <c r="A379" s="3">
        <v>377</v>
      </c>
      <c r="B379" s="3">
        <v>182770</v>
      </c>
      <c r="C379" s="4" t="str">
        <f>HYPERLINK("http://optservis.net:5080/photo?tov_code_internet=182770","Увеличить")</f>
        <v>Увеличить</v>
      </c>
      <c r="D379" s="3" t="s">
        <v>1043</v>
      </c>
      <c r="E379" s="3"/>
      <c r="F379" s="3" t="s">
        <v>1044</v>
      </c>
      <c r="G379" s="3" t="s">
        <v>1045</v>
      </c>
      <c r="H379" s="3">
        <v>1</v>
      </c>
      <c r="I379" s="3">
        <v>1</v>
      </c>
      <c r="J379" s="3" t="s">
        <v>781</v>
      </c>
      <c r="K379" s="5">
        <v>0.62</v>
      </c>
      <c r="L379" s="6">
        <v>0</v>
      </c>
      <c r="M379" s="7" t="s">
        <v>1046</v>
      </c>
      <c r="N379" s="8">
        <f>VLOOKUP(B379,'[1]новый без картинок'!$A$5:$F$2672,6,0)</f>
        <v>1547</v>
      </c>
    </row>
    <row r="380" spans="1:14" ht="129.6" customHeight="1" x14ac:dyDescent="0.2">
      <c r="A380" s="3">
        <v>378</v>
      </c>
      <c r="B380" s="3">
        <v>185304</v>
      </c>
      <c r="C380" s="4" t="str">
        <f>HYPERLINK("http://optservis.net:5080/photo?tov_code_internet=185304","Увеличить")</f>
        <v>Увеличить</v>
      </c>
      <c r="D380" s="3" t="s">
        <v>1047</v>
      </c>
      <c r="E380" s="3"/>
      <c r="F380" s="3" t="s">
        <v>1048</v>
      </c>
      <c r="G380" s="3" t="s">
        <v>792</v>
      </c>
      <c r="H380" s="3">
        <v>1</v>
      </c>
      <c r="I380" s="3">
        <v>1</v>
      </c>
      <c r="J380" s="3" t="s">
        <v>781</v>
      </c>
      <c r="K380" s="5">
        <v>0.33</v>
      </c>
      <c r="L380" s="6">
        <v>0</v>
      </c>
      <c r="M380" s="7" t="s">
        <v>1049</v>
      </c>
      <c r="N380" s="8">
        <f>VLOOKUP(B380,'[1]новый без картинок'!$A$5:$F$2672,6,0)</f>
        <v>1089</v>
      </c>
    </row>
    <row r="381" spans="1:14" ht="151.15" customHeight="1" x14ac:dyDescent="0.2">
      <c r="A381" s="3">
        <v>379</v>
      </c>
      <c r="B381" s="3">
        <v>951869</v>
      </c>
      <c r="C381" s="4" t="str">
        <f>HYPERLINK("http://optservis.net:5080/photo?tov_code_internet=951869","Увеличить")</f>
        <v>Увеличить</v>
      </c>
      <c r="D381" s="3" t="s">
        <v>1050</v>
      </c>
      <c r="E381" s="3" t="s">
        <v>1051</v>
      </c>
      <c r="F381" s="3" t="s">
        <v>1052</v>
      </c>
      <c r="G381" s="3" t="s">
        <v>1053</v>
      </c>
      <c r="H381" s="3">
        <v>0.5</v>
      </c>
      <c r="I381" s="3">
        <v>0</v>
      </c>
      <c r="J381" s="3" t="s">
        <v>781</v>
      </c>
      <c r="K381" s="5">
        <v>0.14000000000000001</v>
      </c>
      <c r="L381" s="6">
        <v>4690654007744</v>
      </c>
      <c r="M381" s="7" t="s">
        <v>1054</v>
      </c>
      <c r="N381" s="8">
        <f>VLOOKUP(B381,'[1]новый без картинок'!$A$5:$F$2672,6,0)</f>
        <v>482</v>
      </c>
    </row>
    <row r="382" spans="1:14" ht="138.6" customHeight="1" x14ac:dyDescent="0.2">
      <c r="A382" s="3">
        <v>380</v>
      </c>
      <c r="B382" s="3">
        <v>140349</v>
      </c>
      <c r="C382" s="4" t="str">
        <f>HYPERLINK("http://optservis.net:5080/photo?tov_code_internet=140349","Увеличить")</f>
        <v>Увеличить</v>
      </c>
      <c r="D382" s="3" t="s">
        <v>1055</v>
      </c>
      <c r="E382" s="3"/>
      <c r="F382" s="3" t="s">
        <v>1056</v>
      </c>
      <c r="G382" s="3" t="s">
        <v>1057</v>
      </c>
      <c r="H382" s="3">
        <v>1</v>
      </c>
      <c r="I382" s="3">
        <v>1</v>
      </c>
      <c r="J382" s="3" t="s">
        <v>781</v>
      </c>
      <c r="K382" s="5">
        <v>0.21</v>
      </c>
      <c r="L382" s="6">
        <v>0</v>
      </c>
      <c r="M382" s="7" t="s">
        <v>1058</v>
      </c>
      <c r="N382" s="8">
        <f>VLOOKUP(B382,'[1]новый без картинок'!$A$5:$F$2672,6,0)</f>
        <v>1187</v>
      </c>
    </row>
    <row r="383" spans="1:14" ht="157.5" customHeight="1" x14ac:dyDescent="0.2">
      <c r="A383" s="3">
        <v>381</v>
      </c>
      <c r="B383" s="3">
        <v>151486</v>
      </c>
      <c r="C383" s="4" t="str">
        <f>HYPERLINK("http://optservis.net:5080/photo?tov_code_internet=151486","Увеличить")</f>
        <v>Увеличить</v>
      </c>
      <c r="D383" s="3" t="s">
        <v>1059</v>
      </c>
      <c r="E383" s="3"/>
      <c r="F383" s="3" t="s">
        <v>1060</v>
      </c>
      <c r="G383" s="3" t="s">
        <v>792</v>
      </c>
      <c r="H383" s="3">
        <v>1</v>
      </c>
      <c r="I383" s="3">
        <v>1</v>
      </c>
      <c r="J383" s="3" t="s">
        <v>781</v>
      </c>
      <c r="K383" s="5">
        <v>0.53</v>
      </c>
      <c r="L383" s="6">
        <v>0</v>
      </c>
      <c r="M383" s="7" t="s">
        <v>1061</v>
      </c>
      <c r="N383" s="8">
        <f>VLOOKUP(B383,'[1]новый без картинок'!$A$5:$F$2672,6,0)</f>
        <v>897</v>
      </c>
    </row>
    <row r="384" spans="1:14" ht="157.5" customHeight="1" x14ac:dyDescent="0.2">
      <c r="A384" s="3">
        <v>382</v>
      </c>
      <c r="B384" s="3">
        <v>151789</v>
      </c>
      <c r="C384" s="4" t="str">
        <f>HYPERLINK("http://optservis.net:5080/photo?tov_code_internet=151789","Увеличить")</f>
        <v>Увеличить</v>
      </c>
      <c r="D384" s="3" t="s">
        <v>1062</v>
      </c>
      <c r="E384" s="3"/>
      <c r="F384" s="3" t="s">
        <v>1063</v>
      </c>
      <c r="G384" s="3" t="s">
        <v>810</v>
      </c>
      <c r="H384" s="3">
        <v>1</v>
      </c>
      <c r="I384" s="3">
        <v>1</v>
      </c>
      <c r="J384" s="3" t="s">
        <v>781</v>
      </c>
      <c r="K384" s="5">
        <v>0.28000000000000003</v>
      </c>
      <c r="L384" s="6">
        <v>0</v>
      </c>
      <c r="M384" s="7" t="s">
        <v>1064</v>
      </c>
      <c r="N384" s="8">
        <f>VLOOKUP(B384,'[1]новый без картинок'!$A$5:$F$2672,6,0)</f>
        <v>1323</v>
      </c>
    </row>
    <row r="385" spans="1:14" ht="157.5" customHeight="1" x14ac:dyDescent="0.2">
      <c r="A385" s="3">
        <v>383</v>
      </c>
      <c r="B385" s="3">
        <v>153818</v>
      </c>
      <c r="C385" s="4" t="str">
        <f>HYPERLINK("http://optservis.net:5080/photo?tov_code_internet=153818","Увеличить")</f>
        <v>Увеличить</v>
      </c>
      <c r="D385" s="3" t="s">
        <v>1065</v>
      </c>
      <c r="E385" s="3"/>
      <c r="F385" s="3" t="s">
        <v>856</v>
      </c>
      <c r="G385" s="3" t="s">
        <v>857</v>
      </c>
      <c r="H385" s="3">
        <v>0.25</v>
      </c>
      <c r="I385" s="3">
        <v>0</v>
      </c>
      <c r="J385" s="3" t="s">
        <v>781</v>
      </c>
      <c r="K385" s="5">
        <v>0.08</v>
      </c>
      <c r="L385" s="6">
        <v>0</v>
      </c>
      <c r="M385" s="7" t="s">
        <v>1066</v>
      </c>
      <c r="N385" s="8">
        <f>VLOOKUP(B385,'[1]новый без картинок'!$A$5:$F$2672,6,0)</f>
        <v>1759</v>
      </c>
    </row>
    <row r="386" spans="1:14" ht="138.6" customHeight="1" x14ac:dyDescent="0.2">
      <c r="A386" s="3">
        <v>384</v>
      </c>
      <c r="B386" s="3">
        <v>154580</v>
      </c>
      <c r="C386" s="4" t="str">
        <f>HYPERLINK("http://optservis.net:5080/photo?tov_code_internet=154580","Увеличить")</f>
        <v>Увеличить</v>
      </c>
      <c r="D386" s="3" t="s">
        <v>1067</v>
      </c>
      <c r="E386" s="3"/>
      <c r="F386" s="3" t="s">
        <v>1068</v>
      </c>
      <c r="G386" s="3" t="s">
        <v>1069</v>
      </c>
      <c r="H386" s="3">
        <v>1</v>
      </c>
      <c r="I386" s="3">
        <v>1</v>
      </c>
      <c r="J386" s="3" t="s">
        <v>781</v>
      </c>
      <c r="K386" s="5">
        <v>0.56999999999999995</v>
      </c>
      <c r="L386" s="6">
        <v>0</v>
      </c>
      <c r="M386" s="7" t="s">
        <v>1070</v>
      </c>
      <c r="N386" s="8">
        <f>VLOOKUP(B386,'[1]новый без картинок'!$A$5:$F$2672,6,0)</f>
        <v>1591</v>
      </c>
    </row>
    <row r="387" spans="1:14" ht="138.6" customHeight="1" x14ac:dyDescent="0.2">
      <c r="A387" s="3">
        <v>385</v>
      </c>
      <c r="B387" s="3">
        <v>982502</v>
      </c>
      <c r="C387" s="4" t="str">
        <f>HYPERLINK("http://optservis.net:5080/photo?tov_code_internet=982502","Увеличить")</f>
        <v>Увеличить</v>
      </c>
      <c r="D387" s="3" t="s">
        <v>1071</v>
      </c>
      <c r="E387" s="3" t="s">
        <v>1072</v>
      </c>
      <c r="F387" s="3" t="s">
        <v>87</v>
      </c>
      <c r="G387" s="3" t="s">
        <v>59</v>
      </c>
      <c r="H387" s="3">
        <v>1</v>
      </c>
      <c r="I387" s="3">
        <v>1</v>
      </c>
      <c r="J387" s="3" t="s">
        <v>18</v>
      </c>
      <c r="K387" s="5">
        <v>0.04</v>
      </c>
      <c r="L387" s="6">
        <v>4690654017484</v>
      </c>
      <c r="M387" s="7" t="s">
        <v>1073</v>
      </c>
      <c r="N387" s="8">
        <f>VLOOKUP(B387,'[1]новый без картинок'!$A$5:$F$2672,6,0)</f>
        <v>610</v>
      </c>
    </row>
    <row r="388" spans="1:14" ht="138.6" customHeight="1" x14ac:dyDescent="0.2">
      <c r="A388" s="3">
        <v>386</v>
      </c>
      <c r="B388" s="3">
        <v>982509</v>
      </c>
      <c r="C388" s="4" t="str">
        <f>HYPERLINK("http://optservis.net:5080/photo?tov_code_internet=982509","Увеличить")</f>
        <v>Увеличить</v>
      </c>
      <c r="D388" s="3" t="s">
        <v>1074</v>
      </c>
      <c r="E388" s="3" t="s">
        <v>1075</v>
      </c>
      <c r="F388" s="3" t="s">
        <v>87</v>
      </c>
      <c r="G388" s="3" t="s">
        <v>59</v>
      </c>
      <c r="H388" s="3">
        <v>0.5</v>
      </c>
      <c r="I388" s="3">
        <v>0</v>
      </c>
      <c r="J388" s="3" t="s">
        <v>18</v>
      </c>
      <c r="K388" s="5">
        <v>0.02</v>
      </c>
      <c r="L388" s="6">
        <v>4690654003685</v>
      </c>
      <c r="M388" s="7" t="s">
        <v>1076</v>
      </c>
      <c r="N388" s="8">
        <f>VLOOKUP(B388,'[1]новый без картинок'!$A$5:$F$2672,6,0)</f>
        <v>589</v>
      </c>
    </row>
    <row r="389" spans="1:14" ht="151.15" customHeight="1" x14ac:dyDescent="0.2">
      <c r="A389" s="3">
        <v>387</v>
      </c>
      <c r="B389" s="3">
        <v>980013</v>
      </c>
      <c r="C389" s="4" t="str">
        <f>HYPERLINK("http://optservis.net:5080/photo?tov_code_internet=980013","Увеличить")</f>
        <v>Увеличить</v>
      </c>
      <c r="D389" s="3" t="s">
        <v>1077</v>
      </c>
      <c r="E389" s="3" t="s">
        <v>1078</v>
      </c>
      <c r="F389" s="3" t="s">
        <v>1079</v>
      </c>
      <c r="G389" s="3" t="s">
        <v>59</v>
      </c>
      <c r="H389" s="3">
        <v>1</v>
      </c>
      <c r="I389" s="3">
        <v>1</v>
      </c>
      <c r="J389" s="3" t="s">
        <v>18</v>
      </c>
      <c r="K389" s="5">
        <v>0</v>
      </c>
      <c r="L389" s="6">
        <v>4690654000806</v>
      </c>
      <c r="M389" s="7" t="s">
        <v>1080</v>
      </c>
      <c r="N389" s="8">
        <f>VLOOKUP(B389,'[1]новый без картинок'!$A$5:$F$2672,6,0)</f>
        <v>329</v>
      </c>
    </row>
    <row r="390" spans="1:14" ht="138.6" customHeight="1" x14ac:dyDescent="0.2">
      <c r="A390" s="3">
        <v>388</v>
      </c>
      <c r="B390" s="3">
        <v>151492</v>
      </c>
      <c r="C390" s="4" t="str">
        <f>HYPERLINK("http://optservis.net:5080/photo?tov_code_internet=151492","Увеличить")</f>
        <v>Увеличить</v>
      </c>
      <c r="D390" s="3" t="s">
        <v>1081</v>
      </c>
      <c r="E390" s="3" t="s">
        <v>1082</v>
      </c>
      <c r="F390" s="3" t="s">
        <v>87</v>
      </c>
      <c r="G390" s="3" t="s">
        <v>59</v>
      </c>
      <c r="H390" s="3">
        <v>0.5</v>
      </c>
      <c r="I390" s="3">
        <v>0</v>
      </c>
      <c r="J390" s="3" t="s">
        <v>18</v>
      </c>
      <c r="K390" s="5">
        <v>0.02</v>
      </c>
      <c r="L390" s="6">
        <v>4690654015541</v>
      </c>
      <c r="M390" s="7" t="s">
        <v>1076</v>
      </c>
      <c r="N390" s="8">
        <f>VLOOKUP(B390,'[1]новый без картинок'!$A$5:$F$2672,6,0)</f>
        <v>589</v>
      </c>
    </row>
    <row r="391" spans="1:14" ht="151.15" customHeight="1" x14ac:dyDescent="0.2">
      <c r="A391" s="3">
        <v>389</v>
      </c>
      <c r="B391" s="3">
        <v>140599</v>
      </c>
      <c r="C391" s="4" t="str">
        <f>HYPERLINK("http://optservis.net:5080/photo?tov_code_internet=140599","Увеличить")</f>
        <v>Увеличить</v>
      </c>
      <c r="D391" s="3" t="s">
        <v>1083</v>
      </c>
      <c r="E391" s="3" t="s">
        <v>1084</v>
      </c>
      <c r="F391" s="3" t="s">
        <v>729</v>
      </c>
      <c r="G391" s="3" t="s">
        <v>373</v>
      </c>
      <c r="H391" s="3">
        <v>10</v>
      </c>
      <c r="I391" s="3">
        <v>1</v>
      </c>
      <c r="J391" s="3" t="s">
        <v>18</v>
      </c>
      <c r="K391" s="5">
        <v>0.94</v>
      </c>
      <c r="L391" s="6">
        <v>4690654005665</v>
      </c>
      <c r="M391" s="7" t="s">
        <v>1085</v>
      </c>
      <c r="N391" s="8">
        <f>VLOOKUP(B391,'[1]новый без картинок'!$A$5:$F$2672,6,0)</f>
        <v>215</v>
      </c>
    </row>
    <row r="392" spans="1:14" ht="153" customHeight="1" x14ac:dyDescent="0.2">
      <c r="A392" s="3">
        <v>390</v>
      </c>
      <c r="B392" s="3">
        <v>183283</v>
      </c>
      <c r="C392" s="4" t="str">
        <f>HYPERLINK("http://optservis.net:5080/photo?tov_code_internet=183283","Увеличить")</f>
        <v>Увеличить</v>
      </c>
      <c r="D392" s="3" t="s">
        <v>1086</v>
      </c>
      <c r="E392" s="3" t="s">
        <v>1087</v>
      </c>
      <c r="F392" s="3" t="s">
        <v>1088</v>
      </c>
      <c r="G392" s="3" t="s">
        <v>1089</v>
      </c>
      <c r="H392" s="3">
        <v>0.5</v>
      </c>
      <c r="I392" s="3">
        <v>0</v>
      </c>
      <c r="J392" s="3" t="s">
        <v>18</v>
      </c>
      <c r="K392" s="5">
        <v>0.15</v>
      </c>
      <c r="L392" s="6">
        <v>4690654014254</v>
      </c>
      <c r="M392" s="7" t="s">
        <v>1090</v>
      </c>
      <c r="N392" s="8">
        <f>VLOOKUP(B392,'[1]новый без картинок'!$A$5:$F$2672,6,0)</f>
        <v>1018</v>
      </c>
    </row>
    <row r="393" spans="1:14" ht="153" customHeight="1" x14ac:dyDescent="0.2">
      <c r="A393" s="3">
        <v>391</v>
      </c>
      <c r="B393" s="3">
        <v>185589</v>
      </c>
      <c r="C393" s="4" t="str">
        <f>HYPERLINK("http://optservis.net:5080/photo?tov_code_internet=185589","Увеличить")</f>
        <v>Увеличить</v>
      </c>
      <c r="D393" s="3" t="s">
        <v>1091</v>
      </c>
      <c r="E393" s="3" t="s">
        <v>1092</v>
      </c>
      <c r="F393" s="3" t="s">
        <v>1093</v>
      </c>
      <c r="G393" s="3" t="s">
        <v>1094</v>
      </c>
      <c r="H393" s="3">
        <v>0.5</v>
      </c>
      <c r="I393" s="3">
        <v>0</v>
      </c>
      <c r="J393" s="3" t="s">
        <v>18</v>
      </c>
      <c r="K393" s="5">
        <v>0.15</v>
      </c>
      <c r="L393" s="6">
        <v>4690654014261</v>
      </c>
      <c r="M393" s="7" t="s">
        <v>1095</v>
      </c>
      <c r="N393" s="8">
        <f>VLOOKUP(B393,'[1]новый без картинок'!$A$5:$F$2672,6,0)</f>
        <v>1018</v>
      </c>
    </row>
    <row r="394" spans="1:14" ht="138.6" customHeight="1" x14ac:dyDescent="0.2">
      <c r="A394" s="3">
        <v>392</v>
      </c>
      <c r="B394" s="3">
        <v>186109</v>
      </c>
      <c r="C394" s="4" t="str">
        <f>HYPERLINK("http://optservis.net:5080/photo?tov_code_internet=186109","Увеличить")</f>
        <v>Увеличить</v>
      </c>
      <c r="D394" s="3" t="s">
        <v>1096</v>
      </c>
      <c r="E394" s="3"/>
      <c r="F394" s="3" t="s">
        <v>1097</v>
      </c>
      <c r="G394" s="3" t="s">
        <v>430</v>
      </c>
      <c r="H394" s="3">
        <v>1</v>
      </c>
      <c r="I394" s="3">
        <v>1</v>
      </c>
      <c r="J394" s="3" t="s">
        <v>18</v>
      </c>
      <c r="K394" s="5">
        <v>0</v>
      </c>
      <c r="L394" s="6">
        <v>0</v>
      </c>
      <c r="M394" s="7" t="s">
        <v>1042</v>
      </c>
      <c r="N394" s="8" t="e">
        <f>VLOOKUP(B394,'[1]новый без картинок'!$A$5:$F$2672,6,0)</f>
        <v>#N/A</v>
      </c>
    </row>
    <row r="395" spans="1:14" ht="151.15" customHeight="1" x14ac:dyDescent="0.2">
      <c r="A395" s="3">
        <v>393</v>
      </c>
      <c r="B395" s="3">
        <v>205125</v>
      </c>
      <c r="C395" s="4" t="str">
        <f>HYPERLINK("http://optservis.net:5080/photo?tov_code_internet=205125","Увеличить")</f>
        <v>Увеличить</v>
      </c>
      <c r="D395" s="3" t="s">
        <v>1098</v>
      </c>
      <c r="E395" s="3" t="s">
        <v>1099</v>
      </c>
      <c r="F395" s="3" t="s">
        <v>1100</v>
      </c>
      <c r="G395" s="3" t="s">
        <v>1101</v>
      </c>
      <c r="H395" s="3">
        <v>1</v>
      </c>
      <c r="I395" s="3">
        <v>1</v>
      </c>
      <c r="J395" s="3" t="s">
        <v>18</v>
      </c>
      <c r="K395" s="5">
        <v>0.34</v>
      </c>
      <c r="L395" s="6">
        <v>4690654019112</v>
      </c>
      <c r="M395" s="7" t="s">
        <v>1102</v>
      </c>
      <c r="N395" s="8">
        <f>VLOOKUP(B395,'[1]новый без картинок'!$A$5:$F$2672,6,0)</f>
        <v>729</v>
      </c>
    </row>
    <row r="396" spans="1:14" ht="149.44999999999999" customHeight="1" x14ac:dyDescent="0.2">
      <c r="A396" s="3">
        <v>394</v>
      </c>
      <c r="B396" s="3">
        <v>987378</v>
      </c>
      <c r="C396" s="4" t="str">
        <f>HYPERLINK("http://optservis.net:5080/photo?tov_code_internet=987378","Увеличить")</f>
        <v>Увеличить</v>
      </c>
      <c r="D396" s="3" t="s">
        <v>1103</v>
      </c>
      <c r="E396" s="3" t="s">
        <v>1104</v>
      </c>
      <c r="F396" s="3" t="s">
        <v>1105</v>
      </c>
      <c r="G396" s="3" t="s">
        <v>1106</v>
      </c>
      <c r="H396" s="3">
        <v>8</v>
      </c>
      <c r="I396" s="3">
        <v>1</v>
      </c>
      <c r="J396" s="3" t="s">
        <v>18</v>
      </c>
      <c r="K396" s="5">
        <v>1.38</v>
      </c>
      <c r="L396" s="6">
        <v>4640020778877</v>
      </c>
      <c r="M396" s="7" t="s">
        <v>1107</v>
      </c>
      <c r="N396" s="8">
        <f>VLOOKUP(B396,'[1]новый без картинок'!$A$5:$F$2672,6,0)</f>
        <v>432</v>
      </c>
    </row>
    <row r="397" spans="1:14" ht="149.44999999999999" customHeight="1" x14ac:dyDescent="0.2">
      <c r="A397" s="3">
        <v>395</v>
      </c>
      <c r="B397" s="3">
        <v>987344</v>
      </c>
      <c r="C397" s="4" t="str">
        <f>HYPERLINK("http://optservis.net:5080/photo?tov_code_internet=987344","Увеличить")</f>
        <v>Увеличить</v>
      </c>
      <c r="D397" s="3" t="s">
        <v>1103</v>
      </c>
      <c r="E397" s="3" t="s">
        <v>1104</v>
      </c>
      <c r="F397" s="3" t="s">
        <v>1108</v>
      </c>
      <c r="G397" s="3" t="s">
        <v>1106</v>
      </c>
      <c r="H397" s="3">
        <v>8</v>
      </c>
      <c r="I397" s="3">
        <v>1</v>
      </c>
      <c r="J397" s="3" t="s">
        <v>18</v>
      </c>
      <c r="K397" s="5">
        <v>1.38</v>
      </c>
      <c r="L397" s="6">
        <v>4640020778884</v>
      </c>
      <c r="M397" s="7" t="s">
        <v>1109</v>
      </c>
      <c r="N397" s="8">
        <f>VLOOKUP(B397,'[1]новый без картинок'!$A$5:$F$2672,6,0)</f>
        <v>450</v>
      </c>
    </row>
    <row r="398" spans="1:14" ht="151.15" customHeight="1" x14ac:dyDescent="0.2">
      <c r="A398" s="3">
        <v>396</v>
      </c>
      <c r="B398" s="3">
        <v>172652</v>
      </c>
      <c r="C398" s="4" t="str">
        <f>HYPERLINK("http://optservis.net:5080/photo?tov_code_internet=172652","Увеличить")</f>
        <v>Увеличить</v>
      </c>
      <c r="D398" s="3" t="s">
        <v>1110</v>
      </c>
      <c r="E398" s="3" t="s">
        <v>1111</v>
      </c>
      <c r="F398" s="3" t="s">
        <v>1027</v>
      </c>
      <c r="G398" s="3" t="s">
        <v>788</v>
      </c>
      <c r="H398" s="3">
        <v>5</v>
      </c>
      <c r="I398" s="3">
        <v>1</v>
      </c>
      <c r="J398" s="3" t="s">
        <v>18</v>
      </c>
      <c r="K398" s="5">
        <v>0.7</v>
      </c>
      <c r="L398" s="6">
        <v>4690654009205</v>
      </c>
      <c r="M398" s="7" t="s">
        <v>1112</v>
      </c>
      <c r="N398" s="8">
        <f>VLOOKUP(B398,'[1]новый без картинок'!$A$5:$F$2672,6,0)</f>
        <v>166</v>
      </c>
    </row>
    <row r="399" spans="1:14" ht="151.15" customHeight="1" x14ac:dyDescent="0.2">
      <c r="A399" s="3">
        <v>397</v>
      </c>
      <c r="B399" s="3">
        <v>176969</v>
      </c>
      <c r="C399" s="4" t="str">
        <f>HYPERLINK("http://optservis.net:5080/photo?tov_code_internet=176969","Увеличить")</f>
        <v>Увеличить</v>
      </c>
      <c r="D399" s="3" t="s">
        <v>1110</v>
      </c>
      <c r="E399" s="3" t="s">
        <v>1111</v>
      </c>
      <c r="F399" s="3" t="s">
        <v>68</v>
      </c>
      <c r="G399" s="3" t="s">
        <v>788</v>
      </c>
      <c r="H399" s="3">
        <v>5</v>
      </c>
      <c r="I399" s="3">
        <v>1</v>
      </c>
      <c r="J399" s="3" t="s">
        <v>18</v>
      </c>
      <c r="K399" s="5">
        <v>0.7</v>
      </c>
      <c r="L399" s="6">
        <v>4690654010447</v>
      </c>
      <c r="M399" s="7" t="s">
        <v>1113</v>
      </c>
      <c r="N399" s="8">
        <f>VLOOKUP(B399,'[1]новый без картинок'!$A$5:$F$2672,6,0)</f>
        <v>166</v>
      </c>
    </row>
    <row r="400" spans="1:14" ht="151.15" customHeight="1" x14ac:dyDescent="0.2">
      <c r="A400" s="3">
        <v>398</v>
      </c>
      <c r="B400" s="3">
        <v>173227</v>
      </c>
      <c r="C400" s="4" t="str">
        <f>HYPERLINK("http://optservis.net:5080/photo?tov_code_internet=173227","Увеличить")</f>
        <v>Увеличить</v>
      </c>
      <c r="D400" s="3" t="s">
        <v>1110</v>
      </c>
      <c r="E400" s="3" t="s">
        <v>1111</v>
      </c>
      <c r="F400" s="3" t="s">
        <v>1114</v>
      </c>
      <c r="G400" s="3" t="s">
        <v>788</v>
      </c>
      <c r="H400" s="3">
        <v>5</v>
      </c>
      <c r="I400" s="3">
        <v>1</v>
      </c>
      <c r="J400" s="3" t="s">
        <v>18</v>
      </c>
      <c r="K400" s="5">
        <v>0.7</v>
      </c>
      <c r="L400" s="6">
        <v>4690654009373</v>
      </c>
      <c r="M400" s="7" t="s">
        <v>1115</v>
      </c>
      <c r="N400" s="8">
        <f>VLOOKUP(B400,'[1]новый без картинок'!$A$5:$F$2672,6,0)</f>
        <v>166</v>
      </c>
    </row>
    <row r="401" spans="1:14" ht="151.15" customHeight="1" x14ac:dyDescent="0.2">
      <c r="A401" s="3">
        <v>399</v>
      </c>
      <c r="B401" s="3">
        <v>179396</v>
      </c>
      <c r="C401" s="4" t="str">
        <f>HYPERLINK("http://optservis.net:5080/photo?tov_code_internet=179396","Увеличить")</f>
        <v>Увеличить</v>
      </c>
      <c r="D401" s="3" t="s">
        <v>1110</v>
      </c>
      <c r="E401" s="3" t="s">
        <v>1111</v>
      </c>
      <c r="F401" s="3" t="s">
        <v>1116</v>
      </c>
      <c r="G401" s="3" t="s">
        <v>788</v>
      </c>
      <c r="H401" s="3">
        <v>5</v>
      </c>
      <c r="I401" s="3">
        <v>1</v>
      </c>
      <c r="J401" s="3" t="s">
        <v>18</v>
      </c>
      <c r="K401" s="5">
        <v>0</v>
      </c>
      <c r="L401" s="6">
        <v>0</v>
      </c>
      <c r="M401" s="7" t="s">
        <v>1117</v>
      </c>
      <c r="N401" s="8">
        <f>VLOOKUP(B401,'[1]новый без картинок'!$A$5:$F$2672,6,0)</f>
        <v>166</v>
      </c>
    </row>
    <row r="402" spans="1:14" ht="151.15" customHeight="1" x14ac:dyDescent="0.2">
      <c r="A402" s="3">
        <v>400</v>
      </c>
      <c r="B402" s="3">
        <v>204762</v>
      </c>
      <c r="C402" s="4" t="str">
        <f>HYPERLINK("http://optservis.net:5080/photo?tov_code_internet=204762","Увеличить")</f>
        <v>Увеличить</v>
      </c>
      <c r="D402" s="3" t="s">
        <v>1110</v>
      </c>
      <c r="E402" s="3" t="s">
        <v>1111</v>
      </c>
      <c r="F402" s="3" t="s">
        <v>1118</v>
      </c>
      <c r="G402" s="3" t="s">
        <v>788</v>
      </c>
      <c r="H402" s="3">
        <v>5</v>
      </c>
      <c r="I402" s="3">
        <v>1</v>
      </c>
      <c r="J402" s="3" t="s">
        <v>18</v>
      </c>
      <c r="K402" s="5">
        <v>0.76</v>
      </c>
      <c r="L402" s="6">
        <v>4690654017286</v>
      </c>
      <c r="M402" s="7" t="s">
        <v>1112</v>
      </c>
      <c r="N402" s="8">
        <f>VLOOKUP(B402,'[1]новый без картинок'!$A$5:$F$2672,6,0)</f>
        <v>174</v>
      </c>
    </row>
    <row r="403" spans="1:14" ht="151.15" customHeight="1" x14ac:dyDescent="0.2">
      <c r="A403" s="3">
        <v>401</v>
      </c>
      <c r="B403" s="3">
        <v>179400</v>
      </c>
      <c r="C403" s="4" t="str">
        <f>HYPERLINK("http://optservis.net:5080/photo?tov_code_internet=179400","Увеличить")</f>
        <v>Увеличить</v>
      </c>
      <c r="D403" s="3" t="s">
        <v>1119</v>
      </c>
      <c r="E403" s="3" t="s">
        <v>1120</v>
      </c>
      <c r="F403" s="3" t="s">
        <v>1121</v>
      </c>
      <c r="G403" s="3" t="s">
        <v>832</v>
      </c>
      <c r="H403" s="3">
        <v>4</v>
      </c>
      <c r="I403" s="3">
        <v>1</v>
      </c>
      <c r="J403" s="3" t="s">
        <v>18</v>
      </c>
      <c r="K403" s="5">
        <v>0</v>
      </c>
      <c r="L403" s="6">
        <v>0</v>
      </c>
      <c r="M403" s="7" t="s">
        <v>1122</v>
      </c>
      <c r="N403" s="8">
        <f>VLOOKUP(B403,'[1]новый без картинок'!$A$5:$F$2672,6,0)</f>
        <v>194</v>
      </c>
    </row>
    <row r="404" spans="1:14" ht="151.15" customHeight="1" x14ac:dyDescent="0.2">
      <c r="A404" s="3">
        <v>402</v>
      </c>
      <c r="B404" s="3">
        <v>179401</v>
      </c>
      <c r="C404" s="4" t="str">
        <f>HYPERLINK("http://optservis.net:5080/photo?tov_code_internet=179401","Увеличить")</f>
        <v>Увеличить</v>
      </c>
      <c r="D404" s="3" t="s">
        <v>1119</v>
      </c>
      <c r="E404" s="3" t="s">
        <v>1120</v>
      </c>
      <c r="F404" s="3" t="s">
        <v>1123</v>
      </c>
      <c r="G404" s="3" t="s">
        <v>832</v>
      </c>
      <c r="H404" s="3">
        <v>4</v>
      </c>
      <c r="I404" s="3">
        <v>1</v>
      </c>
      <c r="J404" s="3" t="s">
        <v>18</v>
      </c>
      <c r="K404" s="5">
        <v>0</v>
      </c>
      <c r="L404" s="6">
        <v>0</v>
      </c>
      <c r="M404" s="7" t="s">
        <v>1124</v>
      </c>
      <c r="N404" s="8">
        <f>VLOOKUP(B404,'[1]новый без картинок'!$A$5:$F$2672,6,0)</f>
        <v>194</v>
      </c>
    </row>
    <row r="405" spans="1:14" ht="151.15" customHeight="1" x14ac:dyDescent="0.2">
      <c r="A405" s="3">
        <v>403</v>
      </c>
      <c r="B405" s="3">
        <v>180197</v>
      </c>
      <c r="C405" s="4" t="str">
        <f>HYPERLINK("http://optservis.net:5080/photo?tov_code_internet=180197","Увеличить")</f>
        <v>Увеличить</v>
      </c>
      <c r="D405" s="3" t="s">
        <v>1125</v>
      </c>
      <c r="E405" s="3"/>
      <c r="F405" s="3" t="s">
        <v>1126</v>
      </c>
      <c r="G405" s="3" t="s">
        <v>1127</v>
      </c>
      <c r="H405" s="3">
        <v>5</v>
      </c>
      <c r="I405" s="3">
        <v>1</v>
      </c>
      <c r="J405" s="3" t="s">
        <v>18</v>
      </c>
      <c r="K405" s="5">
        <v>0</v>
      </c>
      <c r="L405" s="6">
        <v>0</v>
      </c>
      <c r="M405" s="7" t="s">
        <v>1128</v>
      </c>
      <c r="N405" s="8">
        <f>VLOOKUP(B405,'[1]новый без картинок'!$A$5:$F$2672,6,0)</f>
        <v>176</v>
      </c>
    </row>
    <row r="406" spans="1:14" ht="151.15" customHeight="1" x14ac:dyDescent="0.2">
      <c r="A406" s="3">
        <v>404</v>
      </c>
      <c r="B406" s="3">
        <v>180213</v>
      </c>
      <c r="C406" s="4" t="str">
        <f>HYPERLINK("http://optservis.net:5080/photo?tov_code_internet=180213","Увеличить")</f>
        <v>Увеличить</v>
      </c>
      <c r="D406" s="3" t="s">
        <v>1125</v>
      </c>
      <c r="E406" s="3"/>
      <c r="F406" s="3" t="s">
        <v>1129</v>
      </c>
      <c r="G406" s="3" t="s">
        <v>1127</v>
      </c>
      <c r="H406" s="3">
        <v>5</v>
      </c>
      <c r="I406" s="3">
        <v>1</v>
      </c>
      <c r="J406" s="3" t="s">
        <v>18</v>
      </c>
      <c r="K406" s="5">
        <v>0</v>
      </c>
      <c r="L406" s="6">
        <v>0</v>
      </c>
      <c r="M406" s="7" t="s">
        <v>1130</v>
      </c>
      <c r="N406" s="8">
        <f>VLOOKUP(B406,'[1]новый без картинок'!$A$5:$F$2672,6,0)</f>
        <v>176</v>
      </c>
    </row>
    <row r="407" spans="1:14" ht="151.15" customHeight="1" x14ac:dyDescent="0.2">
      <c r="A407" s="3">
        <v>405</v>
      </c>
      <c r="B407" s="3">
        <v>172572</v>
      </c>
      <c r="C407" s="4" t="str">
        <f>HYPERLINK("http://optservis.net:5080/photo?tov_code_internet=172572","Увеличить")</f>
        <v>Увеличить</v>
      </c>
      <c r="D407" s="3" t="s">
        <v>1131</v>
      </c>
      <c r="E407" s="3" t="s">
        <v>1132</v>
      </c>
      <c r="F407" s="3" t="s">
        <v>68</v>
      </c>
      <c r="G407" s="3" t="s">
        <v>788</v>
      </c>
      <c r="H407" s="3">
        <v>5</v>
      </c>
      <c r="I407" s="3">
        <v>1</v>
      </c>
      <c r="J407" s="3" t="s">
        <v>18</v>
      </c>
      <c r="K407" s="5">
        <v>0.7</v>
      </c>
      <c r="L407" s="6">
        <v>4690654009212</v>
      </c>
      <c r="M407" s="7" t="s">
        <v>1133</v>
      </c>
      <c r="N407" s="8">
        <f>VLOOKUP(B407,'[1]новый без картинок'!$A$5:$F$2672,6,0)</f>
        <v>179</v>
      </c>
    </row>
    <row r="408" spans="1:14" ht="151.15" customHeight="1" x14ac:dyDescent="0.2">
      <c r="A408" s="3">
        <v>406</v>
      </c>
      <c r="B408" s="3">
        <v>173125</v>
      </c>
      <c r="C408" s="4" t="str">
        <f>HYPERLINK("http://optservis.net:5080/photo?tov_code_internet=173125","Увеличить")</f>
        <v>Увеличить</v>
      </c>
      <c r="D408" s="3" t="s">
        <v>1131</v>
      </c>
      <c r="E408" s="3" t="s">
        <v>1132</v>
      </c>
      <c r="F408" s="3" t="s">
        <v>1134</v>
      </c>
      <c r="G408" s="3" t="s">
        <v>788</v>
      </c>
      <c r="H408" s="3">
        <v>5</v>
      </c>
      <c r="I408" s="3">
        <v>1</v>
      </c>
      <c r="J408" s="3" t="s">
        <v>18</v>
      </c>
      <c r="K408" s="5">
        <v>0.67</v>
      </c>
      <c r="L408" s="6">
        <v>4690654009953</v>
      </c>
      <c r="M408" s="7" t="s">
        <v>1133</v>
      </c>
      <c r="N408" s="8">
        <f>VLOOKUP(B408,'[1]новый без картинок'!$A$5:$F$2672,6,0)</f>
        <v>179</v>
      </c>
    </row>
    <row r="409" spans="1:14" ht="151.15" customHeight="1" x14ac:dyDescent="0.2">
      <c r="A409" s="3">
        <v>407</v>
      </c>
      <c r="B409" s="3">
        <v>204771</v>
      </c>
      <c r="C409" s="4" t="str">
        <f>HYPERLINK("http://optservis.net:5080/photo?tov_code_internet=204771","Увеличить")</f>
        <v>Увеличить</v>
      </c>
      <c r="D409" s="3" t="s">
        <v>1131</v>
      </c>
      <c r="E409" s="3" t="s">
        <v>1132</v>
      </c>
      <c r="F409" s="3" t="s">
        <v>1135</v>
      </c>
      <c r="G409" s="3" t="s">
        <v>788</v>
      </c>
      <c r="H409" s="3">
        <v>5</v>
      </c>
      <c r="I409" s="3">
        <v>1</v>
      </c>
      <c r="J409" s="3" t="s">
        <v>18</v>
      </c>
      <c r="K409" s="5">
        <v>0.76</v>
      </c>
      <c r="L409" s="6">
        <v>4690654017293</v>
      </c>
      <c r="M409" s="7" t="s">
        <v>1133</v>
      </c>
      <c r="N409" s="8">
        <f>VLOOKUP(B409,'[1]новый без картинок'!$A$5:$F$2672,6,0)</f>
        <v>190</v>
      </c>
    </row>
    <row r="410" spans="1:14" ht="151.15" customHeight="1" x14ac:dyDescent="0.2">
      <c r="A410" s="3">
        <v>408</v>
      </c>
      <c r="B410" s="3">
        <v>179408</v>
      </c>
      <c r="C410" s="4" t="str">
        <f>HYPERLINK("http://optservis.net:5080/photo?tov_code_internet=179408","Увеличить")</f>
        <v>Увеличить</v>
      </c>
      <c r="D410" s="3" t="s">
        <v>1131</v>
      </c>
      <c r="E410" s="3" t="s">
        <v>1132</v>
      </c>
      <c r="F410" s="3" t="s">
        <v>1136</v>
      </c>
      <c r="G410" s="3" t="s">
        <v>788</v>
      </c>
      <c r="H410" s="3">
        <v>5</v>
      </c>
      <c r="I410" s="3">
        <v>1</v>
      </c>
      <c r="J410" s="3" t="s">
        <v>18</v>
      </c>
      <c r="K410" s="5">
        <v>0</v>
      </c>
      <c r="L410" s="6">
        <v>0</v>
      </c>
      <c r="M410" s="7" t="s">
        <v>1137</v>
      </c>
      <c r="N410" s="8">
        <f>VLOOKUP(B410,'[1]новый без картинок'!$A$5:$F$2672,6,0)</f>
        <v>190</v>
      </c>
    </row>
    <row r="411" spans="1:14" ht="149.44999999999999" customHeight="1" x14ac:dyDescent="0.2">
      <c r="A411" s="3">
        <v>409</v>
      </c>
      <c r="B411" s="3">
        <v>179213</v>
      </c>
      <c r="C411" s="4" t="str">
        <f>HYPERLINK("http://optservis.net:5080/photo?tov_code_internet=179213","Увеличить")</f>
        <v>Увеличить</v>
      </c>
      <c r="D411" s="3" t="s">
        <v>1131</v>
      </c>
      <c r="E411" s="3" t="s">
        <v>1132</v>
      </c>
      <c r="F411" s="3" t="s">
        <v>1138</v>
      </c>
      <c r="G411" s="3" t="s">
        <v>788</v>
      </c>
      <c r="H411" s="3">
        <v>5</v>
      </c>
      <c r="I411" s="3">
        <v>1</v>
      </c>
      <c r="J411" s="3" t="s">
        <v>18</v>
      </c>
      <c r="K411" s="5">
        <v>0.7</v>
      </c>
      <c r="L411" s="6">
        <v>4690654010843</v>
      </c>
      <c r="M411" s="7" t="s">
        <v>1139</v>
      </c>
      <c r="N411" s="8">
        <f>VLOOKUP(B411,'[1]новый без картинок'!$A$5:$F$2672,6,0)</f>
        <v>179</v>
      </c>
    </row>
    <row r="412" spans="1:14" ht="151.15" customHeight="1" x14ac:dyDescent="0.2">
      <c r="A412" s="3">
        <v>410</v>
      </c>
      <c r="B412" s="3">
        <v>172651</v>
      </c>
      <c r="C412" s="4" t="str">
        <f>HYPERLINK("http://optservis.net:5080/photo?tov_code_internet=172651","Увеличить")</f>
        <v>Увеличить</v>
      </c>
      <c r="D412" s="3" t="s">
        <v>1140</v>
      </c>
      <c r="E412" s="3" t="s">
        <v>1141</v>
      </c>
      <c r="F412" s="3" t="s">
        <v>853</v>
      </c>
      <c r="G412" s="3" t="s">
        <v>832</v>
      </c>
      <c r="H412" s="3">
        <v>4</v>
      </c>
      <c r="I412" s="3">
        <v>1</v>
      </c>
      <c r="J412" s="3" t="s">
        <v>18</v>
      </c>
      <c r="K412" s="5">
        <v>0.7</v>
      </c>
      <c r="L412" s="6">
        <v>4690654009229</v>
      </c>
      <c r="M412" s="7" t="s">
        <v>1142</v>
      </c>
      <c r="N412" s="8">
        <f>VLOOKUP(B412,'[1]новый без картинок'!$A$5:$F$2672,6,0)</f>
        <v>212</v>
      </c>
    </row>
    <row r="413" spans="1:14" ht="151.15" customHeight="1" x14ac:dyDescent="0.2">
      <c r="A413" s="3">
        <v>411</v>
      </c>
      <c r="B413" s="3">
        <v>179409</v>
      </c>
      <c r="C413" s="4" t="str">
        <f>HYPERLINK("http://optservis.net:5080/photo?tov_code_internet=179409","Увеличить")</f>
        <v>Увеличить</v>
      </c>
      <c r="D413" s="3" t="s">
        <v>1140</v>
      </c>
      <c r="E413" s="3" t="s">
        <v>1141</v>
      </c>
      <c r="F413" s="3" t="s">
        <v>1143</v>
      </c>
      <c r="G413" s="3" t="s">
        <v>832</v>
      </c>
      <c r="H413" s="3">
        <v>4</v>
      </c>
      <c r="I413" s="3">
        <v>1</v>
      </c>
      <c r="J413" s="3" t="s">
        <v>18</v>
      </c>
      <c r="K413" s="5">
        <v>0</v>
      </c>
      <c r="L413" s="6">
        <v>0</v>
      </c>
      <c r="M413" s="7" t="s">
        <v>1144</v>
      </c>
      <c r="N413" s="8">
        <f>VLOOKUP(B413,'[1]новый без картинок'!$A$5:$F$2672,6,0)</f>
        <v>212</v>
      </c>
    </row>
    <row r="414" spans="1:14" ht="149.44999999999999" customHeight="1" x14ac:dyDescent="0.2">
      <c r="A414" s="3">
        <v>412</v>
      </c>
      <c r="B414" s="3">
        <v>180215</v>
      </c>
      <c r="C414" s="4" t="str">
        <f>HYPERLINK("http://optservis.net:5080/photo?tov_code_internet=180215","Увеличить")</f>
        <v>Увеличить</v>
      </c>
      <c r="D414" s="3" t="s">
        <v>1145</v>
      </c>
      <c r="E414" s="3"/>
      <c r="F414" s="3" t="s">
        <v>1146</v>
      </c>
      <c r="G414" s="3" t="s">
        <v>1127</v>
      </c>
      <c r="H414" s="3">
        <v>5</v>
      </c>
      <c r="I414" s="3">
        <v>1</v>
      </c>
      <c r="J414" s="3" t="s">
        <v>18</v>
      </c>
      <c r="K414" s="5">
        <v>0</v>
      </c>
      <c r="L414" s="6">
        <v>0</v>
      </c>
      <c r="M414" s="7" t="s">
        <v>1130</v>
      </c>
      <c r="N414" s="8">
        <f>VLOOKUP(B414,'[1]новый без картинок'!$A$5:$F$2672,6,0)</f>
        <v>195</v>
      </c>
    </row>
    <row r="415" spans="1:14" ht="151.15" customHeight="1" x14ac:dyDescent="0.2">
      <c r="A415" s="3">
        <v>413</v>
      </c>
      <c r="B415" s="3">
        <v>188776</v>
      </c>
      <c r="C415" s="4" t="str">
        <f>HYPERLINK("http://optservis.net:5080/photo?tov_code_internet=188776","Увеличить")</f>
        <v>Увеличить</v>
      </c>
      <c r="D415" s="3" t="s">
        <v>1145</v>
      </c>
      <c r="E415" s="3" t="s">
        <v>1147</v>
      </c>
      <c r="F415" s="3" t="s">
        <v>1148</v>
      </c>
      <c r="G415" s="3" t="s">
        <v>1127</v>
      </c>
      <c r="H415" s="3">
        <v>5</v>
      </c>
      <c r="I415" s="3">
        <v>1</v>
      </c>
      <c r="J415" s="3" t="s">
        <v>18</v>
      </c>
      <c r="K415" s="5">
        <v>0.72</v>
      </c>
      <c r="L415" s="6">
        <v>4690654012946</v>
      </c>
      <c r="M415" s="7" t="s">
        <v>1149</v>
      </c>
      <c r="N415" s="8">
        <f>VLOOKUP(B415,'[1]новый без картинок'!$A$5:$F$2672,6,0)</f>
        <v>195</v>
      </c>
    </row>
    <row r="416" spans="1:14" ht="151.15" customHeight="1" x14ac:dyDescent="0.2">
      <c r="A416" s="3">
        <v>414</v>
      </c>
      <c r="B416" s="3">
        <v>188775</v>
      </c>
      <c r="C416" s="4" t="str">
        <f>HYPERLINK("http://optservis.net:5080/photo?tov_code_internet=188775","Увеличить")</f>
        <v>Увеличить</v>
      </c>
      <c r="D416" s="3" t="s">
        <v>1145</v>
      </c>
      <c r="E416" s="3" t="s">
        <v>1147</v>
      </c>
      <c r="F416" s="3" t="s">
        <v>1150</v>
      </c>
      <c r="G416" s="3" t="s">
        <v>1127</v>
      </c>
      <c r="H416" s="3">
        <v>5</v>
      </c>
      <c r="I416" s="3">
        <v>1</v>
      </c>
      <c r="J416" s="3" t="s">
        <v>18</v>
      </c>
      <c r="K416" s="5">
        <v>0.72</v>
      </c>
      <c r="L416" s="6">
        <v>4690654012953</v>
      </c>
      <c r="M416" s="7" t="s">
        <v>1151</v>
      </c>
      <c r="N416" s="8">
        <f>VLOOKUP(B416,'[1]новый без картинок'!$A$5:$F$2672,6,0)</f>
        <v>195</v>
      </c>
    </row>
    <row r="417" spans="1:14" ht="151.15" customHeight="1" x14ac:dyDescent="0.2">
      <c r="A417" s="3">
        <v>415</v>
      </c>
      <c r="B417" s="3">
        <v>180214</v>
      </c>
      <c r="C417" s="4" t="str">
        <f>HYPERLINK("http://optservis.net:5080/photo?tov_code_internet=180214","Увеличить")</f>
        <v>Увеличить</v>
      </c>
      <c r="D417" s="3" t="s">
        <v>1145</v>
      </c>
      <c r="E417" s="3" t="s">
        <v>1147</v>
      </c>
      <c r="F417" s="3" t="s">
        <v>1152</v>
      </c>
      <c r="G417" s="3" t="s">
        <v>1127</v>
      </c>
      <c r="H417" s="3">
        <v>5</v>
      </c>
      <c r="I417" s="3">
        <v>1</v>
      </c>
      <c r="J417" s="3" t="s">
        <v>18</v>
      </c>
      <c r="K417" s="5">
        <v>0</v>
      </c>
      <c r="L417" s="6">
        <v>4690654012960</v>
      </c>
      <c r="M417" s="7" t="s">
        <v>1130</v>
      </c>
      <c r="N417" s="8">
        <f>VLOOKUP(B417,'[1]новый без картинок'!$A$5:$F$2672,6,0)</f>
        <v>195</v>
      </c>
    </row>
    <row r="418" spans="1:14" ht="151.15" customHeight="1" x14ac:dyDescent="0.2">
      <c r="A418" s="3">
        <v>416</v>
      </c>
      <c r="B418" s="3">
        <v>179214</v>
      </c>
      <c r="C418" s="4" t="str">
        <f>HYPERLINK("http://optservis.net:5080/photo?tov_code_internet=179214","Увеличить")</f>
        <v>Увеличить</v>
      </c>
      <c r="D418" s="3" t="s">
        <v>1153</v>
      </c>
      <c r="E418" s="3" t="s">
        <v>1154</v>
      </c>
      <c r="F418" s="3" t="s">
        <v>1155</v>
      </c>
      <c r="G418" s="3" t="s">
        <v>788</v>
      </c>
      <c r="H418" s="3">
        <v>5</v>
      </c>
      <c r="I418" s="3">
        <v>1</v>
      </c>
      <c r="J418" s="3" t="s">
        <v>18</v>
      </c>
      <c r="K418" s="5">
        <v>0.74</v>
      </c>
      <c r="L418" s="6">
        <v>4690654010850</v>
      </c>
      <c r="M418" s="7" t="s">
        <v>1156</v>
      </c>
      <c r="N418" s="8">
        <f>VLOOKUP(B418,'[1]новый без картинок'!$A$5:$F$2672,6,0)</f>
        <v>172</v>
      </c>
    </row>
    <row r="419" spans="1:14" ht="151.15" customHeight="1" x14ac:dyDescent="0.2">
      <c r="A419" s="3">
        <v>417</v>
      </c>
      <c r="B419" s="3">
        <v>177001</v>
      </c>
      <c r="C419" s="4" t="str">
        <f>HYPERLINK("http://optservis.net:5080/photo?tov_code_internet=177001","Увеличить")</f>
        <v>Увеличить</v>
      </c>
      <c r="D419" s="3" t="s">
        <v>1153</v>
      </c>
      <c r="E419" s="3" t="s">
        <v>1154</v>
      </c>
      <c r="F419" s="3" t="s">
        <v>68</v>
      </c>
      <c r="G419" s="3" t="s">
        <v>788</v>
      </c>
      <c r="H419" s="3">
        <v>5</v>
      </c>
      <c r="I419" s="3">
        <v>1</v>
      </c>
      <c r="J419" s="3" t="s">
        <v>18</v>
      </c>
      <c r="K419" s="5">
        <v>0.7</v>
      </c>
      <c r="L419" s="6">
        <v>4690654010454</v>
      </c>
      <c r="M419" s="7" t="s">
        <v>1156</v>
      </c>
      <c r="N419" s="8">
        <f>VLOOKUP(B419,'[1]новый без картинок'!$A$5:$F$2672,6,0)</f>
        <v>172</v>
      </c>
    </row>
    <row r="420" spans="1:14" ht="151.15" customHeight="1" x14ac:dyDescent="0.2">
      <c r="A420" s="3">
        <v>418</v>
      </c>
      <c r="B420" s="3">
        <v>179890</v>
      </c>
      <c r="C420" s="4" t="str">
        <f>HYPERLINK("http://optservis.net:5080/photo?tov_code_internet=179890","Увеличить")</f>
        <v>Увеличить</v>
      </c>
      <c r="D420" s="3" t="s">
        <v>1153</v>
      </c>
      <c r="E420" s="3" t="s">
        <v>1154</v>
      </c>
      <c r="F420" s="3" t="s">
        <v>1157</v>
      </c>
      <c r="G420" s="3" t="s">
        <v>788</v>
      </c>
      <c r="H420" s="3">
        <v>5</v>
      </c>
      <c r="I420" s="3">
        <v>1</v>
      </c>
      <c r="J420" s="3" t="s">
        <v>18</v>
      </c>
      <c r="K420" s="5">
        <v>0</v>
      </c>
      <c r="L420" s="6">
        <v>0</v>
      </c>
      <c r="M420" s="7" t="s">
        <v>1158</v>
      </c>
      <c r="N420" s="8">
        <f>VLOOKUP(B420,'[1]новый без картинок'!$A$5:$F$2672,6,0)</f>
        <v>172</v>
      </c>
    </row>
    <row r="421" spans="1:14" ht="151.15" customHeight="1" x14ac:dyDescent="0.2">
      <c r="A421" s="3">
        <v>419</v>
      </c>
      <c r="B421" s="3">
        <v>169983</v>
      </c>
      <c r="C421" s="4" t="str">
        <f>HYPERLINK("http://optservis.net:5080/photo?tov_code_internet=169983","Увеличить")</f>
        <v>Увеличить</v>
      </c>
      <c r="D421" s="3" t="s">
        <v>1153</v>
      </c>
      <c r="E421" s="3" t="s">
        <v>1154</v>
      </c>
      <c r="F421" s="3" t="s">
        <v>1159</v>
      </c>
      <c r="G421" s="3" t="s">
        <v>788</v>
      </c>
      <c r="H421" s="3">
        <v>5</v>
      </c>
      <c r="I421" s="3">
        <v>1</v>
      </c>
      <c r="J421" s="3" t="s">
        <v>18</v>
      </c>
      <c r="K421" s="5">
        <v>0.7</v>
      </c>
      <c r="L421" s="6">
        <v>4690654008703</v>
      </c>
      <c r="M421" s="7" t="s">
        <v>1160</v>
      </c>
      <c r="N421" s="8">
        <f>VLOOKUP(B421,'[1]новый без картинок'!$A$5:$F$2672,6,0)</f>
        <v>172</v>
      </c>
    </row>
    <row r="422" spans="1:14" ht="151.15" customHeight="1" x14ac:dyDescent="0.2">
      <c r="A422" s="3">
        <v>420</v>
      </c>
      <c r="B422" s="3">
        <v>180321</v>
      </c>
      <c r="C422" s="4" t="str">
        <f>HYPERLINK("http://optservis.net:5080/photo?tov_code_internet=180321","Увеличить")</f>
        <v>Увеличить</v>
      </c>
      <c r="D422" s="3" t="s">
        <v>1153</v>
      </c>
      <c r="E422" s="3" t="s">
        <v>1154</v>
      </c>
      <c r="F422" s="3" t="s">
        <v>844</v>
      </c>
      <c r="G422" s="3" t="s">
        <v>788</v>
      </c>
      <c r="H422" s="3">
        <v>5</v>
      </c>
      <c r="I422" s="3">
        <v>1</v>
      </c>
      <c r="J422" s="3" t="s">
        <v>18</v>
      </c>
      <c r="K422" s="5">
        <v>0.7</v>
      </c>
      <c r="L422" s="6">
        <v>4690654010928</v>
      </c>
      <c r="M422" s="7" t="s">
        <v>1160</v>
      </c>
      <c r="N422" s="8">
        <f>VLOOKUP(B422,'[1]новый без картинок'!$A$5:$F$2672,6,0)</f>
        <v>172</v>
      </c>
    </row>
    <row r="423" spans="1:14" ht="151.15" customHeight="1" x14ac:dyDescent="0.2">
      <c r="A423" s="3">
        <v>421</v>
      </c>
      <c r="B423" s="3">
        <v>169984</v>
      </c>
      <c r="C423" s="4" t="str">
        <f>HYPERLINK("http://optservis.net:5080/photo?tov_code_internet=169984","Увеличить")</f>
        <v>Увеличить</v>
      </c>
      <c r="D423" s="3" t="s">
        <v>1153</v>
      </c>
      <c r="E423" s="3" t="s">
        <v>1154</v>
      </c>
      <c r="F423" s="3" t="s">
        <v>1161</v>
      </c>
      <c r="G423" s="3" t="s">
        <v>788</v>
      </c>
      <c r="H423" s="3">
        <v>5</v>
      </c>
      <c r="I423" s="3">
        <v>1</v>
      </c>
      <c r="J423" s="3" t="s">
        <v>18</v>
      </c>
      <c r="K423" s="5">
        <v>0.69</v>
      </c>
      <c r="L423" s="6">
        <v>4690654008710</v>
      </c>
      <c r="M423" s="7" t="s">
        <v>1162</v>
      </c>
      <c r="N423" s="8">
        <f>VLOOKUP(B423,'[1]новый без картинок'!$A$5:$F$2672,6,0)</f>
        <v>172</v>
      </c>
    </row>
    <row r="424" spans="1:14" ht="149.44999999999999" customHeight="1" x14ac:dyDescent="0.2">
      <c r="A424" s="3">
        <v>422</v>
      </c>
      <c r="B424" s="3">
        <v>204769</v>
      </c>
      <c r="C424" s="4" t="str">
        <f>HYPERLINK("http://optservis.net:5080/photo?tov_code_internet=204769","Увеличить")</f>
        <v>Увеличить</v>
      </c>
      <c r="D424" s="3" t="s">
        <v>1153</v>
      </c>
      <c r="E424" s="3" t="s">
        <v>1154</v>
      </c>
      <c r="F424" s="3" t="s">
        <v>1163</v>
      </c>
      <c r="G424" s="3" t="s">
        <v>788</v>
      </c>
      <c r="H424" s="3">
        <v>5</v>
      </c>
      <c r="I424" s="3">
        <v>1</v>
      </c>
      <c r="J424" s="3" t="s">
        <v>18</v>
      </c>
      <c r="K424" s="5">
        <v>0.76</v>
      </c>
      <c r="L424" s="6">
        <v>4690654017309</v>
      </c>
      <c r="M424" s="7" t="s">
        <v>1156</v>
      </c>
      <c r="N424" s="8">
        <f>VLOOKUP(B424,'[1]новый без картинок'!$A$5:$F$2672,6,0)</f>
        <v>181</v>
      </c>
    </row>
    <row r="425" spans="1:14" ht="151.15" customHeight="1" x14ac:dyDescent="0.2">
      <c r="A425" s="3">
        <v>423</v>
      </c>
      <c r="B425" s="3">
        <v>174692</v>
      </c>
      <c r="C425" s="4" t="str">
        <f>HYPERLINK("http://optservis.net:5080/photo?tov_code_internet=174692","Увеличить")</f>
        <v>Увеличить</v>
      </c>
      <c r="D425" s="3" t="s">
        <v>1164</v>
      </c>
      <c r="E425" s="3" t="s">
        <v>1165</v>
      </c>
      <c r="F425" s="3" t="s">
        <v>1166</v>
      </c>
      <c r="G425" s="3" t="s">
        <v>832</v>
      </c>
      <c r="H425" s="3">
        <v>4</v>
      </c>
      <c r="I425" s="3">
        <v>1</v>
      </c>
      <c r="J425" s="3" t="s">
        <v>18</v>
      </c>
      <c r="K425" s="5">
        <v>0.69</v>
      </c>
      <c r="L425" s="6">
        <v>4690654009861</v>
      </c>
      <c r="M425" s="7" t="s">
        <v>1167</v>
      </c>
      <c r="N425" s="8">
        <f>VLOOKUP(B425,'[1]новый без картинок'!$A$5:$F$2672,6,0)</f>
        <v>205</v>
      </c>
    </row>
    <row r="426" spans="1:14" ht="151.15" customHeight="1" x14ac:dyDescent="0.2">
      <c r="A426" s="3">
        <v>424</v>
      </c>
      <c r="B426" s="3">
        <v>179414</v>
      </c>
      <c r="C426" s="4" t="str">
        <f>HYPERLINK("http://optservis.net:5080/photo?tov_code_internet=179414","Увеличить")</f>
        <v>Увеличить</v>
      </c>
      <c r="D426" s="3" t="s">
        <v>1164</v>
      </c>
      <c r="E426" s="3" t="s">
        <v>1165</v>
      </c>
      <c r="F426" s="3" t="s">
        <v>280</v>
      </c>
      <c r="G426" s="3" t="s">
        <v>832</v>
      </c>
      <c r="H426" s="3">
        <v>4</v>
      </c>
      <c r="I426" s="3">
        <v>1</v>
      </c>
      <c r="J426" s="3" t="s">
        <v>18</v>
      </c>
      <c r="K426" s="5">
        <v>0.7</v>
      </c>
      <c r="L426" s="6">
        <v>4690654010935</v>
      </c>
      <c r="M426" s="7" t="s">
        <v>1168</v>
      </c>
      <c r="N426" s="8">
        <f>VLOOKUP(B426,'[1]новый без картинок'!$A$5:$F$2672,6,0)</f>
        <v>205</v>
      </c>
    </row>
    <row r="427" spans="1:14" ht="149.44999999999999" customHeight="1" x14ac:dyDescent="0.2">
      <c r="A427" s="3">
        <v>425</v>
      </c>
      <c r="B427" s="3">
        <v>179415</v>
      </c>
      <c r="C427" s="4" t="str">
        <f>HYPERLINK("http://optservis.net:5080/photo?tov_code_internet=179415","Увеличить")</f>
        <v>Увеличить</v>
      </c>
      <c r="D427" s="3" t="s">
        <v>1164</v>
      </c>
      <c r="E427" s="3" t="s">
        <v>1165</v>
      </c>
      <c r="F427" s="3" t="s">
        <v>1169</v>
      </c>
      <c r="G427" s="3" t="s">
        <v>832</v>
      </c>
      <c r="H427" s="3">
        <v>4</v>
      </c>
      <c r="I427" s="3">
        <v>1</v>
      </c>
      <c r="J427" s="3" t="s">
        <v>18</v>
      </c>
      <c r="K427" s="5">
        <v>0.7</v>
      </c>
      <c r="L427" s="6">
        <v>4690654010942</v>
      </c>
      <c r="M427" s="7" t="s">
        <v>1168</v>
      </c>
      <c r="N427" s="8">
        <f>VLOOKUP(B427,'[1]новый без картинок'!$A$5:$F$2672,6,0)</f>
        <v>205</v>
      </c>
    </row>
    <row r="428" spans="1:14" ht="151.15" customHeight="1" x14ac:dyDescent="0.2">
      <c r="A428" s="3">
        <v>426</v>
      </c>
      <c r="B428" s="3">
        <v>172653</v>
      </c>
      <c r="C428" s="4" t="str">
        <f>HYPERLINK("http://optservis.net:5080/photo?tov_code_internet=172653","Увеличить")</f>
        <v>Увеличить</v>
      </c>
      <c r="D428" s="3" t="s">
        <v>1164</v>
      </c>
      <c r="E428" s="3" t="s">
        <v>1165</v>
      </c>
      <c r="F428" s="3" t="s">
        <v>1170</v>
      </c>
      <c r="G428" s="3" t="s">
        <v>832</v>
      </c>
      <c r="H428" s="3">
        <v>4</v>
      </c>
      <c r="I428" s="3">
        <v>1</v>
      </c>
      <c r="J428" s="3" t="s">
        <v>18</v>
      </c>
      <c r="K428" s="5">
        <v>0.7</v>
      </c>
      <c r="L428" s="6">
        <v>4690654009236</v>
      </c>
      <c r="M428" s="7" t="s">
        <v>1171</v>
      </c>
      <c r="N428" s="8">
        <f>VLOOKUP(B428,'[1]новый без картинок'!$A$5:$F$2672,6,0)</f>
        <v>209</v>
      </c>
    </row>
    <row r="429" spans="1:14" ht="151.15" customHeight="1" x14ac:dyDescent="0.2">
      <c r="A429" s="3">
        <v>427</v>
      </c>
      <c r="B429" s="3">
        <v>180358</v>
      </c>
      <c r="C429" s="4" t="str">
        <f>HYPERLINK("http://optservis.net:5080/photo?tov_code_internet=180358","Увеличить")</f>
        <v>Увеличить</v>
      </c>
      <c r="D429" s="3" t="s">
        <v>1172</v>
      </c>
      <c r="E429" s="3"/>
      <c r="F429" s="3" t="s">
        <v>1173</v>
      </c>
      <c r="G429" s="3" t="s">
        <v>1127</v>
      </c>
      <c r="H429" s="3">
        <v>5</v>
      </c>
      <c r="I429" s="3">
        <v>1</v>
      </c>
      <c r="J429" s="3" t="s">
        <v>18</v>
      </c>
      <c r="K429" s="5">
        <v>0</v>
      </c>
      <c r="L429" s="6">
        <v>0</v>
      </c>
      <c r="M429" s="7" t="s">
        <v>1174</v>
      </c>
      <c r="N429" s="8">
        <f>VLOOKUP(B429,'[1]новый без картинок'!$A$5:$F$2672,6,0)</f>
        <v>189</v>
      </c>
    </row>
    <row r="430" spans="1:14" ht="151.15" customHeight="1" x14ac:dyDescent="0.2">
      <c r="A430" s="3">
        <v>428</v>
      </c>
      <c r="B430" s="3">
        <v>188774</v>
      </c>
      <c r="C430" s="4" t="str">
        <f>HYPERLINK("http://optservis.net:5080/photo?tov_code_internet=188774","Увеличить")</f>
        <v>Увеличить</v>
      </c>
      <c r="D430" s="3" t="s">
        <v>1172</v>
      </c>
      <c r="E430" s="3" t="s">
        <v>1175</v>
      </c>
      <c r="F430" s="3" t="s">
        <v>1148</v>
      </c>
      <c r="G430" s="3" t="s">
        <v>1127</v>
      </c>
      <c r="H430" s="3">
        <v>5</v>
      </c>
      <c r="I430" s="3">
        <v>1</v>
      </c>
      <c r="J430" s="3" t="s">
        <v>18</v>
      </c>
      <c r="K430" s="5">
        <v>0.72</v>
      </c>
      <c r="L430" s="6">
        <v>4690654012977</v>
      </c>
      <c r="M430" s="7" t="s">
        <v>1176</v>
      </c>
      <c r="N430" s="8">
        <f>VLOOKUP(B430,'[1]новый без картинок'!$A$5:$F$2672,6,0)</f>
        <v>189</v>
      </c>
    </row>
    <row r="431" spans="1:14" ht="151.15" customHeight="1" x14ac:dyDescent="0.2">
      <c r="A431" s="3">
        <v>429</v>
      </c>
      <c r="B431" s="3">
        <v>188773</v>
      </c>
      <c r="C431" s="4" t="str">
        <f>HYPERLINK("http://optservis.net:5080/photo?tov_code_internet=188773","Увеличить")</f>
        <v>Увеличить</v>
      </c>
      <c r="D431" s="3" t="s">
        <v>1172</v>
      </c>
      <c r="E431" s="3" t="s">
        <v>1175</v>
      </c>
      <c r="F431" s="3" t="s">
        <v>1150</v>
      </c>
      <c r="G431" s="3" t="s">
        <v>1127</v>
      </c>
      <c r="H431" s="3">
        <v>5</v>
      </c>
      <c r="I431" s="3">
        <v>1</v>
      </c>
      <c r="J431" s="3" t="s">
        <v>18</v>
      </c>
      <c r="K431" s="5">
        <v>0.72</v>
      </c>
      <c r="L431" s="6">
        <v>4690654012984</v>
      </c>
      <c r="M431" s="7" t="s">
        <v>1176</v>
      </c>
      <c r="N431" s="8">
        <f>VLOOKUP(B431,'[1]новый без картинок'!$A$5:$F$2672,6,0)</f>
        <v>189</v>
      </c>
    </row>
    <row r="432" spans="1:14" ht="149.44999999999999" customHeight="1" x14ac:dyDescent="0.2">
      <c r="A432" s="3">
        <v>430</v>
      </c>
      <c r="B432" s="3">
        <v>876920</v>
      </c>
      <c r="C432" s="4" t="str">
        <f>HYPERLINK("http://optservis.net:5080/photo?tov_code_internet=876920","Увеличить")</f>
        <v>Увеличить</v>
      </c>
      <c r="D432" s="3" t="s">
        <v>1177</v>
      </c>
      <c r="E432" s="3" t="s">
        <v>1178</v>
      </c>
      <c r="F432" s="3" t="s">
        <v>280</v>
      </c>
      <c r="G432" s="3" t="s">
        <v>17</v>
      </c>
      <c r="H432" s="3">
        <v>1</v>
      </c>
      <c r="I432" s="3">
        <v>1</v>
      </c>
      <c r="J432" s="3" t="s">
        <v>18</v>
      </c>
      <c r="K432" s="5">
        <v>0.34</v>
      </c>
      <c r="L432" s="6">
        <v>4690654999490</v>
      </c>
      <c r="M432" s="7" t="s">
        <v>1179</v>
      </c>
      <c r="N432" s="8">
        <f>VLOOKUP(B432,'[1]новый без картинок'!$A$5:$F$2672,6,0)</f>
        <v>165</v>
      </c>
    </row>
    <row r="433" spans="1:14" ht="149.44999999999999" customHeight="1" x14ac:dyDescent="0.2">
      <c r="A433" s="3">
        <v>431</v>
      </c>
      <c r="B433" s="3">
        <v>920083</v>
      </c>
      <c r="C433" s="4" t="str">
        <f>HYPERLINK("http://optservis.net:5080/photo?tov_code_internet=920083","Увеличить")</f>
        <v>Увеличить</v>
      </c>
      <c r="D433" s="3" t="s">
        <v>1177</v>
      </c>
      <c r="E433" s="3" t="s">
        <v>1178</v>
      </c>
      <c r="F433" s="3" t="s">
        <v>1180</v>
      </c>
      <c r="G433" s="3" t="s">
        <v>17</v>
      </c>
      <c r="H433" s="3">
        <v>1</v>
      </c>
      <c r="I433" s="3">
        <v>1</v>
      </c>
      <c r="J433" s="3" t="s">
        <v>18</v>
      </c>
      <c r="K433" s="5">
        <v>0.34</v>
      </c>
      <c r="L433" s="6">
        <v>4640020772615</v>
      </c>
      <c r="M433" s="7" t="s">
        <v>1181</v>
      </c>
      <c r="N433" s="8">
        <f>VLOOKUP(B433,'[1]новый без картинок'!$A$5:$F$2672,6,0)</f>
        <v>156</v>
      </c>
    </row>
    <row r="434" spans="1:14" ht="151.15" customHeight="1" x14ac:dyDescent="0.2">
      <c r="A434" s="3">
        <v>432</v>
      </c>
      <c r="B434" s="3">
        <v>992168</v>
      </c>
      <c r="C434" s="4" t="str">
        <f>HYPERLINK("http://optservis.net:5080/photo?tov_code_internet=992168","Увеличить")</f>
        <v>Увеличить</v>
      </c>
      <c r="D434" s="3" t="s">
        <v>1182</v>
      </c>
      <c r="E434" s="3" t="s">
        <v>1183</v>
      </c>
      <c r="F434" s="3" t="s">
        <v>1052</v>
      </c>
      <c r="G434" s="3" t="s">
        <v>897</v>
      </c>
      <c r="H434" s="3">
        <v>1</v>
      </c>
      <c r="I434" s="3">
        <v>1</v>
      </c>
      <c r="J434" s="3" t="s">
        <v>18</v>
      </c>
      <c r="K434" s="5">
        <v>0.08</v>
      </c>
      <c r="L434" s="6">
        <v>4690654000776</v>
      </c>
      <c r="M434" s="7" t="s">
        <v>1184</v>
      </c>
      <c r="N434" s="8">
        <f>VLOOKUP(B434,'[1]новый без картинок'!$A$5:$F$2672,6,0)</f>
        <v>135</v>
      </c>
    </row>
    <row r="435" spans="1:14" ht="151.15" customHeight="1" x14ac:dyDescent="0.2">
      <c r="A435" s="3">
        <v>433</v>
      </c>
      <c r="B435" s="3">
        <v>979892</v>
      </c>
      <c r="C435" s="4" t="str">
        <f>HYPERLINK("http://optservis.net:5080/photo?tov_code_internet=979892","Увеличить")</f>
        <v>Увеличить</v>
      </c>
      <c r="D435" s="3" t="s">
        <v>1185</v>
      </c>
      <c r="E435" s="3"/>
      <c r="F435" s="3" t="s">
        <v>863</v>
      </c>
      <c r="G435" s="3" t="s">
        <v>1186</v>
      </c>
      <c r="H435" s="3">
        <v>1</v>
      </c>
      <c r="I435" s="3">
        <v>1</v>
      </c>
      <c r="J435" s="3" t="s">
        <v>18</v>
      </c>
      <c r="K435" s="5">
        <v>0</v>
      </c>
      <c r="L435" s="6">
        <v>0</v>
      </c>
      <c r="M435" s="7" t="s">
        <v>1187</v>
      </c>
      <c r="N435" s="8">
        <f>VLOOKUP(B435,'[1]новый без картинок'!$A$5:$F$2672,6,0)</f>
        <v>628</v>
      </c>
    </row>
    <row r="436" spans="1:14" ht="151.15" customHeight="1" x14ac:dyDescent="0.2">
      <c r="A436" s="3">
        <v>434</v>
      </c>
      <c r="B436" s="3">
        <v>979889</v>
      </c>
      <c r="C436" s="4" t="str">
        <f>HYPERLINK("http://optservis.net:5080/photo?tov_code_internet=979889","Увеличить")</f>
        <v>Увеличить</v>
      </c>
      <c r="D436" s="3" t="s">
        <v>1185</v>
      </c>
      <c r="E436" s="3"/>
      <c r="F436" s="3" t="s">
        <v>1188</v>
      </c>
      <c r="G436" s="3" t="s">
        <v>1189</v>
      </c>
      <c r="H436" s="3">
        <v>1</v>
      </c>
      <c r="I436" s="3">
        <v>1</v>
      </c>
      <c r="J436" s="3" t="s">
        <v>18</v>
      </c>
      <c r="K436" s="5">
        <v>0</v>
      </c>
      <c r="L436" s="6">
        <v>0</v>
      </c>
      <c r="M436" s="7" t="s">
        <v>1190</v>
      </c>
      <c r="N436" s="8">
        <f>VLOOKUP(B436,'[1]новый без картинок'!$A$5:$F$2672,6,0)</f>
        <v>571</v>
      </c>
    </row>
    <row r="437" spans="1:14" ht="151.15" customHeight="1" x14ac:dyDescent="0.2">
      <c r="A437" s="3">
        <v>435</v>
      </c>
      <c r="B437" s="3">
        <v>987527</v>
      </c>
      <c r="C437" s="4" t="str">
        <f>HYPERLINK("http://optservis.net:5080/photo?tov_code_internet=987527","Увеличить")</f>
        <v>Увеличить</v>
      </c>
      <c r="D437" s="3" t="s">
        <v>1185</v>
      </c>
      <c r="E437" s="3" t="s">
        <v>1191</v>
      </c>
      <c r="F437" s="3" t="s">
        <v>1192</v>
      </c>
      <c r="G437" s="3" t="s">
        <v>1189</v>
      </c>
      <c r="H437" s="3">
        <v>1</v>
      </c>
      <c r="I437" s="3">
        <v>1</v>
      </c>
      <c r="J437" s="3" t="s">
        <v>18</v>
      </c>
      <c r="K437" s="5">
        <v>0.28000000000000003</v>
      </c>
      <c r="L437" s="6">
        <v>4690654000172</v>
      </c>
      <c r="M437" s="7" t="s">
        <v>1193</v>
      </c>
      <c r="N437" s="8">
        <f>VLOOKUP(B437,'[1]новый без картинок'!$A$5:$F$2672,6,0)</f>
        <v>725</v>
      </c>
    </row>
    <row r="438" spans="1:14" ht="151.15" customHeight="1" x14ac:dyDescent="0.2">
      <c r="A438" s="3">
        <v>436</v>
      </c>
      <c r="B438" s="3">
        <v>987522</v>
      </c>
      <c r="C438" s="4" t="str">
        <f>HYPERLINK("http://optservis.net:5080/photo?tov_code_internet=987522","Увеличить")</f>
        <v>Увеличить</v>
      </c>
      <c r="D438" s="3" t="s">
        <v>1185</v>
      </c>
      <c r="E438" s="3" t="s">
        <v>1191</v>
      </c>
      <c r="F438" s="3" t="s">
        <v>1194</v>
      </c>
      <c r="G438" s="3" t="s">
        <v>1186</v>
      </c>
      <c r="H438" s="3">
        <v>1</v>
      </c>
      <c r="I438" s="3">
        <v>1</v>
      </c>
      <c r="J438" s="3" t="s">
        <v>18</v>
      </c>
      <c r="K438" s="5">
        <v>0.28000000000000003</v>
      </c>
      <c r="L438" s="6">
        <v>4690654003333</v>
      </c>
      <c r="M438" s="7" t="s">
        <v>1195</v>
      </c>
      <c r="N438" s="8">
        <f>VLOOKUP(B438,'[1]новый без картинок'!$A$5:$F$2672,6,0)</f>
        <v>875</v>
      </c>
    </row>
    <row r="439" spans="1:14" ht="151.15" customHeight="1" x14ac:dyDescent="0.2">
      <c r="A439" s="3">
        <v>437</v>
      </c>
      <c r="B439" s="3">
        <v>979891</v>
      </c>
      <c r="C439" s="4" t="str">
        <f>HYPERLINK("http://optservis.net:5080/photo?tov_code_internet=979891","Увеличить")</f>
        <v>Увеличить</v>
      </c>
      <c r="D439" s="3" t="s">
        <v>1185</v>
      </c>
      <c r="E439" s="3" t="s">
        <v>1191</v>
      </c>
      <c r="F439" s="3" t="s">
        <v>1196</v>
      </c>
      <c r="G439" s="3" t="s">
        <v>1197</v>
      </c>
      <c r="H439" s="3">
        <v>1</v>
      </c>
      <c r="I439" s="3">
        <v>1</v>
      </c>
      <c r="J439" s="3" t="s">
        <v>18</v>
      </c>
      <c r="K439" s="5">
        <v>0.3</v>
      </c>
      <c r="L439" s="6">
        <v>4690654001995</v>
      </c>
      <c r="M439" s="7" t="s">
        <v>1198</v>
      </c>
      <c r="N439" s="8">
        <f>VLOOKUP(B439,'[1]новый без картинок'!$A$5:$F$2672,6,0)</f>
        <v>766</v>
      </c>
    </row>
    <row r="440" spans="1:14" ht="151.15" customHeight="1" x14ac:dyDescent="0.2">
      <c r="A440" s="3">
        <v>438</v>
      </c>
      <c r="B440" s="3">
        <v>979890</v>
      </c>
      <c r="C440" s="4" t="str">
        <f>HYPERLINK("http://optservis.net:5080/photo?tov_code_internet=979890","Увеличить")</f>
        <v>Увеличить</v>
      </c>
      <c r="D440" s="3" t="s">
        <v>1185</v>
      </c>
      <c r="E440" s="3" t="s">
        <v>1191</v>
      </c>
      <c r="F440" s="3" t="s">
        <v>1199</v>
      </c>
      <c r="G440" s="3" t="s">
        <v>1200</v>
      </c>
      <c r="H440" s="3">
        <v>1</v>
      </c>
      <c r="I440" s="3">
        <v>1</v>
      </c>
      <c r="J440" s="3" t="s">
        <v>18</v>
      </c>
      <c r="K440" s="5">
        <v>0.3</v>
      </c>
      <c r="L440" s="6">
        <v>4690654001742</v>
      </c>
      <c r="M440" s="7" t="s">
        <v>1201</v>
      </c>
      <c r="N440" s="8">
        <f>VLOOKUP(B440,'[1]новый без картинок'!$A$5:$F$2672,6,0)</f>
        <v>644</v>
      </c>
    </row>
    <row r="441" spans="1:14" ht="138.6" customHeight="1" x14ac:dyDescent="0.2">
      <c r="A441" s="3">
        <v>439</v>
      </c>
      <c r="B441" s="3">
        <v>957514</v>
      </c>
      <c r="C441" s="4" t="str">
        <f>HYPERLINK("http://optservis.net:5080/photo?tov_code_internet=957514","Увеличить")</f>
        <v>Увеличить</v>
      </c>
      <c r="D441" s="3" t="s">
        <v>1202</v>
      </c>
      <c r="E441" s="3" t="s">
        <v>1203</v>
      </c>
      <c r="F441" s="3" t="s">
        <v>1204</v>
      </c>
      <c r="G441" s="3" t="s">
        <v>373</v>
      </c>
      <c r="H441" s="3">
        <v>0.5</v>
      </c>
      <c r="I441" s="3">
        <v>0</v>
      </c>
      <c r="J441" s="3" t="s">
        <v>18</v>
      </c>
      <c r="K441" s="5">
        <v>0.04</v>
      </c>
      <c r="L441" s="6">
        <v>4690654010737</v>
      </c>
      <c r="M441" s="7" t="s">
        <v>1205</v>
      </c>
      <c r="N441" s="8">
        <f>VLOOKUP(B441,'[1]новый без картинок'!$A$5:$F$2672,6,0)</f>
        <v>146</v>
      </c>
    </row>
    <row r="442" spans="1:14" ht="138.6" customHeight="1" x14ac:dyDescent="0.2">
      <c r="A442" s="3">
        <v>440</v>
      </c>
      <c r="B442" s="3">
        <v>970191</v>
      </c>
      <c r="C442" s="4" t="str">
        <f>HYPERLINK("http://optservis.net:5080/photo?tov_code_internet=970191","Увеличить")</f>
        <v>Увеличить</v>
      </c>
      <c r="D442" s="3" t="s">
        <v>1202</v>
      </c>
      <c r="E442" s="3" t="s">
        <v>1203</v>
      </c>
      <c r="F442" s="3" t="s">
        <v>1206</v>
      </c>
      <c r="G442" s="3" t="s">
        <v>1207</v>
      </c>
      <c r="H442" s="3">
        <v>0.5</v>
      </c>
      <c r="I442" s="3">
        <v>0</v>
      </c>
      <c r="J442" s="3" t="s">
        <v>18</v>
      </c>
      <c r="K442" s="5">
        <v>0.04</v>
      </c>
      <c r="L442" s="6">
        <v>4690654003340</v>
      </c>
      <c r="M442" s="7" t="s">
        <v>1208</v>
      </c>
      <c r="N442" s="8">
        <f>VLOOKUP(B442,'[1]новый без картинок'!$A$5:$F$2672,6,0)</f>
        <v>133</v>
      </c>
    </row>
    <row r="443" spans="1:14" ht="138.6" customHeight="1" x14ac:dyDescent="0.2">
      <c r="A443" s="3">
        <v>441</v>
      </c>
      <c r="B443" s="3">
        <v>957515</v>
      </c>
      <c r="C443" s="4" t="str">
        <f>HYPERLINK("http://optservis.net:5080/photo?tov_code_internet=957515","Увеличить")</f>
        <v>Увеличить</v>
      </c>
      <c r="D443" s="3" t="s">
        <v>1202</v>
      </c>
      <c r="E443" s="3" t="s">
        <v>1203</v>
      </c>
      <c r="F443" s="3" t="s">
        <v>1209</v>
      </c>
      <c r="G443" s="3" t="s">
        <v>373</v>
      </c>
      <c r="H443" s="3">
        <v>0.5</v>
      </c>
      <c r="I443" s="3">
        <v>0</v>
      </c>
      <c r="J443" s="3" t="s">
        <v>18</v>
      </c>
      <c r="K443" s="5">
        <v>0.04</v>
      </c>
      <c r="L443" s="6">
        <v>4690654003357</v>
      </c>
      <c r="M443" s="7" t="s">
        <v>1208</v>
      </c>
      <c r="N443" s="8">
        <f>VLOOKUP(B443,'[1]новый без картинок'!$A$5:$F$2672,6,0)</f>
        <v>144</v>
      </c>
    </row>
    <row r="444" spans="1:14" ht="138.6" customHeight="1" x14ac:dyDescent="0.2">
      <c r="A444" s="3">
        <v>442</v>
      </c>
      <c r="B444" s="3">
        <v>970190</v>
      </c>
      <c r="C444" s="4" t="str">
        <f>HYPERLINK("http://optservis.net:5080/photo?tov_code_internet=970190","Увеличить")</f>
        <v>Увеличить</v>
      </c>
      <c r="D444" s="3" t="s">
        <v>1202</v>
      </c>
      <c r="E444" s="3" t="s">
        <v>1203</v>
      </c>
      <c r="F444" s="3" t="s">
        <v>1210</v>
      </c>
      <c r="G444" s="3" t="s">
        <v>373</v>
      </c>
      <c r="H444" s="3">
        <v>0.5</v>
      </c>
      <c r="I444" s="3">
        <v>0</v>
      </c>
      <c r="J444" s="3" t="s">
        <v>18</v>
      </c>
      <c r="K444" s="5">
        <v>0.04</v>
      </c>
      <c r="L444" s="6">
        <v>4690654005757</v>
      </c>
      <c r="M444" s="7" t="s">
        <v>1208</v>
      </c>
      <c r="N444" s="8">
        <f>VLOOKUP(B444,'[1]новый без картинок'!$A$5:$F$2672,6,0)</f>
        <v>143</v>
      </c>
    </row>
    <row r="445" spans="1:14" ht="138.6" customHeight="1" x14ac:dyDescent="0.2">
      <c r="A445" s="3">
        <v>443</v>
      </c>
      <c r="B445" s="3">
        <v>931437</v>
      </c>
      <c r="C445" s="4" t="str">
        <f>HYPERLINK("http://optservis.net:5080/photo?tov_code_internet=931437","Увеличить")</f>
        <v>Увеличить</v>
      </c>
      <c r="D445" s="3" t="s">
        <v>1202</v>
      </c>
      <c r="E445" s="3" t="s">
        <v>1203</v>
      </c>
      <c r="F445" s="3" t="s">
        <v>1211</v>
      </c>
      <c r="G445" s="3" t="s">
        <v>1212</v>
      </c>
      <c r="H445" s="3">
        <v>10</v>
      </c>
      <c r="I445" s="3">
        <v>1</v>
      </c>
      <c r="J445" s="3" t="s">
        <v>18</v>
      </c>
      <c r="K445" s="5">
        <v>0.66</v>
      </c>
      <c r="L445" s="6">
        <v>4640020772950</v>
      </c>
      <c r="M445" s="7" t="s">
        <v>1208</v>
      </c>
      <c r="N445" s="8">
        <f>VLOOKUP(B445,'[1]новый без картинок'!$A$5:$F$2672,6,0)</f>
        <v>143</v>
      </c>
    </row>
    <row r="446" spans="1:14" ht="138.6" customHeight="1" x14ac:dyDescent="0.2">
      <c r="A446" s="3">
        <v>444</v>
      </c>
      <c r="B446" s="3">
        <v>164038</v>
      </c>
      <c r="C446" s="4" t="str">
        <f>HYPERLINK("http://optservis.net:5080/photo?tov_code_internet=164038","Увеличить")</f>
        <v>Увеличить</v>
      </c>
      <c r="D446" s="3" t="s">
        <v>1213</v>
      </c>
      <c r="E446" s="3"/>
      <c r="F446" s="3" t="s">
        <v>1214</v>
      </c>
      <c r="G446" s="3" t="s">
        <v>373</v>
      </c>
      <c r="H446" s="3">
        <v>0.5</v>
      </c>
      <c r="I446" s="3">
        <v>0</v>
      </c>
      <c r="J446" s="3" t="s">
        <v>18</v>
      </c>
      <c r="K446" s="5">
        <v>0.04</v>
      </c>
      <c r="L446" s="6">
        <v>0</v>
      </c>
      <c r="M446" s="7" t="s">
        <v>1215</v>
      </c>
      <c r="N446" s="8">
        <f>VLOOKUP(B446,'[1]новый без картинок'!$A$5:$F$2672,6,0)</f>
        <v>143</v>
      </c>
    </row>
    <row r="447" spans="1:14" ht="138.6" customHeight="1" x14ac:dyDescent="0.2">
      <c r="A447" s="3">
        <v>445</v>
      </c>
      <c r="B447" s="3">
        <v>164042</v>
      </c>
      <c r="C447" s="4" t="str">
        <f>HYPERLINK("http://optservis.net:5080/photo?tov_code_internet=164042","Увеличить")</f>
        <v>Увеличить</v>
      </c>
      <c r="D447" s="3" t="s">
        <v>1213</v>
      </c>
      <c r="E447" s="3"/>
      <c r="F447" s="3" t="s">
        <v>1216</v>
      </c>
      <c r="G447" s="3" t="s">
        <v>373</v>
      </c>
      <c r="H447" s="3">
        <v>0.5</v>
      </c>
      <c r="I447" s="3">
        <v>0</v>
      </c>
      <c r="J447" s="3" t="s">
        <v>18</v>
      </c>
      <c r="K447" s="5">
        <v>0.04</v>
      </c>
      <c r="L447" s="6">
        <v>0</v>
      </c>
      <c r="M447" s="7" t="s">
        <v>1215</v>
      </c>
      <c r="N447" s="8">
        <f>VLOOKUP(B447,'[1]новый без картинок'!$A$5:$F$2672,6,0)</f>
        <v>143</v>
      </c>
    </row>
    <row r="448" spans="1:14" ht="138.6" customHeight="1" x14ac:dyDescent="0.2">
      <c r="A448" s="3">
        <v>446</v>
      </c>
      <c r="B448" s="3">
        <v>163993</v>
      </c>
      <c r="C448" s="4" t="str">
        <f>HYPERLINK("http://optservis.net:5080/photo?tov_code_internet=163993","Увеличить")</f>
        <v>Увеличить</v>
      </c>
      <c r="D448" s="3" t="s">
        <v>1217</v>
      </c>
      <c r="E448" s="3"/>
      <c r="F448" s="3" t="s">
        <v>1218</v>
      </c>
      <c r="G448" s="3" t="s">
        <v>373</v>
      </c>
      <c r="H448" s="3">
        <v>0.5</v>
      </c>
      <c r="I448" s="3">
        <v>0</v>
      </c>
      <c r="J448" s="3" t="s">
        <v>18</v>
      </c>
      <c r="K448" s="5">
        <v>0.04</v>
      </c>
      <c r="L448" s="6">
        <v>0</v>
      </c>
      <c r="M448" s="7" t="s">
        <v>1219</v>
      </c>
      <c r="N448" s="8">
        <f>VLOOKUP(B448,'[1]новый без картинок'!$A$5:$F$2672,6,0)</f>
        <v>156</v>
      </c>
    </row>
    <row r="449" spans="1:14" ht="138.6" customHeight="1" x14ac:dyDescent="0.2">
      <c r="A449" s="3">
        <v>447</v>
      </c>
      <c r="B449" s="3">
        <v>164043</v>
      </c>
      <c r="C449" s="4" t="str">
        <f>HYPERLINK("http://optservis.net:5080/photo?tov_code_internet=164043","Увеличить")</f>
        <v>Увеличить</v>
      </c>
      <c r="D449" s="3" t="s">
        <v>1217</v>
      </c>
      <c r="E449" s="3"/>
      <c r="F449" s="3" t="s">
        <v>1220</v>
      </c>
      <c r="G449" s="3" t="s">
        <v>373</v>
      </c>
      <c r="H449" s="3">
        <v>0.5</v>
      </c>
      <c r="I449" s="3">
        <v>0</v>
      </c>
      <c r="J449" s="3" t="s">
        <v>18</v>
      </c>
      <c r="K449" s="5">
        <v>0.04</v>
      </c>
      <c r="L449" s="6">
        <v>0</v>
      </c>
      <c r="M449" s="7" t="s">
        <v>1221</v>
      </c>
      <c r="N449" s="8">
        <f>VLOOKUP(B449,'[1]новый без картинок'!$A$5:$F$2672,6,0)</f>
        <v>152</v>
      </c>
    </row>
    <row r="450" spans="1:14" ht="138.6" customHeight="1" x14ac:dyDescent="0.2">
      <c r="A450" s="3">
        <v>448</v>
      </c>
      <c r="B450" s="3">
        <v>164033</v>
      </c>
      <c r="C450" s="4" t="str">
        <f>HYPERLINK("http://optservis.net:5080/photo?tov_code_internet=164033","Увеличить")</f>
        <v>Увеличить</v>
      </c>
      <c r="D450" s="3" t="s">
        <v>1217</v>
      </c>
      <c r="E450" s="3" t="s">
        <v>1222</v>
      </c>
      <c r="F450" s="3" t="s">
        <v>1223</v>
      </c>
      <c r="G450" s="3" t="s">
        <v>373</v>
      </c>
      <c r="H450" s="3">
        <v>0.5</v>
      </c>
      <c r="I450" s="3">
        <v>0</v>
      </c>
      <c r="J450" s="3" t="s">
        <v>18</v>
      </c>
      <c r="K450" s="5">
        <v>0.04</v>
      </c>
      <c r="L450" s="6">
        <v>4690654012618</v>
      </c>
      <c r="M450" s="7" t="s">
        <v>1221</v>
      </c>
      <c r="N450" s="8">
        <f>VLOOKUP(B450,'[1]новый без картинок'!$A$5:$F$2672,6,0)</f>
        <v>152</v>
      </c>
    </row>
    <row r="451" spans="1:14" ht="138.6" customHeight="1" x14ac:dyDescent="0.2">
      <c r="A451" s="3">
        <v>449</v>
      </c>
      <c r="B451" s="3">
        <v>946680</v>
      </c>
      <c r="C451" s="4" t="str">
        <f>HYPERLINK("http://optservis.net:5080/photo?tov_code_internet=946680","Увеличить")</f>
        <v>Увеличить</v>
      </c>
      <c r="D451" s="3" t="s">
        <v>1224</v>
      </c>
      <c r="E451" s="3" t="s">
        <v>1225</v>
      </c>
      <c r="F451" s="3" t="s">
        <v>1226</v>
      </c>
      <c r="G451" s="3" t="s">
        <v>373</v>
      </c>
      <c r="H451" s="3">
        <v>10</v>
      </c>
      <c r="I451" s="3">
        <v>1</v>
      </c>
      <c r="J451" s="3" t="s">
        <v>18</v>
      </c>
      <c r="K451" s="5">
        <v>0.69</v>
      </c>
      <c r="L451" s="6">
        <v>4640020774664</v>
      </c>
      <c r="M451" s="7" t="s">
        <v>1227</v>
      </c>
      <c r="N451" s="8">
        <f>VLOOKUP(B451,'[1]новый без картинок'!$A$5:$F$2672,6,0)</f>
        <v>147</v>
      </c>
    </row>
    <row r="452" spans="1:14" ht="138.6" customHeight="1" x14ac:dyDescent="0.2">
      <c r="A452" s="3">
        <v>450</v>
      </c>
      <c r="B452" s="3">
        <v>965748</v>
      </c>
      <c r="C452" s="4" t="str">
        <f>HYPERLINK("http://optservis.net:5080/photo?tov_code_internet=965748","Увеличить")</f>
        <v>Увеличить</v>
      </c>
      <c r="D452" s="3" t="s">
        <v>1224</v>
      </c>
      <c r="E452" s="3" t="s">
        <v>1225</v>
      </c>
      <c r="F452" s="3" t="s">
        <v>1228</v>
      </c>
      <c r="G452" s="3" t="s">
        <v>373</v>
      </c>
      <c r="H452" s="3">
        <v>0.5</v>
      </c>
      <c r="I452" s="3">
        <v>0</v>
      </c>
      <c r="J452" s="3" t="s">
        <v>18</v>
      </c>
      <c r="K452" s="5">
        <v>0.04</v>
      </c>
      <c r="L452" s="6">
        <v>4690654012625</v>
      </c>
      <c r="M452" s="7" t="s">
        <v>1229</v>
      </c>
      <c r="N452" s="8">
        <f>VLOOKUP(B452,'[1]новый без картинок'!$A$5:$F$2672,6,0)</f>
        <v>138</v>
      </c>
    </row>
    <row r="453" spans="1:14" ht="138.6" customHeight="1" x14ac:dyDescent="0.2">
      <c r="A453" s="3">
        <v>451</v>
      </c>
      <c r="B453" s="3">
        <v>942470</v>
      </c>
      <c r="C453" s="4" t="str">
        <f>HYPERLINK("http://optservis.net:5080/photo?tov_code_internet=942470","Увеличить")</f>
        <v>Увеличить</v>
      </c>
      <c r="D453" s="3" t="s">
        <v>1224</v>
      </c>
      <c r="E453" s="3" t="s">
        <v>1225</v>
      </c>
      <c r="F453" s="3" t="s">
        <v>752</v>
      </c>
      <c r="G453" s="3" t="s">
        <v>373</v>
      </c>
      <c r="H453" s="3">
        <v>10</v>
      </c>
      <c r="I453" s="3">
        <v>1</v>
      </c>
      <c r="J453" s="3" t="s">
        <v>18</v>
      </c>
      <c r="K453" s="5">
        <v>0.64</v>
      </c>
      <c r="L453" s="6">
        <v>4640020774466</v>
      </c>
      <c r="M453" s="7" t="s">
        <v>1230</v>
      </c>
      <c r="N453" s="8">
        <f>VLOOKUP(B453,'[1]новый без картинок'!$A$5:$F$2672,6,0)</f>
        <v>125</v>
      </c>
    </row>
    <row r="454" spans="1:14" ht="138.6" customHeight="1" x14ac:dyDescent="0.2">
      <c r="A454" s="3">
        <v>452</v>
      </c>
      <c r="B454" s="3">
        <v>956346</v>
      </c>
      <c r="C454" s="4" t="str">
        <f>HYPERLINK("http://optservis.net:5080/photo?tov_code_internet=956346","Увеличить")</f>
        <v>Увеличить</v>
      </c>
      <c r="D454" s="3" t="s">
        <v>1231</v>
      </c>
      <c r="E454" s="3"/>
      <c r="F454" s="3" t="s">
        <v>1232</v>
      </c>
      <c r="G454" s="3" t="s">
        <v>373</v>
      </c>
      <c r="H454" s="3">
        <v>10</v>
      </c>
      <c r="I454" s="3">
        <v>1</v>
      </c>
      <c r="J454" s="3" t="s">
        <v>18</v>
      </c>
      <c r="K454" s="5">
        <v>0.69</v>
      </c>
      <c r="L454" s="6">
        <v>0</v>
      </c>
      <c r="M454" s="7" t="s">
        <v>1233</v>
      </c>
      <c r="N454" s="8">
        <f>VLOOKUP(B454,'[1]новый без картинок'!$A$5:$F$2672,6,0)</f>
        <v>140</v>
      </c>
    </row>
    <row r="455" spans="1:14" ht="138.6" customHeight="1" x14ac:dyDescent="0.2">
      <c r="A455" s="3">
        <v>453</v>
      </c>
      <c r="B455" s="3">
        <v>956486</v>
      </c>
      <c r="C455" s="4" t="str">
        <f>HYPERLINK("http://optservis.net:5080/photo?tov_code_internet=956486","Увеличить")</f>
        <v>Увеличить</v>
      </c>
      <c r="D455" s="3" t="s">
        <v>1231</v>
      </c>
      <c r="E455" s="3" t="s">
        <v>1234</v>
      </c>
      <c r="F455" s="3" t="s">
        <v>837</v>
      </c>
      <c r="G455" s="3" t="s">
        <v>373</v>
      </c>
      <c r="H455" s="3">
        <v>10</v>
      </c>
      <c r="I455" s="3">
        <v>1</v>
      </c>
      <c r="J455" s="3" t="s">
        <v>18</v>
      </c>
      <c r="K455" s="5">
        <v>0.69</v>
      </c>
      <c r="L455" s="6">
        <v>4690654000813</v>
      </c>
      <c r="M455" s="7" t="s">
        <v>1235</v>
      </c>
      <c r="N455" s="8">
        <f>VLOOKUP(B455,'[1]новый без картинок'!$A$5:$F$2672,6,0)</f>
        <v>148</v>
      </c>
    </row>
    <row r="456" spans="1:14" ht="151.15" customHeight="1" x14ac:dyDescent="0.2">
      <c r="A456" s="3">
        <v>454</v>
      </c>
      <c r="B456" s="3">
        <v>172029</v>
      </c>
      <c r="C456" s="4" t="str">
        <f>HYPERLINK("http://optservis.net:5080/photo?tov_code_internet=172029","Увеличить")</f>
        <v>Увеличить</v>
      </c>
      <c r="D456" s="3" t="s">
        <v>1231</v>
      </c>
      <c r="E456" s="3" t="s">
        <v>1234</v>
      </c>
      <c r="F456" s="3" t="s">
        <v>1236</v>
      </c>
      <c r="G456" s="3" t="s">
        <v>373</v>
      </c>
      <c r="H456" s="3">
        <v>10</v>
      </c>
      <c r="I456" s="3">
        <v>1</v>
      </c>
      <c r="J456" s="3" t="s">
        <v>18</v>
      </c>
      <c r="K456" s="5">
        <v>0.64</v>
      </c>
      <c r="L456" s="6">
        <v>4690654017002</v>
      </c>
      <c r="M456" s="7" t="s">
        <v>1235</v>
      </c>
      <c r="N456" s="8">
        <f>VLOOKUP(B456,'[1]новый без картинок'!$A$5:$F$2672,6,0)</f>
        <v>139</v>
      </c>
    </row>
    <row r="457" spans="1:14" ht="138.6" customHeight="1" x14ac:dyDescent="0.2">
      <c r="A457" s="3">
        <v>455</v>
      </c>
      <c r="B457" s="3">
        <v>951551</v>
      </c>
      <c r="C457" s="4" t="str">
        <f>HYPERLINK("http://optservis.net:5080/photo?tov_code_internet=951551","Увеличить")</f>
        <v>Увеличить</v>
      </c>
      <c r="D457" s="3" t="s">
        <v>1231</v>
      </c>
      <c r="E457" s="3" t="s">
        <v>1234</v>
      </c>
      <c r="F457" s="3" t="s">
        <v>1220</v>
      </c>
      <c r="G457" s="3" t="s">
        <v>373</v>
      </c>
      <c r="H457" s="3">
        <v>10</v>
      </c>
      <c r="I457" s="3">
        <v>1</v>
      </c>
      <c r="J457" s="3" t="s">
        <v>18</v>
      </c>
      <c r="K457" s="5">
        <v>0.69</v>
      </c>
      <c r="L457" s="6">
        <v>4690654006327</v>
      </c>
      <c r="M457" s="7" t="s">
        <v>1235</v>
      </c>
      <c r="N457" s="8">
        <f>VLOOKUP(B457,'[1]новый без картинок'!$A$5:$F$2672,6,0)</f>
        <v>139</v>
      </c>
    </row>
    <row r="458" spans="1:14" ht="138.6" customHeight="1" x14ac:dyDescent="0.2">
      <c r="A458" s="3">
        <v>456</v>
      </c>
      <c r="B458" s="3">
        <v>139972</v>
      </c>
      <c r="C458" s="4" t="str">
        <f>HYPERLINK("http://optservis.net:5080/photo?tov_code_internet=139972","Увеличить")</f>
        <v>Увеличить</v>
      </c>
      <c r="D458" s="3" t="s">
        <v>1237</v>
      </c>
      <c r="E458" s="3"/>
      <c r="F458" s="3" t="s">
        <v>1238</v>
      </c>
      <c r="G458" s="3" t="s">
        <v>373</v>
      </c>
      <c r="H458" s="3">
        <v>10</v>
      </c>
      <c r="I458" s="3">
        <v>1</v>
      </c>
      <c r="J458" s="3" t="s">
        <v>18</v>
      </c>
      <c r="K458" s="5">
        <v>0.69</v>
      </c>
      <c r="L458" s="6">
        <v>0</v>
      </c>
      <c r="M458" s="7" t="s">
        <v>1239</v>
      </c>
      <c r="N458" s="8">
        <f>VLOOKUP(B458,'[1]новый без картинок'!$A$5:$F$2672,6,0)</f>
        <v>137</v>
      </c>
    </row>
    <row r="459" spans="1:14" ht="138.6" customHeight="1" x14ac:dyDescent="0.2">
      <c r="A459" s="3">
        <v>457</v>
      </c>
      <c r="B459" s="3">
        <v>138485</v>
      </c>
      <c r="C459" s="4" t="str">
        <f>HYPERLINK("http://optservis.net:5080/photo?tov_code_internet=138485","Увеличить")</f>
        <v>Увеличить</v>
      </c>
      <c r="D459" s="3" t="s">
        <v>1237</v>
      </c>
      <c r="E459" s="3" t="s">
        <v>1240</v>
      </c>
      <c r="F459" s="3" t="s">
        <v>1214</v>
      </c>
      <c r="G459" s="3" t="s">
        <v>373</v>
      </c>
      <c r="H459" s="3">
        <v>10</v>
      </c>
      <c r="I459" s="3">
        <v>1</v>
      </c>
      <c r="J459" s="3" t="s">
        <v>18</v>
      </c>
      <c r="K459" s="5">
        <v>0.69</v>
      </c>
      <c r="L459" s="6">
        <v>4690654006228</v>
      </c>
      <c r="M459" s="7" t="s">
        <v>1239</v>
      </c>
      <c r="N459" s="8">
        <f>VLOOKUP(B459,'[1]новый без картинок'!$A$5:$F$2672,6,0)</f>
        <v>137</v>
      </c>
    </row>
    <row r="460" spans="1:14" ht="138.6" customHeight="1" x14ac:dyDescent="0.2">
      <c r="A460" s="3">
        <v>458</v>
      </c>
      <c r="B460" s="3">
        <v>943152</v>
      </c>
      <c r="C460" s="4" t="str">
        <f>HYPERLINK("http://optservis.net:5080/photo?tov_code_internet=943152","Увеличить")</f>
        <v>Увеличить</v>
      </c>
      <c r="D460" s="3" t="s">
        <v>1241</v>
      </c>
      <c r="E460" s="3" t="s">
        <v>1242</v>
      </c>
      <c r="F460" s="3" t="s">
        <v>1214</v>
      </c>
      <c r="G460" s="3" t="s">
        <v>373</v>
      </c>
      <c r="H460" s="3">
        <v>10</v>
      </c>
      <c r="I460" s="3">
        <v>1</v>
      </c>
      <c r="J460" s="3" t="s">
        <v>18</v>
      </c>
      <c r="K460" s="5">
        <v>0.64</v>
      </c>
      <c r="L460" s="6">
        <v>4640020774060</v>
      </c>
      <c r="M460" s="7" t="s">
        <v>1235</v>
      </c>
      <c r="N460" s="8">
        <f>VLOOKUP(B460,'[1]новый без картинок'!$A$5:$F$2672,6,0)</f>
        <v>131</v>
      </c>
    </row>
    <row r="461" spans="1:14" ht="138.6" customHeight="1" x14ac:dyDescent="0.2">
      <c r="A461" s="3">
        <v>459</v>
      </c>
      <c r="B461" s="3">
        <v>944395</v>
      </c>
      <c r="C461" s="4" t="str">
        <f>HYPERLINK("http://optservis.net:5080/photo?tov_code_internet=944395","Увеличить")</f>
        <v>Увеличить</v>
      </c>
      <c r="D461" s="3" t="s">
        <v>1241</v>
      </c>
      <c r="E461" s="3" t="s">
        <v>1242</v>
      </c>
      <c r="F461" s="3" t="s">
        <v>837</v>
      </c>
      <c r="G461" s="3" t="s">
        <v>373</v>
      </c>
      <c r="H461" s="3">
        <v>10</v>
      </c>
      <c r="I461" s="3">
        <v>1</v>
      </c>
      <c r="J461" s="3" t="s">
        <v>18</v>
      </c>
      <c r="K461" s="5">
        <v>0.69</v>
      </c>
      <c r="L461" s="6">
        <v>4690654006488</v>
      </c>
      <c r="M461" s="7" t="s">
        <v>1235</v>
      </c>
      <c r="N461" s="8">
        <f>VLOOKUP(B461,'[1]новый без картинок'!$A$5:$F$2672,6,0)</f>
        <v>152</v>
      </c>
    </row>
    <row r="462" spans="1:14" ht="138.6" customHeight="1" x14ac:dyDescent="0.2">
      <c r="A462" s="3">
        <v>460</v>
      </c>
      <c r="B462" s="3">
        <v>951553</v>
      </c>
      <c r="C462" s="4" t="str">
        <f>HYPERLINK("http://optservis.net:5080/photo?tov_code_internet=951553","Увеличить")</f>
        <v>Увеличить</v>
      </c>
      <c r="D462" s="3" t="s">
        <v>1241</v>
      </c>
      <c r="E462" s="3" t="s">
        <v>1242</v>
      </c>
      <c r="F462" s="3" t="s">
        <v>1243</v>
      </c>
      <c r="G462" s="3" t="s">
        <v>1212</v>
      </c>
      <c r="H462" s="3">
        <v>1</v>
      </c>
      <c r="I462" s="3">
        <v>1</v>
      </c>
      <c r="J462" s="3" t="s">
        <v>18</v>
      </c>
      <c r="K462" s="5">
        <v>0.06</v>
      </c>
      <c r="L462" s="6">
        <v>4690654006501</v>
      </c>
      <c r="M462" s="7" t="s">
        <v>1244</v>
      </c>
      <c r="N462" s="8">
        <f>VLOOKUP(B462,'[1]новый без картинок'!$A$5:$F$2672,6,0)</f>
        <v>140</v>
      </c>
    </row>
    <row r="463" spans="1:14" ht="138.6" customHeight="1" x14ac:dyDescent="0.2">
      <c r="A463" s="3">
        <v>461</v>
      </c>
      <c r="B463" s="3">
        <v>956345</v>
      </c>
      <c r="C463" s="4" t="str">
        <f>HYPERLINK("http://optservis.net:5080/photo?tov_code_internet=956345","Увеличить")</f>
        <v>Увеличить</v>
      </c>
      <c r="D463" s="3" t="s">
        <v>1241</v>
      </c>
      <c r="E463" s="3" t="s">
        <v>1242</v>
      </c>
      <c r="F463" s="3" t="s">
        <v>1245</v>
      </c>
      <c r="G463" s="3" t="s">
        <v>373</v>
      </c>
      <c r="H463" s="3">
        <v>10</v>
      </c>
      <c r="I463" s="3">
        <v>1</v>
      </c>
      <c r="J463" s="3" t="s">
        <v>18</v>
      </c>
      <c r="K463" s="5">
        <v>0.64</v>
      </c>
      <c r="L463" s="6">
        <v>4690654006334</v>
      </c>
      <c r="M463" s="7" t="s">
        <v>1246</v>
      </c>
      <c r="N463" s="8">
        <f>VLOOKUP(B463,'[1]новый без картинок'!$A$5:$F$2672,6,0)</f>
        <v>130</v>
      </c>
    </row>
    <row r="464" spans="1:14" ht="138.6" customHeight="1" x14ac:dyDescent="0.2">
      <c r="A464" s="3">
        <v>462</v>
      </c>
      <c r="B464" s="3">
        <v>968784</v>
      </c>
      <c r="C464" s="4" t="str">
        <f>HYPERLINK("http://optservis.net:5080/photo?tov_code_internet=968784","Увеличить")</f>
        <v>Увеличить</v>
      </c>
      <c r="D464" s="3" t="s">
        <v>1241</v>
      </c>
      <c r="E464" s="3" t="s">
        <v>1247</v>
      </c>
      <c r="F464" s="3" t="s">
        <v>1248</v>
      </c>
      <c r="G464" s="3" t="s">
        <v>373</v>
      </c>
      <c r="H464" s="3">
        <v>0.5</v>
      </c>
      <c r="I464" s="3">
        <v>0</v>
      </c>
      <c r="J464" s="3" t="s">
        <v>18</v>
      </c>
      <c r="K464" s="5">
        <v>0.03</v>
      </c>
      <c r="L464" s="6">
        <v>4640020777177</v>
      </c>
      <c r="M464" s="7" t="s">
        <v>1249</v>
      </c>
      <c r="N464" s="8">
        <f>VLOOKUP(B464,'[1]новый без картинок'!$A$5:$F$2672,6,0)</f>
        <v>152</v>
      </c>
    </row>
    <row r="465" spans="1:14" ht="138.6" customHeight="1" x14ac:dyDescent="0.2">
      <c r="A465" s="3">
        <v>463</v>
      </c>
      <c r="B465" s="3">
        <v>942471</v>
      </c>
      <c r="C465" s="4" t="str">
        <f>HYPERLINK("http://optservis.net:5080/photo?tov_code_internet=942471","Увеличить")</f>
        <v>Увеличить</v>
      </c>
      <c r="D465" s="3" t="s">
        <v>1241</v>
      </c>
      <c r="E465" s="3" t="s">
        <v>1247</v>
      </c>
      <c r="F465" s="3" t="s">
        <v>752</v>
      </c>
      <c r="G465" s="3" t="s">
        <v>373</v>
      </c>
      <c r="H465" s="3">
        <v>10</v>
      </c>
      <c r="I465" s="3">
        <v>1</v>
      </c>
      <c r="J465" s="3" t="s">
        <v>18</v>
      </c>
      <c r="K465" s="5">
        <v>0.64</v>
      </c>
      <c r="L465" s="6">
        <v>4640020774473</v>
      </c>
      <c r="M465" s="7" t="s">
        <v>1250</v>
      </c>
      <c r="N465" s="8">
        <f>VLOOKUP(B465,'[1]новый без картинок'!$A$5:$F$2672,6,0)</f>
        <v>129</v>
      </c>
    </row>
    <row r="466" spans="1:14" ht="138.6" customHeight="1" x14ac:dyDescent="0.2">
      <c r="A466" s="3">
        <v>464</v>
      </c>
      <c r="B466" s="3">
        <v>945186</v>
      </c>
      <c r="C466" s="4" t="str">
        <f>HYPERLINK("http://optservis.net:5080/photo?tov_code_internet=945186","Увеличить")</f>
        <v>Увеличить</v>
      </c>
      <c r="D466" s="3" t="s">
        <v>1251</v>
      </c>
      <c r="E466" s="3" t="s">
        <v>1252</v>
      </c>
      <c r="F466" s="3" t="s">
        <v>1223</v>
      </c>
      <c r="G466" s="3" t="s">
        <v>373</v>
      </c>
      <c r="H466" s="3">
        <v>16</v>
      </c>
      <c r="I466" s="3">
        <v>1</v>
      </c>
      <c r="J466" s="3" t="s">
        <v>18</v>
      </c>
      <c r="K466" s="5">
        <v>1.04</v>
      </c>
      <c r="L466" s="6">
        <v>4640020774497</v>
      </c>
      <c r="M466" s="7" t="s">
        <v>1233</v>
      </c>
      <c r="N466" s="8">
        <f>VLOOKUP(B466,'[1]новый без картинок'!$A$5:$F$2672,6,0)</f>
        <v>152</v>
      </c>
    </row>
    <row r="467" spans="1:14" ht="138.6" customHeight="1" x14ac:dyDescent="0.2">
      <c r="A467" s="3">
        <v>465</v>
      </c>
      <c r="B467" s="3">
        <v>956344</v>
      </c>
      <c r="C467" s="4" t="str">
        <f>HYPERLINK("http://optservis.net:5080/photo?tov_code_internet=956344","Увеличить")</f>
        <v>Увеличить</v>
      </c>
      <c r="D467" s="3" t="s">
        <v>1251</v>
      </c>
      <c r="E467" s="3" t="s">
        <v>1252</v>
      </c>
      <c r="F467" s="3" t="s">
        <v>1248</v>
      </c>
      <c r="G467" s="3" t="s">
        <v>373</v>
      </c>
      <c r="H467" s="3">
        <v>0.5</v>
      </c>
      <c r="I467" s="3">
        <v>0</v>
      </c>
      <c r="J467" s="3" t="s">
        <v>18</v>
      </c>
      <c r="K467" s="5">
        <v>0.03</v>
      </c>
      <c r="L467" s="6">
        <v>4690654005900</v>
      </c>
      <c r="M467" s="7" t="s">
        <v>1246</v>
      </c>
      <c r="N467" s="8">
        <f>VLOOKUP(B467,'[1]новый без картинок'!$A$5:$F$2672,6,0)</f>
        <v>153</v>
      </c>
    </row>
    <row r="468" spans="1:14" ht="138.6" customHeight="1" x14ac:dyDescent="0.2">
      <c r="A468" s="3">
        <v>466</v>
      </c>
      <c r="B468" s="3">
        <v>138486</v>
      </c>
      <c r="C468" s="4" t="str">
        <f>HYPERLINK("http://optservis.net:5080/photo?tov_code_internet=138486","Увеличить")</f>
        <v>Увеличить</v>
      </c>
      <c r="D468" s="3" t="s">
        <v>1253</v>
      </c>
      <c r="E468" s="3"/>
      <c r="F468" s="3" t="s">
        <v>1254</v>
      </c>
      <c r="G468" s="3" t="s">
        <v>373</v>
      </c>
      <c r="H468" s="3">
        <v>10</v>
      </c>
      <c r="I468" s="3">
        <v>1</v>
      </c>
      <c r="J468" s="3" t="s">
        <v>18</v>
      </c>
      <c r="K468" s="5">
        <v>0.64</v>
      </c>
      <c r="L468" s="6">
        <v>0</v>
      </c>
      <c r="M468" s="7" t="s">
        <v>1255</v>
      </c>
      <c r="N468" s="8">
        <f>VLOOKUP(B468,'[1]новый без картинок'!$A$5:$F$2672,6,0)</f>
        <v>140</v>
      </c>
    </row>
    <row r="469" spans="1:14" ht="138.6" customHeight="1" x14ac:dyDescent="0.2">
      <c r="A469" s="3">
        <v>467</v>
      </c>
      <c r="B469" s="3">
        <v>139975</v>
      </c>
      <c r="C469" s="4" t="str">
        <f>HYPERLINK("http://optservis.net:5080/photo?tov_code_internet=139975","Увеличить")</f>
        <v>Увеличить</v>
      </c>
      <c r="D469" s="3" t="s">
        <v>1253</v>
      </c>
      <c r="E469" s="3"/>
      <c r="F469" s="3" t="s">
        <v>1256</v>
      </c>
      <c r="G469" s="3" t="s">
        <v>373</v>
      </c>
      <c r="H469" s="3">
        <v>10</v>
      </c>
      <c r="I469" s="3">
        <v>1</v>
      </c>
      <c r="J469" s="3" t="s">
        <v>18</v>
      </c>
      <c r="K469" s="5">
        <v>0.64</v>
      </c>
      <c r="L469" s="6">
        <v>0</v>
      </c>
      <c r="M469" s="7" t="s">
        <v>1257</v>
      </c>
      <c r="N469" s="8">
        <f>VLOOKUP(B469,'[1]новый без картинок'!$A$5:$F$2672,6,0)</f>
        <v>140</v>
      </c>
    </row>
    <row r="470" spans="1:14" ht="151.15" customHeight="1" x14ac:dyDescent="0.2">
      <c r="A470" s="3">
        <v>468</v>
      </c>
      <c r="B470" s="3">
        <v>195673</v>
      </c>
      <c r="C470" s="4" t="str">
        <f>HYPERLINK("http://optservis.net:5080/photo?tov_code_internet=195673","Увеличить")</f>
        <v>Увеличить</v>
      </c>
      <c r="D470" s="3" t="s">
        <v>1258</v>
      </c>
      <c r="E470" s="3"/>
      <c r="F470" s="3" t="s">
        <v>1259</v>
      </c>
      <c r="G470" s="3" t="s">
        <v>788</v>
      </c>
      <c r="H470" s="3">
        <v>0.33300000000000002</v>
      </c>
      <c r="I470" s="3">
        <v>0</v>
      </c>
      <c r="J470" s="3" t="s">
        <v>18</v>
      </c>
      <c r="K470" s="5">
        <v>0.03</v>
      </c>
      <c r="L470" s="6">
        <v>0</v>
      </c>
      <c r="M470" s="7" t="s">
        <v>1260</v>
      </c>
      <c r="N470" s="8">
        <f>VLOOKUP(B470,'[1]новый без картинок'!$A$5:$F$2672,6,0)</f>
        <v>174</v>
      </c>
    </row>
    <row r="471" spans="1:14" ht="149.44999999999999" customHeight="1" x14ac:dyDescent="0.2">
      <c r="A471" s="3">
        <v>469</v>
      </c>
      <c r="B471" s="3">
        <v>149932</v>
      </c>
      <c r="C471" s="4" t="str">
        <f>HYPERLINK("http://optservis.net:5080/photo?tov_code_internet=149932","Увеличить")</f>
        <v>Увеличить</v>
      </c>
      <c r="D471" s="3" t="s">
        <v>1258</v>
      </c>
      <c r="E471" s="3"/>
      <c r="F471" s="3" t="s">
        <v>1261</v>
      </c>
      <c r="G471" s="3" t="s">
        <v>788</v>
      </c>
      <c r="H471" s="3">
        <v>0.33300000000000002</v>
      </c>
      <c r="I471" s="3">
        <v>0</v>
      </c>
      <c r="J471" s="3" t="s">
        <v>18</v>
      </c>
      <c r="K471" s="5">
        <v>0</v>
      </c>
      <c r="L471" s="6">
        <v>0</v>
      </c>
      <c r="M471" s="7" t="s">
        <v>1262</v>
      </c>
      <c r="N471" s="8">
        <f>VLOOKUP(B471,'[1]новый без картинок'!$A$5:$F$2672,6,0)</f>
        <v>150</v>
      </c>
    </row>
    <row r="472" spans="1:14" ht="151.15" customHeight="1" x14ac:dyDescent="0.2">
      <c r="A472" s="3">
        <v>470</v>
      </c>
      <c r="B472" s="3">
        <v>195672</v>
      </c>
      <c r="C472" s="4" t="str">
        <f>HYPERLINK("http://optservis.net:5080/photo?tov_code_internet=195672","Увеличить")</f>
        <v>Увеличить</v>
      </c>
      <c r="D472" s="3" t="s">
        <v>1258</v>
      </c>
      <c r="E472" s="3"/>
      <c r="F472" s="3" t="s">
        <v>1263</v>
      </c>
      <c r="G472" s="3" t="s">
        <v>788</v>
      </c>
      <c r="H472" s="3">
        <v>0.33300000000000002</v>
      </c>
      <c r="I472" s="3">
        <v>0</v>
      </c>
      <c r="J472" s="3" t="s">
        <v>18</v>
      </c>
      <c r="K472" s="5">
        <v>0.03</v>
      </c>
      <c r="L472" s="6">
        <v>0</v>
      </c>
      <c r="M472" s="7" t="s">
        <v>1260</v>
      </c>
      <c r="N472" s="8">
        <f>VLOOKUP(B472,'[1]новый без картинок'!$A$5:$F$2672,6,0)</f>
        <v>174</v>
      </c>
    </row>
    <row r="473" spans="1:14" ht="149.44999999999999" customHeight="1" x14ac:dyDescent="0.2">
      <c r="A473" s="3">
        <v>471</v>
      </c>
      <c r="B473" s="3">
        <v>149914</v>
      </c>
      <c r="C473" s="4" t="str">
        <f>HYPERLINK("http://optservis.net:5080/photo?tov_code_internet=149914","Увеличить")</f>
        <v>Увеличить</v>
      </c>
      <c r="D473" s="3" t="s">
        <v>1258</v>
      </c>
      <c r="E473" s="3"/>
      <c r="F473" s="3" t="s">
        <v>1173</v>
      </c>
      <c r="G473" s="3" t="s">
        <v>788</v>
      </c>
      <c r="H473" s="3">
        <v>0.33300000000000002</v>
      </c>
      <c r="I473" s="3">
        <v>0</v>
      </c>
      <c r="J473" s="3" t="s">
        <v>18</v>
      </c>
      <c r="K473" s="5">
        <v>0.03</v>
      </c>
      <c r="L473" s="6">
        <v>0</v>
      </c>
      <c r="M473" s="7" t="s">
        <v>1260</v>
      </c>
      <c r="N473" s="8">
        <f>VLOOKUP(B473,'[1]новый без картинок'!$A$5:$F$2672,6,0)</f>
        <v>174</v>
      </c>
    </row>
    <row r="474" spans="1:14" ht="149.44999999999999" customHeight="1" x14ac:dyDescent="0.2">
      <c r="A474" s="3">
        <v>472</v>
      </c>
      <c r="B474" s="3">
        <v>149880</v>
      </c>
      <c r="C474" s="4" t="str">
        <f>HYPERLINK("http://optservis.net:5080/photo?tov_code_internet=149880","Увеличить")</f>
        <v>Увеличить</v>
      </c>
      <c r="D474" s="3" t="s">
        <v>1258</v>
      </c>
      <c r="E474" s="3"/>
      <c r="F474" s="3" t="s">
        <v>1264</v>
      </c>
      <c r="G474" s="3" t="s">
        <v>788</v>
      </c>
      <c r="H474" s="3">
        <v>0.33300000000000002</v>
      </c>
      <c r="I474" s="3">
        <v>0</v>
      </c>
      <c r="J474" s="3" t="s">
        <v>18</v>
      </c>
      <c r="K474" s="5">
        <v>0</v>
      </c>
      <c r="L474" s="6">
        <v>0</v>
      </c>
      <c r="M474" s="7" t="s">
        <v>1262</v>
      </c>
      <c r="N474" s="8">
        <f>VLOOKUP(B474,'[1]новый без картинок'!$A$5:$F$2672,6,0)</f>
        <v>150</v>
      </c>
    </row>
    <row r="475" spans="1:14" ht="149.44999999999999" customHeight="1" x14ac:dyDescent="0.2">
      <c r="A475" s="3">
        <v>473</v>
      </c>
      <c r="B475" s="3">
        <v>149931</v>
      </c>
      <c r="C475" s="4" t="str">
        <f>HYPERLINK("http://optservis.net:5080/photo?tov_code_internet=149931","Увеличить")</f>
        <v>Увеличить</v>
      </c>
      <c r="D475" s="3" t="s">
        <v>1258</v>
      </c>
      <c r="E475" s="3"/>
      <c r="F475" s="3" t="s">
        <v>1265</v>
      </c>
      <c r="G475" s="3" t="s">
        <v>788</v>
      </c>
      <c r="H475" s="3">
        <v>0.33300000000000002</v>
      </c>
      <c r="I475" s="3">
        <v>0</v>
      </c>
      <c r="J475" s="3" t="s">
        <v>18</v>
      </c>
      <c r="K475" s="5">
        <v>0.03</v>
      </c>
      <c r="L475" s="6">
        <v>0</v>
      </c>
      <c r="M475" s="7" t="s">
        <v>1260</v>
      </c>
      <c r="N475" s="8">
        <f>VLOOKUP(B475,'[1]новый без картинок'!$A$5:$F$2672,6,0)</f>
        <v>174</v>
      </c>
    </row>
    <row r="476" spans="1:14" ht="149.44999999999999" customHeight="1" x14ac:dyDescent="0.2">
      <c r="A476" s="3">
        <v>474</v>
      </c>
      <c r="B476" s="3">
        <v>149903</v>
      </c>
      <c r="C476" s="4" t="str">
        <f>HYPERLINK("http://optservis.net:5080/photo?tov_code_internet=149903","Увеличить")</f>
        <v>Увеличить</v>
      </c>
      <c r="D476" s="3" t="s">
        <v>1258</v>
      </c>
      <c r="E476" s="3"/>
      <c r="F476" s="3" t="s">
        <v>1266</v>
      </c>
      <c r="G476" s="3" t="s">
        <v>788</v>
      </c>
      <c r="H476" s="3">
        <v>0.33300000000000002</v>
      </c>
      <c r="I476" s="3">
        <v>0</v>
      </c>
      <c r="J476" s="3" t="s">
        <v>18</v>
      </c>
      <c r="K476" s="5">
        <v>0</v>
      </c>
      <c r="L476" s="6">
        <v>0</v>
      </c>
      <c r="M476" s="7" t="s">
        <v>1262</v>
      </c>
      <c r="N476" s="8">
        <f>VLOOKUP(B476,'[1]новый без картинок'!$A$5:$F$2672,6,0)</f>
        <v>150</v>
      </c>
    </row>
    <row r="477" spans="1:14" ht="151.15" customHeight="1" x14ac:dyDescent="0.2">
      <c r="A477" s="3">
        <v>475</v>
      </c>
      <c r="B477" s="3">
        <v>195668</v>
      </c>
      <c r="C477" s="4" t="str">
        <f>HYPERLINK("http://optservis.net:5080/photo?tov_code_internet=195668","Увеличить")</f>
        <v>Увеличить</v>
      </c>
      <c r="D477" s="3" t="s">
        <v>1258</v>
      </c>
      <c r="E477" s="3"/>
      <c r="F477" s="3" t="s">
        <v>1267</v>
      </c>
      <c r="G477" s="3" t="s">
        <v>788</v>
      </c>
      <c r="H477" s="3">
        <v>0.33300000000000002</v>
      </c>
      <c r="I477" s="3">
        <v>0</v>
      </c>
      <c r="J477" s="3" t="s">
        <v>18</v>
      </c>
      <c r="K477" s="5">
        <v>0.03</v>
      </c>
      <c r="L477" s="6">
        <v>0</v>
      </c>
      <c r="M477" s="7" t="s">
        <v>1260</v>
      </c>
      <c r="N477" s="8">
        <f>VLOOKUP(B477,'[1]новый без картинок'!$A$5:$F$2672,6,0)</f>
        <v>174</v>
      </c>
    </row>
    <row r="478" spans="1:14" ht="151.15" customHeight="1" x14ac:dyDescent="0.2">
      <c r="A478" s="3">
        <v>476</v>
      </c>
      <c r="B478" s="3">
        <v>195671</v>
      </c>
      <c r="C478" s="4" t="str">
        <f>HYPERLINK("http://optservis.net:5080/photo?tov_code_internet=195671","Увеличить")</f>
        <v>Увеличить</v>
      </c>
      <c r="D478" s="3" t="s">
        <v>1258</v>
      </c>
      <c r="E478" s="3"/>
      <c r="F478" s="3" t="s">
        <v>1268</v>
      </c>
      <c r="G478" s="3" t="s">
        <v>788</v>
      </c>
      <c r="H478" s="3">
        <v>0.33300000000000002</v>
      </c>
      <c r="I478" s="3">
        <v>0</v>
      </c>
      <c r="J478" s="3" t="s">
        <v>18</v>
      </c>
      <c r="K478" s="5">
        <v>0.03</v>
      </c>
      <c r="L478" s="6">
        <v>0</v>
      </c>
      <c r="M478" s="7" t="s">
        <v>1260</v>
      </c>
      <c r="N478" s="8">
        <f>VLOOKUP(B478,'[1]новый без картинок'!$A$5:$F$2672,6,0)</f>
        <v>174</v>
      </c>
    </row>
    <row r="479" spans="1:14" ht="149.44999999999999" customHeight="1" x14ac:dyDescent="0.2">
      <c r="A479" s="3">
        <v>477</v>
      </c>
      <c r="B479" s="3">
        <v>149934</v>
      </c>
      <c r="C479" s="4" t="str">
        <f>HYPERLINK("http://optservis.net:5080/photo?tov_code_internet=149934","Увеличить")</f>
        <v>Увеличить</v>
      </c>
      <c r="D479" s="3" t="s">
        <v>1258</v>
      </c>
      <c r="E479" s="3"/>
      <c r="F479" s="3" t="s">
        <v>1269</v>
      </c>
      <c r="G479" s="3" t="s">
        <v>788</v>
      </c>
      <c r="H479" s="3">
        <v>0.33300000000000002</v>
      </c>
      <c r="I479" s="3">
        <v>0</v>
      </c>
      <c r="J479" s="3" t="s">
        <v>18</v>
      </c>
      <c r="K479" s="5">
        <v>0.03</v>
      </c>
      <c r="L479" s="6">
        <v>0</v>
      </c>
      <c r="M479" s="7" t="s">
        <v>1262</v>
      </c>
      <c r="N479" s="8">
        <f>VLOOKUP(B479,'[1]новый без картинок'!$A$5:$F$2672,6,0)</f>
        <v>174</v>
      </c>
    </row>
    <row r="480" spans="1:14" ht="149.44999999999999" customHeight="1" x14ac:dyDescent="0.2">
      <c r="A480" s="3">
        <v>478</v>
      </c>
      <c r="B480" s="3">
        <v>54774</v>
      </c>
      <c r="C480" s="4" t="str">
        <f>HYPERLINK("http://optservis.net:5080/photo?tov_code_internet=54774","Увеличить")</f>
        <v>Увеличить</v>
      </c>
      <c r="D480" s="3" t="s">
        <v>1258</v>
      </c>
      <c r="E480" s="3" t="s">
        <v>1270</v>
      </c>
      <c r="F480" s="3" t="s">
        <v>1271</v>
      </c>
      <c r="G480" s="3" t="s">
        <v>788</v>
      </c>
      <c r="H480" s="3">
        <v>0.33300000000000002</v>
      </c>
      <c r="I480" s="3">
        <v>0</v>
      </c>
      <c r="J480" s="3" t="s">
        <v>18</v>
      </c>
      <c r="K480" s="5">
        <v>0.03</v>
      </c>
      <c r="L480" s="6">
        <v>4690654005764</v>
      </c>
      <c r="M480" s="7" t="s">
        <v>1260</v>
      </c>
      <c r="N480" s="8">
        <f>VLOOKUP(B480,'[1]новый без картинок'!$A$5:$F$2672,6,0)</f>
        <v>174</v>
      </c>
    </row>
    <row r="481" spans="1:14" ht="149.44999999999999" customHeight="1" x14ac:dyDescent="0.2">
      <c r="A481" s="3">
        <v>479</v>
      </c>
      <c r="B481" s="3">
        <v>54776</v>
      </c>
      <c r="C481" s="4" t="str">
        <f>HYPERLINK("http://optservis.net:5080/photo?tov_code_internet=54776","Увеличить")</f>
        <v>Увеличить</v>
      </c>
      <c r="D481" s="3" t="s">
        <v>1258</v>
      </c>
      <c r="E481" s="3" t="s">
        <v>1270</v>
      </c>
      <c r="F481" s="3" t="s">
        <v>1272</v>
      </c>
      <c r="G481" s="3" t="s">
        <v>788</v>
      </c>
      <c r="H481" s="3">
        <v>0.33300000000000002</v>
      </c>
      <c r="I481" s="3">
        <v>0</v>
      </c>
      <c r="J481" s="3" t="s">
        <v>18</v>
      </c>
      <c r="K481" s="5">
        <v>0.03</v>
      </c>
      <c r="L481" s="6">
        <v>4690654006518</v>
      </c>
      <c r="M481" s="7" t="s">
        <v>1260</v>
      </c>
      <c r="N481" s="8">
        <f>VLOOKUP(B481,'[1]новый без картинок'!$A$5:$F$2672,6,0)</f>
        <v>174</v>
      </c>
    </row>
    <row r="482" spans="1:14" ht="149.44999999999999" customHeight="1" x14ac:dyDescent="0.2">
      <c r="A482" s="3">
        <v>480</v>
      </c>
      <c r="B482" s="3">
        <v>54777</v>
      </c>
      <c r="C482" s="4" t="str">
        <f>HYPERLINK("http://optservis.net:5080/photo?tov_code_internet=54777","Увеличить")</f>
        <v>Увеличить</v>
      </c>
      <c r="D482" s="3" t="s">
        <v>1258</v>
      </c>
      <c r="E482" s="3" t="s">
        <v>1270</v>
      </c>
      <c r="F482" s="3" t="s">
        <v>1273</v>
      </c>
      <c r="G482" s="3" t="s">
        <v>788</v>
      </c>
      <c r="H482" s="3">
        <v>0.33300000000000002</v>
      </c>
      <c r="I482" s="3">
        <v>0</v>
      </c>
      <c r="J482" s="3" t="s">
        <v>18</v>
      </c>
      <c r="K482" s="5">
        <v>0.03</v>
      </c>
      <c r="L482" s="6">
        <v>4690654005771</v>
      </c>
      <c r="M482" s="7" t="s">
        <v>1274</v>
      </c>
      <c r="N482" s="8">
        <f>VLOOKUP(B482,'[1]новый без картинок'!$A$5:$F$2672,6,0)</f>
        <v>174</v>
      </c>
    </row>
    <row r="483" spans="1:14" ht="149.44999999999999" customHeight="1" x14ac:dyDescent="0.2">
      <c r="A483" s="3">
        <v>481</v>
      </c>
      <c r="B483" s="3">
        <v>163106</v>
      </c>
      <c r="C483" s="4" t="str">
        <f>HYPERLINK("http://optservis.net:5080/photo?tov_code_internet=163106","Увеличить")</f>
        <v>Увеличить</v>
      </c>
      <c r="D483" s="3" t="s">
        <v>1258</v>
      </c>
      <c r="E483" s="3" t="s">
        <v>1270</v>
      </c>
      <c r="F483" s="3" t="s">
        <v>853</v>
      </c>
      <c r="G483" s="3" t="s">
        <v>788</v>
      </c>
      <c r="H483" s="3">
        <v>0.33300000000000002</v>
      </c>
      <c r="I483" s="3">
        <v>0</v>
      </c>
      <c r="J483" s="3" t="s">
        <v>18</v>
      </c>
      <c r="K483" s="5">
        <v>0.03</v>
      </c>
      <c r="L483" s="6">
        <v>4690654006761</v>
      </c>
      <c r="M483" s="7" t="s">
        <v>1260</v>
      </c>
      <c r="N483" s="8">
        <f>VLOOKUP(B483,'[1]новый без картинок'!$A$5:$F$2672,6,0)</f>
        <v>174</v>
      </c>
    </row>
    <row r="484" spans="1:14" ht="149.44999999999999" customHeight="1" x14ac:dyDescent="0.2">
      <c r="A484" s="3">
        <v>482</v>
      </c>
      <c r="B484" s="3">
        <v>54773</v>
      </c>
      <c r="C484" s="4" t="str">
        <f>HYPERLINK("http://optservis.net:5080/photo?tov_code_internet=54773","Увеличить")</f>
        <v>Увеличить</v>
      </c>
      <c r="D484" s="3" t="s">
        <v>1258</v>
      </c>
      <c r="E484" s="3" t="s">
        <v>1270</v>
      </c>
      <c r="F484" s="3" t="s">
        <v>1275</v>
      </c>
      <c r="G484" s="3" t="s">
        <v>788</v>
      </c>
      <c r="H484" s="3">
        <v>0.33300000000000002</v>
      </c>
      <c r="I484" s="3">
        <v>0</v>
      </c>
      <c r="J484" s="3" t="s">
        <v>18</v>
      </c>
      <c r="K484" s="5">
        <v>0.03</v>
      </c>
      <c r="L484" s="6">
        <v>4690654003388</v>
      </c>
      <c r="M484" s="7" t="s">
        <v>1260</v>
      </c>
      <c r="N484" s="8">
        <f>VLOOKUP(B484,'[1]новый без картинок'!$A$5:$F$2672,6,0)</f>
        <v>174</v>
      </c>
    </row>
    <row r="485" spans="1:14" ht="149.44999999999999" customHeight="1" x14ac:dyDescent="0.2">
      <c r="A485" s="3">
        <v>483</v>
      </c>
      <c r="B485" s="3">
        <v>54775</v>
      </c>
      <c r="C485" s="4" t="str">
        <f>HYPERLINK("http://optservis.net:5080/photo?tov_code_internet=54775","Увеличить")</f>
        <v>Увеличить</v>
      </c>
      <c r="D485" s="3" t="s">
        <v>1258</v>
      </c>
      <c r="E485" s="3" t="s">
        <v>1270</v>
      </c>
      <c r="F485" s="3" t="s">
        <v>1276</v>
      </c>
      <c r="G485" s="3" t="s">
        <v>788</v>
      </c>
      <c r="H485" s="3">
        <v>0.33300000000000002</v>
      </c>
      <c r="I485" s="3">
        <v>0</v>
      </c>
      <c r="J485" s="3" t="s">
        <v>18</v>
      </c>
      <c r="K485" s="5">
        <v>0.03</v>
      </c>
      <c r="L485" s="6">
        <v>4690654003395</v>
      </c>
      <c r="M485" s="7" t="s">
        <v>1260</v>
      </c>
      <c r="N485" s="8">
        <f>VLOOKUP(B485,'[1]новый без картинок'!$A$5:$F$2672,6,0)</f>
        <v>174</v>
      </c>
    </row>
    <row r="486" spans="1:14" ht="149.44999999999999" customHeight="1" x14ac:dyDescent="0.2">
      <c r="A486" s="3">
        <v>484</v>
      </c>
      <c r="B486" s="3">
        <v>990853</v>
      </c>
      <c r="C486" s="4" t="str">
        <f>HYPERLINK("http://optservis.net:5080/photo?tov_code_internet=990853","Увеличить")</f>
        <v>Увеличить</v>
      </c>
      <c r="D486" s="3" t="s">
        <v>1258</v>
      </c>
      <c r="E486" s="3" t="s">
        <v>1270</v>
      </c>
      <c r="F486" s="3" t="s">
        <v>1277</v>
      </c>
      <c r="G486" s="3" t="s">
        <v>788</v>
      </c>
      <c r="H486" s="3">
        <v>0.33300000000000002</v>
      </c>
      <c r="I486" s="3">
        <v>0</v>
      </c>
      <c r="J486" s="3" t="s">
        <v>18</v>
      </c>
      <c r="K486" s="5">
        <v>0.03</v>
      </c>
      <c r="L486" s="6">
        <v>4690654006549</v>
      </c>
      <c r="M486" s="7" t="s">
        <v>1260</v>
      </c>
      <c r="N486" s="8">
        <f>VLOOKUP(B486,'[1]новый без картинок'!$A$5:$F$2672,6,0)</f>
        <v>174</v>
      </c>
    </row>
    <row r="487" spans="1:14" ht="149.44999999999999" customHeight="1" x14ac:dyDescent="0.2">
      <c r="A487" s="3">
        <v>485</v>
      </c>
      <c r="B487" s="3">
        <v>54772</v>
      </c>
      <c r="C487" s="4" t="str">
        <f>HYPERLINK("http://optservis.net:5080/photo?tov_code_internet=54772","Увеличить")</f>
        <v>Увеличить</v>
      </c>
      <c r="D487" s="3" t="s">
        <v>1258</v>
      </c>
      <c r="E487" s="3" t="s">
        <v>1270</v>
      </c>
      <c r="F487" s="3" t="s">
        <v>1278</v>
      </c>
      <c r="G487" s="3" t="s">
        <v>788</v>
      </c>
      <c r="H487" s="3">
        <v>0.33300000000000002</v>
      </c>
      <c r="I487" s="3">
        <v>0</v>
      </c>
      <c r="J487" s="3" t="s">
        <v>18</v>
      </c>
      <c r="K487" s="5">
        <v>0.03</v>
      </c>
      <c r="L487" s="6">
        <v>4690654006525</v>
      </c>
      <c r="M487" s="7" t="s">
        <v>1260</v>
      </c>
      <c r="N487" s="8">
        <f>VLOOKUP(B487,'[1]новый без картинок'!$A$5:$F$2672,6,0)</f>
        <v>174</v>
      </c>
    </row>
    <row r="488" spans="1:14" ht="151.15" customHeight="1" x14ac:dyDescent="0.2">
      <c r="A488" s="3">
        <v>486</v>
      </c>
      <c r="B488" s="3">
        <v>168745</v>
      </c>
      <c r="C488" s="4" t="str">
        <f>HYPERLINK("http://optservis.net:5080/photo?tov_code_internet=168745","Увеличить")</f>
        <v>Увеличить</v>
      </c>
      <c r="D488" s="3" t="s">
        <v>1258</v>
      </c>
      <c r="E488" s="3" t="s">
        <v>1270</v>
      </c>
      <c r="F488" s="3" t="s">
        <v>1279</v>
      </c>
      <c r="G488" s="3" t="s">
        <v>788</v>
      </c>
      <c r="H488" s="3">
        <v>0.33300000000000002</v>
      </c>
      <c r="I488" s="3">
        <v>0</v>
      </c>
      <c r="J488" s="3" t="s">
        <v>18</v>
      </c>
      <c r="K488" s="5">
        <v>0.03</v>
      </c>
      <c r="L488" s="6">
        <v>4690654010164</v>
      </c>
      <c r="M488" s="7" t="s">
        <v>1260</v>
      </c>
      <c r="N488" s="8">
        <f>VLOOKUP(B488,'[1]новый без картинок'!$A$5:$F$2672,6,0)</f>
        <v>174</v>
      </c>
    </row>
    <row r="489" spans="1:14" ht="149.44999999999999" customHeight="1" x14ac:dyDescent="0.2">
      <c r="A489" s="3">
        <v>487</v>
      </c>
      <c r="B489" s="3">
        <v>163107</v>
      </c>
      <c r="C489" s="4" t="str">
        <f>HYPERLINK("http://optservis.net:5080/photo?tov_code_internet=163107","Увеличить")</f>
        <v>Увеличить</v>
      </c>
      <c r="D489" s="3" t="s">
        <v>1258</v>
      </c>
      <c r="E489" s="3" t="s">
        <v>1270</v>
      </c>
      <c r="F489" s="3" t="s">
        <v>165</v>
      </c>
      <c r="G489" s="3" t="s">
        <v>788</v>
      </c>
      <c r="H489" s="3">
        <v>0.33300000000000002</v>
      </c>
      <c r="I489" s="3">
        <v>0</v>
      </c>
      <c r="J489" s="3" t="s">
        <v>18</v>
      </c>
      <c r="K489" s="5">
        <v>0.03</v>
      </c>
      <c r="L489" s="6">
        <v>4690654007867</v>
      </c>
      <c r="M489" s="7" t="s">
        <v>1260</v>
      </c>
      <c r="N489" s="8">
        <f>VLOOKUP(B489,'[1]новый без картинок'!$A$5:$F$2672,6,0)</f>
        <v>174</v>
      </c>
    </row>
    <row r="490" spans="1:14" ht="151.15" customHeight="1" x14ac:dyDescent="0.2">
      <c r="A490" s="3">
        <v>488</v>
      </c>
      <c r="B490" s="3">
        <v>168741</v>
      </c>
      <c r="C490" s="4" t="str">
        <f>HYPERLINK("http://optservis.net:5080/photo?tov_code_internet=168741","Увеличить")</f>
        <v>Увеличить</v>
      </c>
      <c r="D490" s="3" t="s">
        <v>1258</v>
      </c>
      <c r="E490" s="3" t="s">
        <v>1270</v>
      </c>
      <c r="F490" s="3" t="s">
        <v>1280</v>
      </c>
      <c r="G490" s="3" t="s">
        <v>788</v>
      </c>
      <c r="H490" s="3">
        <v>0.33300000000000002</v>
      </c>
      <c r="I490" s="3">
        <v>0</v>
      </c>
      <c r="J490" s="3" t="s">
        <v>18</v>
      </c>
      <c r="K490" s="5">
        <v>0.03</v>
      </c>
      <c r="L490" s="6">
        <v>4690654013165</v>
      </c>
      <c r="M490" s="7" t="s">
        <v>1260</v>
      </c>
      <c r="N490" s="8">
        <f>VLOOKUP(B490,'[1]новый без картинок'!$A$5:$F$2672,6,0)</f>
        <v>174</v>
      </c>
    </row>
    <row r="491" spans="1:14" ht="149.44999999999999" customHeight="1" x14ac:dyDescent="0.2">
      <c r="A491" s="3">
        <v>489</v>
      </c>
      <c r="B491" s="3">
        <v>153270</v>
      </c>
      <c r="C491" s="4" t="str">
        <f>HYPERLINK("http://optservis.net:5080/photo?tov_code_internet=153270","Увеличить")</f>
        <v>Увеличить</v>
      </c>
      <c r="D491" s="3" t="s">
        <v>1281</v>
      </c>
      <c r="E491" s="3"/>
      <c r="F491" s="3" t="s">
        <v>1199</v>
      </c>
      <c r="G491" s="3" t="s">
        <v>101</v>
      </c>
      <c r="H491" s="3">
        <v>0.33300000000000002</v>
      </c>
      <c r="I491" s="3">
        <v>0</v>
      </c>
      <c r="J491" s="3" t="s">
        <v>18</v>
      </c>
      <c r="K491" s="5">
        <v>0.03</v>
      </c>
      <c r="L491" s="6">
        <v>0</v>
      </c>
      <c r="M491" s="7" t="s">
        <v>1282</v>
      </c>
      <c r="N491" s="8">
        <f>VLOOKUP(B491,'[1]новый без картинок'!$A$5:$F$2672,6,0)</f>
        <v>634</v>
      </c>
    </row>
    <row r="492" spans="1:14" ht="151.15" customHeight="1" x14ac:dyDescent="0.2">
      <c r="A492" s="3">
        <v>490</v>
      </c>
      <c r="B492" s="3">
        <v>195670</v>
      </c>
      <c r="C492" s="4" t="str">
        <f>HYPERLINK("http://optservis.net:5080/photo?tov_code_internet=195670","Увеличить")</f>
        <v>Увеличить</v>
      </c>
      <c r="D492" s="3" t="s">
        <v>1283</v>
      </c>
      <c r="E492" s="3"/>
      <c r="F492" s="3" t="s">
        <v>853</v>
      </c>
      <c r="G492" s="3" t="s">
        <v>788</v>
      </c>
      <c r="H492" s="3">
        <v>0.33300000000000002</v>
      </c>
      <c r="I492" s="3">
        <v>0</v>
      </c>
      <c r="J492" s="3" t="s">
        <v>18</v>
      </c>
      <c r="K492" s="5">
        <v>0.03</v>
      </c>
      <c r="L492" s="6">
        <v>0</v>
      </c>
      <c r="M492" s="7" t="s">
        <v>1260</v>
      </c>
      <c r="N492" s="8">
        <f>VLOOKUP(B492,'[1]новый без картинок'!$A$5:$F$2672,6,0)</f>
        <v>191</v>
      </c>
    </row>
    <row r="493" spans="1:14" ht="149.44999999999999" customHeight="1" x14ac:dyDescent="0.2">
      <c r="A493" s="3">
        <v>491</v>
      </c>
      <c r="B493" s="3">
        <v>163503</v>
      </c>
      <c r="C493" s="4" t="str">
        <f>HYPERLINK("http://optservis.net:5080/photo?tov_code_internet=163503","Увеличить")</f>
        <v>Увеличить</v>
      </c>
      <c r="D493" s="3" t="s">
        <v>1283</v>
      </c>
      <c r="E493" s="3" t="s">
        <v>1284</v>
      </c>
      <c r="F493" s="3" t="s">
        <v>1285</v>
      </c>
      <c r="G493" s="3" t="s">
        <v>788</v>
      </c>
      <c r="H493" s="3">
        <v>0.33300000000000002</v>
      </c>
      <c r="I493" s="3">
        <v>0</v>
      </c>
      <c r="J493" s="3" t="s">
        <v>18</v>
      </c>
      <c r="K493" s="5">
        <v>0.03</v>
      </c>
      <c r="L493" s="6">
        <v>4690654007461</v>
      </c>
      <c r="M493" s="7" t="s">
        <v>1286</v>
      </c>
      <c r="N493" s="8">
        <f>VLOOKUP(B493,'[1]новый без картинок'!$A$5:$F$2672,6,0)</f>
        <v>185</v>
      </c>
    </row>
    <row r="494" spans="1:14" ht="151.15" customHeight="1" x14ac:dyDescent="0.2">
      <c r="A494" s="3">
        <v>492</v>
      </c>
      <c r="B494" s="3">
        <v>164431</v>
      </c>
      <c r="C494" s="4" t="str">
        <f>HYPERLINK("http://optservis.net:5080/photo?tov_code_internet=164431","Увеличить")</f>
        <v>Увеличить</v>
      </c>
      <c r="D494" s="3" t="s">
        <v>1283</v>
      </c>
      <c r="E494" s="3" t="s">
        <v>1284</v>
      </c>
      <c r="F494" s="3" t="s">
        <v>1287</v>
      </c>
      <c r="G494" s="3" t="s">
        <v>788</v>
      </c>
      <c r="H494" s="3">
        <v>0.33300000000000002</v>
      </c>
      <c r="I494" s="3">
        <v>0</v>
      </c>
      <c r="J494" s="3" t="s">
        <v>18</v>
      </c>
      <c r="K494" s="5">
        <v>0.03</v>
      </c>
      <c r="L494" s="6">
        <v>4690654010171</v>
      </c>
      <c r="M494" s="7" t="s">
        <v>1286</v>
      </c>
      <c r="N494" s="8">
        <f>VLOOKUP(B494,'[1]новый без картинок'!$A$5:$F$2672,6,0)</f>
        <v>191</v>
      </c>
    </row>
    <row r="495" spans="1:14" ht="149.44999999999999" customHeight="1" x14ac:dyDescent="0.2">
      <c r="A495" s="3">
        <v>493</v>
      </c>
      <c r="B495" s="3">
        <v>165490</v>
      </c>
      <c r="C495" s="4" t="str">
        <f>HYPERLINK("http://optservis.net:5080/photo?tov_code_internet=165490","Увеличить")</f>
        <v>Увеличить</v>
      </c>
      <c r="D495" s="3" t="s">
        <v>1283</v>
      </c>
      <c r="E495" s="3" t="s">
        <v>1284</v>
      </c>
      <c r="F495" s="3" t="s">
        <v>1173</v>
      </c>
      <c r="G495" s="3" t="s">
        <v>788</v>
      </c>
      <c r="H495" s="3">
        <v>0.33300000000000002</v>
      </c>
      <c r="I495" s="3">
        <v>0</v>
      </c>
      <c r="J495" s="3" t="s">
        <v>18</v>
      </c>
      <c r="K495" s="5">
        <v>0.03</v>
      </c>
      <c r="L495" s="6">
        <v>4690654010683</v>
      </c>
      <c r="M495" s="7" t="s">
        <v>1286</v>
      </c>
      <c r="N495" s="8">
        <f>VLOOKUP(B495,'[1]новый без картинок'!$A$5:$F$2672,6,0)</f>
        <v>191</v>
      </c>
    </row>
    <row r="496" spans="1:14" ht="151.15" customHeight="1" x14ac:dyDescent="0.2">
      <c r="A496" s="3">
        <v>494</v>
      </c>
      <c r="B496" s="3">
        <v>164430</v>
      </c>
      <c r="C496" s="4" t="str">
        <f>HYPERLINK("http://optservis.net:5080/photo?tov_code_internet=164430","Увеличить")</f>
        <v>Увеличить</v>
      </c>
      <c r="D496" s="3" t="s">
        <v>1283</v>
      </c>
      <c r="E496" s="3" t="s">
        <v>1284</v>
      </c>
      <c r="F496" s="3" t="s">
        <v>1288</v>
      </c>
      <c r="G496" s="3" t="s">
        <v>788</v>
      </c>
      <c r="H496" s="3">
        <v>0.33300000000000002</v>
      </c>
      <c r="I496" s="3">
        <v>0</v>
      </c>
      <c r="J496" s="3" t="s">
        <v>18</v>
      </c>
      <c r="K496" s="5">
        <v>0.03</v>
      </c>
      <c r="L496" s="6">
        <v>4690654010188</v>
      </c>
      <c r="M496" s="7" t="s">
        <v>1286</v>
      </c>
      <c r="N496" s="8">
        <f>VLOOKUP(B496,'[1]новый без картинок'!$A$5:$F$2672,6,0)</f>
        <v>191</v>
      </c>
    </row>
    <row r="497" spans="1:14" ht="151.15" customHeight="1" x14ac:dyDescent="0.2">
      <c r="A497" s="3">
        <v>495</v>
      </c>
      <c r="B497" s="3">
        <v>195669</v>
      </c>
      <c r="C497" s="4" t="str">
        <f>HYPERLINK("http://optservis.net:5080/photo?tov_code_internet=195669","Увеличить")</f>
        <v>Увеличить</v>
      </c>
      <c r="D497" s="3" t="s">
        <v>1283</v>
      </c>
      <c r="E497" s="3" t="s">
        <v>1284</v>
      </c>
      <c r="F497" s="3" t="s">
        <v>1030</v>
      </c>
      <c r="G497" s="3" t="s">
        <v>788</v>
      </c>
      <c r="H497" s="3">
        <v>0.33300000000000002</v>
      </c>
      <c r="I497" s="3">
        <v>0</v>
      </c>
      <c r="J497" s="3" t="s">
        <v>18</v>
      </c>
      <c r="K497" s="5">
        <v>0.03</v>
      </c>
      <c r="L497" s="6">
        <v>4690654018337</v>
      </c>
      <c r="M497" s="7" t="s">
        <v>1260</v>
      </c>
      <c r="N497" s="8">
        <f>VLOOKUP(B497,'[1]новый без картинок'!$A$5:$F$2672,6,0)</f>
        <v>194</v>
      </c>
    </row>
    <row r="498" spans="1:14" ht="149.44999999999999" customHeight="1" x14ac:dyDescent="0.2">
      <c r="A498" s="3">
        <v>496</v>
      </c>
      <c r="B498" s="3">
        <v>163502</v>
      </c>
      <c r="C498" s="4" t="str">
        <f>HYPERLINK("http://optservis.net:5080/photo?tov_code_internet=163502","Увеличить")</f>
        <v>Увеличить</v>
      </c>
      <c r="D498" s="3" t="s">
        <v>1283</v>
      </c>
      <c r="E498" s="3" t="s">
        <v>1284</v>
      </c>
      <c r="F498" s="3" t="s">
        <v>165</v>
      </c>
      <c r="G498" s="3" t="s">
        <v>788</v>
      </c>
      <c r="H498" s="3">
        <v>0.33300000000000002</v>
      </c>
      <c r="I498" s="3">
        <v>0</v>
      </c>
      <c r="J498" s="3" t="s">
        <v>18</v>
      </c>
      <c r="K498" s="5">
        <v>0.03</v>
      </c>
      <c r="L498" s="6">
        <v>4690654010195</v>
      </c>
      <c r="M498" s="7" t="s">
        <v>1286</v>
      </c>
      <c r="N498" s="8">
        <f>VLOOKUP(B498,'[1]новый без картинок'!$A$5:$F$2672,6,0)</f>
        <v>194</v>
      </c>
    </row>
    <row r="499" spans="1:14" ht="153" customHeight="1" x14ac:dyDescent="0.2">
      <c r="A499" s="3">
        <v>497</v>
      </c>
      <c r="B499" s="3">
        <v>150301</v>
      </c>
      <c r="C499" s="4" t="str">
        <f>HYPERLINK("http://optservis.net:5080/photo?tov_code_internet=150301","Увеличить")</f>
        <v>Увеличить</v>
      </c>
      <c r="D499" s="3" t="s">
        <v>1289</v>
      </c>
      <c r="E499" s="3" t="s">
        <v>1290</v>
      </c>
      <c r="F499" s="3" t="s">
        <v>1291</v>
      </c>
      <c r="G499" s="3" t="s">
        <v>1292</v>
      </c>
      <c r="H499" s="3">
        <v>0.33300000000000002</v>
      </c>
      <c r="I499" s="3">
        <v>0</v>
      </c>
      <c r="J499" s="3" t="s">
        <v>18</v>
      </c>
      <c r="K499" s="5">
        <v>0.03</v>
      </c>
      <c r="L499" s="6">
        <v>4690654007850</v>
      </c>
      <c r="M499" s="7" t="s">
        <v>1293</v>
      </c>
      <c r="N499" s="8">
        <f>VLOOKUP(B499,'[1]новый без картинок'!$A$5:$F$2672,6,0)</f>
        <v>267</v>
      </c>
    </row>
    <row r="500" spans="1:14" ht="149.44999999999999" customHeight="1" x14ac:dyDescent="0.2">
      <c r="A500" s="3">
        <v>498</v>
      </c>
      <c r="B500" s="3">
        <v>157306</v>
      </c>
      <c r="C500" s="4" t="str">
        <f>HYPERLINK("http://optservis.net:5080/photo?tov_code_internet=157306","Увеличить")</f>
        <v>Увеличить</v>
      </c>
      <c r="D500" s="3" t="s">
        <v>1289</v>
      </c>
      <c r="E500" s="3" t="s">
        <v>1290</v>
      </c>
      <c r="F500" s="3" t="s">
        <v>165</v>
      </c>
      <c r="G500" s="3" t="s">
        <v>1294</v>
      </c>
      <c r="H500" s="3">
        <v>0.33300000000000002</v>
      </c>
      <c r="I500" s="3">
        <v>0</v>
      </c>
      <c r="J500" s="3" t="s">
        <v>18</v>
      </c>
      <c r="K500" s="5">
        <v>0.03</v>
      </c>
      <c r="L500" s="6">
        <v>4690654010232</v>
      </c>
      <c r="M500" s="7" t="s">
        <v>1295</v>
      </c>
      <c r="N500" s="8">
        <f>VLOOKUP(B500,'[1]новый без картинок'!$A$5:$F$2672,6,0)</f>
        <v>267</v>
      </c>
    </row>
    <row r="501" spans="1:14" ht="149.44999999999999" customHeight="1" x14ac:dyDescent="0.2">
      <c r="A501" s="3">
        <v>499</v>
      </c>
      <c r="B501" s="3">
        <v>155610</v>
      </c>
      <c r="C501" s="4" t="str">
        <f>HYPERLINK("http://optservis.net:5080/photo?tov_code_internet=155610","Увеличить")</f>
        <v>Увеличить</v>
      </c>
      <c r="D501" s="3" t="s">
        <v>1296</v>
      </c>
      <c r="E501" s="3"/>
      <c r="F501" s="3" t="s">
        <v>1297</v>
      </c>
      <c r="G501" s="3" t="s">
        <v>59</v>
      </c>
      <c r="H501" s="3">
        <v>0.33300000000000002</v>
      </c>
      <c r="I501" s="3">
        <v>0</v>
      </c>
      <c r="J501" s="3" t="s">
        <v>18</v>
      </c>
      <c r="K501" s="5">
        <v>0.02</v>
      </c>
      <c r="L501" s="6">
        <v>0</v>
      </c>
      <c r="M501" s="7" t="s">
        <v>1298</v>
      </c>
      <c r="N501" s="8">
        <f>VLOOKUP(B501,'[1]новый без картинок'!$A$5:$F$2672,6,0)</f>
        <v>623</v>
      </c>
    </row>
    <row r="502" spans="1:14" ht="149.44999999999999" customHeight="1" x14ac:dyDescent="0.2">
      <c r="A502" s="3">
        <v>500</v>
      </c>
      <c r="B502" s="3">
        <v>155408</v>
      </c>
      <c r="C502" s="4" t="str">
        <f>HYPERLINK("http://optservis.net:5080/photo?tov_code_internet=155408","Увеличить")</f>
        <v>Увеличить</v>
      </c>
      <c r="D502" s="3" t="s">
        <v>1296</v>
      </c>
      <c r="E502" s="3"/>
      <c r="F502" s="3" t="s">
        <v>688</v>
      </c>
      <c r="G502" s="3" t="s">
        <v>59</v>
      </c>
      <c r="H502" s="3">
        <v>0.33300000000000002</v>
      </c>
      <c r="I502" s="3">
        <v>0</v>
      </c>
      <c r="J502" s="3" t="s">
        <v>18</v>
      </c>
      <c r="K502" s="5">
        <v>0.02</v>
      </c>
      <c r="L502" s="6">
        <v>0</v>
      </c>
      <c r="M502" s="7" t="s">
        <v>1298</v>
      </c>
      <c r="N502" s="8">
        <f>VLOOKUP(B502,'[1]новый без картинок'!$A$5:$F$2672,6,0)</f>
        <v>610</v>
      </c>
    </row>
    <row r="503" spans="1:14" ht="149.44999999999999" customHeight="1" x14ac:dyDescent="0.2">
      <c r="A503" s="3">
        <v>501</v>
      </c>
      <c r="B503" s="3">
        <v>157303</v>
      </c>
      <c r="C503" s="4" t="str">
        <f>HYPERLINK("http://optservis.net:5080/photo?tov_code_internet=157303","Увеличить")</f>
        <v>Увеличить</v>
      </c>
      <c r="D503" s="3" t="s">
        <v>1299</v>
      </c>
      <c r="E503" s="3"/>
      <c r="F503" s="3" t="s">
        <v>377</v>
      </c>
      <c r="G503" s="3" t="s">
        <v>1300</v>
      </c>
      <c r="H503" s="3">
        <v>0.33300000000000002</v>
      </c>
      <c r="I503" s="3">
        <v>0</v>
      </c>
      <c r="J503" s="3" t="s">
        <v>18</v>
      </c>
      <c r="K503" s="5">
        <v>0.03</v>
      </c>
      <c r="L503" s="6">
        <v>0</v>
      </c>
      <c r="M503" s="7" t="s">
        <v>1301</v>
      </c>
      <c r="N503" s="8">
        <f>VLOOKUP(B503,'[1]новый без картинок'!$A$5:$F$2672,6,0)</f>
        <v>255</v>
      </c>
    </row>
    <row r="504" spans="1:14" ht="151.15" customHeight="1" x14ac:dyDescent="0.2">
      <c r="A504" s="3">
        <v>502</v>
      </c>
      <c r="B504" s="3">
        <v>172506</v>
      </c>
      <c r="C504" s="4" t="str">
        <f>HYPERLINK("http://optservis.net:5080/photo?tov_code_internet=172506","Увеличить")</f>
        <v>Увеличить</v>
      </c>
      <c r="D504" s="3" t="s">
        <v>1302</v>
      </c>
      <c r="E504" s="3" t="s">
        <v>1303</v>
      </c>
      <c r="F504" s="3" t="s">
        <v>1304</v>
      </c>
      <c r="G504" s="3" t="s">
        <v>373</v>
      </c>
      <c r="H504" s="3">
        <v>0.33300000000000002</v>
      </c>
      <c r="I504" s="3">
        <v>0</v>
      </c>
      <c r="J504" s="3" t="s">
        <v>18</v>
      </c>
      <c r="K504" s="5">
        <v>0.03</v>
      </c>
      <c r="L504" s="6">
        <v>4690654010379</v>
      </c>
      <c r="M504" s="7" t="s">
        <v>1305</v>
      </c>
      <c r="N504" s="8">
        <f>VLOOKUP(B504,'[1]новый без картинок'!$A$5:$F$2672,6,0)</f>
        <v>203</v>
      </c>
    </row>
    <row r="505" spans="1:14" ht="151.15" customHeight="1" x14ac:dyDescent="0.2">
      <c r="A505" s="3">
        <v>503</v>
      </c>
      <c r="B505" s="3">
        <v>172513</v>
      </c>
      <c r="C505" s="4" t="str">
        <f>HYPERLINK("http://optservis.net:5080/photo?tov_code_internet=172513","Увеличить")</f>
        <v>Увеличить</v>
      </c>
      <c r="D505" s="3" t="s">
        <v>1302</v>
      </c>
      <c r="E505" s="3" t="s">
        <v>1303</v>
      </c>
      <c r="F505" s="3" t="s">
        <v>1306</v>
      </c>
      <c r="G505" s="3" t="s">
        <v>373</v>
      </c>
      <c r="H505" s="3">
        <v>0.33300000000000002</v>
      </c>
      <c r="I505" s="3">
        <v>0</v>
      </c>
      <c r="J505" s="3" t="s">
        <v>18</v>
      </c>
      <c r="K505" s="5">
        <v>0.03</v>
      </c>
      <c r="L505" s="6">
        <v>4690654010386</v>
      </c>
      <c r="M505" s="7" t="s">
        <v>1305</v>
      </c>
      <c r="N505" s="8">
        <f>VLOOKUP(B505,'[1]новый без картинок'!$A$5:$F$2672,6,0)</f>
        <v>203</v>
      </c>
    </row>
    <row r="506" spans="1:14" ht="149.44999999999999" customHeight="1" x14ac:dyDescent="0.2">
      <c r="A506" s="3">
        <v>504</v>
      </c>
      <c r="B506" s="3">
        <v>149933</v>
      </c>
      <c r="C506" s="4" t="str">
        <f>HYPERLINK("http://optservis.net:5080/photo?tov_code_internet=149933","Увеличить")</f>
        <v>Увеличить</v>
      </c>
      <c r="D506" s="3" t="s">
        <v>1307</v>
      </c>
      <c r="E506" s="3"/>
      <c r="F506" s="3" t="s">
        <v>1261</v>
      </c>
      <c r="G506" s="3" t="s">
        <v>110</v>
      </c>
      <c r="H506" s="3">
        <v>0.33300000000000002</v>
      </c>
      <c r="I506" s="3">
        <v>0</v>
      </c>
      <c r="J506" s="3" t="s">
        <v>18</v>
      </c>
      <c r="K506" s="5">
        <v>0</v>
      </c>
      <c r="L506" s="6">
        <v>0</v>
      </c>
      <c r="M506" s="7" t="s">
        <v>1308</v>
      </c>
      <c r="N506" s="8">
        <f>VLOOKUP(B506,'[1]новый без картинок'!$A$5:$F$2672,6,0)</f>
        <v>135</v>
      </c>
    </row>
    <row r="507" spans="1:14" ht="151.15" customHeight="1" x14ac:dyDescent="0.2">
      <c r="A507" s="3">
        <v>505</v>
      </c>
      <c r="B507" s="3">
        <v>195703</v>
      </c>
      <c r="C507" s="4" t="str">
        <f>HYPERLINK("http://optservis.net:5080/photo?tov_code_internet=195703","Увеличить")</f>
        <v>Увеличить</v>
      </c>
      <c r="D507" s="3" t="s">
        <v>1307</v>
      </c>
      <c r="E507" s="3"/>
      <c r="F507" s="3" t="s">
        <v>1309</v>
      </c>
      <c r="G507" s="3" t="s">
        <v>373</v>
      </c>
      <c r="H507" s="3">
        <v>0.33300000000000002</v>
      </c>
      <c r="I507" s="3">
        <v>0</v>
      </c>
      <c r="J507" s="3" t="s">
        <v>18</v>
      </c>
      <c r="K507" s="5">
        <v>0.03</v>
      </c>
      <c r="L507" s="6">
        <v>0</v>
      </c>
      <c r="M507" s="7" t="s">
        <v>1310</v>
      </c>
      <c r="N507" s="8">
        <f>VLOOKUP(B507,'[1]новый без картинок'!$A$5:$F$2672,6,0)</f>
        <v>164</v>
      </c>
    </row>
    <row r="508" spans="1:14" ht="151.15" customHeight="1" x14ac:dyDescent="0.2">
      <c r="A508" s="3">
        <v>506</v>
      </c>
      <c r="B508" s="3">
        <v>149330</v>
      </c>
      <c r="C508" s="4" t="str">
        <f>HYPERLINK("http://optservis.net:5080/photo?tov_code_internet=149330","Увеличить")</f>
        <v>Увеличить</v>
      </c>
      <c r="D508" s="3" t="s">
        <v>1307</v>
      </c>
      <c r="E508" s="3"/>
      <c r="F508" s="3" t="s">
        <v>1311</v>
      </c>
      <c r="G508" s="3" t="s">
        <v>110</v>
      </c>
      <c r="H508" s="3">
        <v>0.33300000000000002</v>
      </c>
      <c r="I508" s="3">
        <v>0</v>
      </c>
      <c r="J508" s="3" t="s">
        <v>18</v>
      </c>
      <c r="K508" s="5">
        <v>0.03</v>
      </c>
      <c r="L508" s="6">
        <v>0</v>
      </c>
      <c r="M508" s="7" t="s">
        <v>1312</v>
      </c>
      <c r="N508" s="8">
        <f>VLOOKUP(B508,'[1]новый без картинок'!$A$5:$F$2672,6,0)</f>
        <v>164</v>
      </c>
    </row>
    <row r="509" spans="1:14" ht="151.15" customHeight="1" x14ac:dyDescent="0.2">
      <c r="A509" s="3">
        <v>507</v>
      </c>
      <c r="B509" s="3">
        <v>195697</v>
      </c>
      <c r="C509" s="4" t="str">
        <f>HYPERLINK("http://optservis.net:5080/photo?tov_code_internet=195697","Увеличить")</f>
        <v>Увеличить</v>
      </c>
      <c r="D509" s="3" t="s">
        <v>1307</v>
      </c>
      <c r="E509" s="3"/>
      <c r="F509" s="3" t="s">
        <v>1263</v>
      </c>
      <c r="G509" s="3" t="s">
        <v>110</v>
      </c>
      <c r="H509" s="3">
        <v>0.33300000000000002</v>
      </c>
      <c r="I509" s="3">
        <v>0</v>
      </c>
      <c r="J509" s="3" t="s">
        <v>18</v>
      </c>
      <c r="K509" s="5">
        <v>0.03</v>
      </c>
      <c r="L509" s="6">
        <v>0</v>
      </c>
      <c r="M509" s="7" t="s">
        <v>1312</v>
      </c>
      <c r="N509" s="8">
        <f>VLOOKUP(B509,'[1]новый без картинок'!$A$5:$F$2672,6,0)</f>
        <v>151</v>
      </c>
    </row>
    <row r="510" spans="1:14" ht="149.44999999999999" customHeight="1" x14ac:dyDescent="0.2">
      <c r="A510" s="3">
        <v>508</v>
      </c>
      <c r="B510" s="3">
        <v>149889</v>
      </c>
      <c r="C510" s="4" t="str">
        <f>HYPERLINK("http://optservis.net:5080/photo?tov_code_internet=149889","Увеличить")</f>
        <v>Увеличить</v>
      </c>
      <c r="D510" s="3" t="s">
        <v>1307</v>
      </c>
      <c r="E510" s="3"/>
      <c r="F510" s="3" t="s">
        <v>1313</v>
      </c>
      <c r="G510" s="3" t="s">
        <v>110</v>
      </c>
      <c r="H510" s="3">
        <v>0.33300000000000002</v>
      </c>
      <c r="I510" s="3">
        <v>0</v>
      </c>
      <c r="J510" s="3" t="s">
        <v>18</v>
      </c>
      <c r="K510" s="5">
        <v>0</v>
      </c>
      <c r="L510" s="6">
        <v>0</v>
      </c>
      <c r="M510" s="7" t="s">
        <v>1314</v>
      </c>
      <c r="N510" s="8">
        <f>VLOOKUP(B510,'[1]новый без картинок'!$A$5:$F$2672,6,0)</f>
        <v>135</v>
      </c>
    </row>
    <row r="511" spans="1:14" ht="149.44999999999999" customHeight="1" x14ac:dyDescent="0.2">
      <c r="A511" s="3">
        <v>509</v>
      </c>
      <c r="B511" s="3">
        <v>149930</v>
      </c>
      <c r="C511" s="4" t="str">
        <f>HYPERLINK("http://optservis.net:5080/photo?tov_code_internet=149930","Увеличить")</f>
        <v>Увеличить</v>
      </c>
      <c r="D511" s="3" t="s">
        <v>1307</v>
      </c>
      <c r="E511" s="3"/>
      <c r="F511" s="3" t="s">
        <v>1315</v>
      </c>
      <c r="G511" s="3" t="s">
        <v>110</v>
      </c>
      <c r="H511" s="3">
        <v>0.33300000000000002</v>
      </c>
      <c r="I511" s="3">
        <v>0</v>
      </c>
      <c r="J511" s="3" t="s">
        <v>18</v>
      </c>
      <c r="K511" s="5">
        <v>0.03</v>
      </c>
      <c r="L511" s="6">
        <v>0</v>
      </c>
      <c r="M511" s="7" t="s">
        <v>1314</v>
      </c>
      <c r="N511" s="8">
        <f>VLOOKUP(B511,'[1]новый без картинок'!$A$5:$F$2672,6,0)</f>
        <v>151</v>
      </c>
    </row>
    <row r="512" spans="1:14" ht="149.44999999999999" customHeight="1" x14ac:dyDescent="0.2">
      <c r="A512" s="3">
        <v>510</v>
      </c>
      <c r="B512" s="3">
        <v>149897</v>
      </c>
      <c r="C512" s="4" t="str">
        <f>HYPERLINK("http://optservis.net:5080/photo?tov_code_internet=149897","Увеличить")</f>
        <v>Увеличить</v>
      </c>
      <c r="D512" s="3" t="s">
        <v>1307</v>
      </c>
      <c r="E512" s="3"/>
      <c r="F512" s="3" t="s">
        <v>1316</v>
      </c>
      <c r="G512" s="3" t="s">
        <v>110</v>
      </c>
      <c r="H512" s="3">
        <v>0.33300000000000002</v>
      </c>
      <c r="I512" s="3">
        <v>0</v>
      </c>
      <c r="J512" s="3" t="s">
        <v>18</v>
      </c>
      <c r="K512" s="5">
        <v>0</v>
      </c>
      <c r="L512" s="6">
        <v>0</v>
      </c>
      <c r="M512" s="7" t="s">
        <v>1314</v>
      </c>
      <c r="N512" s="8">
        <f>VLOOKUP(B512,'[1]новый без картинок'!$A$5:$F$2672,6,0)</f>
        <v>135</v>
      </c>
    </row>
    <row r="513" spans="1:14" ht="151.15" customHeight="1" x14ac:dyDescent="0.2">
      <c r="A513" s="3">
        <v>511</v>
      </c>
      <c r="B513" s="3">
        <v>195702</v>
      </c>
      <c r="C513" s="4" t="str">
        <f>HYPERLINK("http://optservis.net:5080/photo?tov_code_internet=195702","Увеличить")</f>
        <v>Увеличить</v>
      </c>
      <c r="D513" s="3" t="s">
        <v>1307</v>
      </c>
      <c r="E513" s="3"/>
      <c r="F513" s="3" t="s">
        <v>1317</v>
      </c>
      <c r="G513" s="3" t="s">
        <v>373</v>
      </c>
      <c r="H513" s="3">
        <v>0.33300000000000002</v>
      </c>
      <c r="I513" s="3">
        <v>0</v>
      </c>
      <c r="J513" s="3" t="s">
        <v>18</v>
      </c>
      <c r="K513" s="5">
        <v>0.03</v>
      </c>
      <c r="L513" s="6">
        <v>0</v>
      </c>
      <c r="M513" s="7" t="s">
        <v>1310</v>
      </c>
      <c r="N513" s="8">
        <f>VLOOKUP(B513,'[1]новый без картинок'!$A$5:$F$2672,6,0)</f>
        <v>164</v>
      </c>
    </row>
    <row r="514" spans="1:14" ht="151.15" customHeight="1" x14ac:dyDescent="0.2">
      <c r="A514" s="3">
        <v>512</v>
      </c>
      <c r="B514" s="3">
        <v>195701</v>
      </c>
      <c r="C514" s="4" t="str">
        <f>HYPERLINK("http://optservis.net:5080/photo?tov_code_internet=195701","Увеличить")</f>
        <v>Увеличить</v>
      </c>
      <c r="D514" s="3" t="s">
        <v>1307</v>
      </c>
      <c r="E514" s="3"/>
      <c r="F514" s="3" t="s">
        <v>1268</v>
      </c>
      <c r="G514" s="3" t="s">
        <v>373</v>
      </c>
      <c r="H514" s="3">
        <v>0.33300000000000002</v>
      </c>
      <c r="I514" s="3">
        <v>0</v>
      </c>
      <c r="J514" s="3" t="s">
        <v>18</v>
      </c>
      <c r="K514" s="5">
        <v>0.03</v>
      </c>
      <c r="L514" s="6">
        <v>0</v>
      </c>
      <c r="M514" s="7" t="s">
        <v>1310</v>
      </c>
      <c r="N514" s="8">
        <f>VLOOKUP(B514,'[1]новый без картинок'!$A$5:$F$2672,6,0)</f>
        <v>151</v>
      </c>
    </row>
    <row r="515" spans="1:14" ht="149.44999999999999" customHeight="1" x14ac:dyDescent="0.2">
      <c r="A515" s="3">
        <v>513</v>
      </c>
      <c r="B515" s="3">
        <v>149935</v>
      </c>
      <c r="C515" s="4" t="str">
        <f>HYPERLINK("http://optservis.net:5080/photo?tov_code_internet=149935","Увеличить")</f>
        <v>Увеличить</v>
      </c>
      <c r="D515" s="3" t="s">
        <v>1307</v>
      </c>
      <c r="E515" s="3"/>
      <c r="F515" s="3" t="s">
        <v>1318</v>
      </c>
      <c r="G515" s="3" t="s">
        <v>110</v>
      </c>
      <c r="H515" s="3">
        <v>0.33300000000000002</v>
      </c>
      <c r="I515" s="3">
        <v>0</v>
      </c>
      <c r="J515" s="3" t="s">
        <v>18</v>
      </c>
      <c r="K515" s="5">
        <v>0.03</v>
      </c>
      <c r="L515" s="6">
        <v>0</v>
      </c>
      <c r="M515" s="7" t="s">
        <v>1312</v>
      </c>
      <c r="N515" s="8">
        <f>VLOOKUP(B515,'[1]новый без картинок'!$A$5:$F$2672,6,0)</f>
        <v>151</v>
      </c>
    </row>
    <row r="516" spans="1:14" ht="151.15" customHeight="1" x14ac:dyDescent="0.2">
      <c r="A516" s="3">
        <v>514</v>
      </c>
      <c r="B516" s="3">
        <v>149258</v>
      </c>
      <c r="C516" s="4" t="str">
        <f>HYPERLINK("http://optservis.net:5080/photo?tov_code_internet=149258","Увеличить")</f>
        <v>Увеличить</v>
      </c>
      <c r="D516" s="3" t="s">
        <v>1307</v>
      </c>
      <c r="E516" s="3" t="s">
        <v>1319</v>
      </c>
      <c r="F516" s="3" t="s">
        <v>1320</v>
      </c>
      <c r="G516" s="3" t="s">
        <v>110</v>
      </c>
      <c r="H516" s="3">
        <v>0.33300000000000002</v>
      </c>
      <c r="I516" s="3">
        <v>0</v>
      </c>
      <c r="J516" s="3" t="s">
        <v>18</v>
      </c>
      <c r="K516" s="5">
        <v>0.03</v>
      </c>
      <c r="L516" s="6">
        <v>4690654006730</v>
      </c>
      <c r="M516" s="7" t="s">
        <v>1312</v>
      </c>
      <c r="N516" s="8">
        <f>VLOOKUP(B516,'[1]новый без картинок'!$A$5:$F$2672,6,0)</f>
        <v>164</v>
      </c>
    </row>
    <row r="517" spans="1:14" ht="151.15" customHeight="1" x14ac:dyDescent="0.2">
      <c r="A517" s="3">
        <v>515</v>
      </c>
      <c r="B517" s="3">
        <v>148232</v>
      </c>
      <c r="C517" s="4" t="str">
        <f>HYPERLINK("http://optservis.net:5080/photo?tov_code_internet=148232","Увеличить")</f>
        <v>Увеличить</v>
      </c>
      <c r="D517" s="3" t="s">
        <v>1307</v>
      </c>
      <c r="E517" s="3" t="s">
        <v>1319</v>
      </c>
      <c r="F517" s="3" t="s">
        <v>837</v>
      </c>
      <c r="G517" s="3" t="s">
        <v>110</v>
      </c>
      <c r="H517" s="3">
        <v>0.33300000000000002</v>
      </c>
      <c r="I517" s="3">
        <v>0</v>
      </c>
      <c r="J517" s="3" t="s">
        <v>18</v>
      </c>
      <c r="K517" s="5">
        <v>0.03</v>
      </c>
      <c r="L517" s="6">
        <v>4690654010355</v>
      </c>
      <c r="M517" s="7" t="s">
        <v>1312</v>
      </c>
      <c r="N517" s="8">
        <f>VLOOKUP(B517,'[1]новый без картинок'!$A$5:$F$2672,6,0)</f>
        <v>164</v>
      </c>
    </row>
    <row r="518" spans="1:14" ht="151.15" customHeight="1" x14ac:dyDescent="0.2">
      <c r="A518" s="3">
        <v>516</v>
      </c>
      <c r="B518" s="3">
        <v>148225</v>
      </c>
      <c r="C518" s="4" t="str">
        <f>HYPERLINK("http://optservis.net:5080/photo?tov_code_internet=148225","Увеличить")</f>
        <v>Увеличить</v>
      </c>
      <c r="D518" s="3" t="s">
        <v>1307</v>
      </c>
      <c r="E518" s="3" t="s">
        <v>1319</v>
      </c>
      <c r="F518" s="3" t="s">
        <v>853</v>
      </c>
      <c r="G518" s="3" t="s">
        <v>110</v>
      </c>
      <c r="H518" s="3">
        <v>0.33300000000000002</v>
      </c>
      <c r="I518" s="3">
        <v>0</v>
      </c>
      <c r="J518" s="3" t="s">
        <v>18</v>
      </c>
      <c r="K518" s="5">
        <v>0.03</v>
      </c>
      <c r="L518" s="6">
        <v>4690654006747</v>
      </c>
      <c r="M518" s="7" t="s">
        <v>1312</v>
      </c>
      <c r="N518" s="8">
        <f>VLOOKUP(B518,'[1]новый без картинок'!$A$5:$F$2672,6,0)</f>
        <v>151</v>
      </c>
    </row>
    <row r="519" spans="1:14" ht="151.15" customHeight="1" x14ac:dyDescent="0.2">
      <c r="A519" s="3">
        <v>517</v>
      </c>
      <c r="B519" s="3">
        <v>149256</v>
      </c>
      <c r="C519" s="4" t="str">
        <f>HYPERLINK("http://optservis.net:5080/photo?tov_code_internet=149256","Увеличить")</f>
        <v>Увеличить</v>
      </c>
      <c r="D519" s="3" t="s">
        <v>1307</v>
      </c>
      <c r="E519" s="3" t="s">
        <v>1319</v>
      </c>
      <c r="F519" s="3" t="s">
        <v>1321</v>
      </c>
      <c r="G519" s="3" t="s">
        <v>110</v>
      </c>
      <c r="H519" s="3">
        <v>0.33300000000000002</v>
      </c>
      <c r="I519" s="3">
        <v>0</v>
      </c>
      <c r="J519" s="3" t="s">
        <v>18</v>
      </c>
      <c r="K519" s="5">
        <v>0.03</v>
      </c>
      <c r="L519" s="6">
        <v>4690654010362</v>
      </c>
      <c r="M519" s="7" t="s">
        <v>1312</v>
      </c>
      <c r="N519" s="8">
        <f>VLOOKUP(B519,'[1]новый без картинок'!$A$5:$F$2672,6,0)</f>
        <v>151</v>
      </c>
    </row>
    <row r="520" spans="1:14" ht="149.44999999999999" customHeight="1" x14ac:dyDescent="0.2">
      <c r="A520" s="3">
        <v>518</v>
      </c>
      <c r="B520" s="3">
        <v>149919</v>
      </c>
      <c r="C520" s="4" t="str">
        <f>HYPERLINK("http://optservis.net:5080/photo?tov_code_internet=149919","Увеличить")</f>
        <v>Увеличить</v>
      </c>
      <c r="D520" s="3" t="s">
        <v>1307</v>
      </c>
      <c r="E520" s="3" t="s">
        <v>1319</v>
      </c>
      <c r="F520" s="3" t="s">
        <v>1322</v>
      </c>
      <c r="G520" s="3" t="s">
        <v>110</v>
      </c>
      <c r="H520" s="3">
        <v>0.33300000000000002</v>
      </c>
      <c r="I520" s="3">
        <v>0</v>
      </c>
      <c r="J520" s="3" t="s">
        <v>18</v>
      </c>
      <c r="K520" s="5">
        <v>0.03</v>
      </c>
      <c r="L520" s="6">
        <v>4690654012571</v>
      </c>
      <c r="M520" s="7" t="s">
        <v>1312</v>
      </c>
      <c r="N520" s="8">
        <f>VLOOKUP(B520,'[1]новый без картинок'!$A$5:$F$2672,6,0)</f>
        <v>151</v>
      </c>
    </row>
    <row r="521" spans="1:14" ht="151.15" customHeight="1" x14ac:dyDescent="0.2">
      <c r="A521" s="3">
        <v>519</v>
      </c>
      <c r="B521" s="3">
        <v>149336</v>
      </c>
      <c r="C521" s="4" t="str">
        <f>HYPERLINK("http://optservis.net:5080/photo?tov_code_internet=149336","Увеличить")</f>
        <v>Увеличить</v>
      </c>
      <c r="D521" s="3" t="s">
        <v>1307</v>
      </c>
      <c r="E521" s="3" t="s">
        <v>1319</v>
      </c>
      <c r="F521" s="3" t="s">
        <v>1323</v>
      </c>
      <c r="G521" s="3" t="s">
        <v>110</v>
      </c>
      <c r="H521" s="3">
        <v>0.33300000000000002</v>
      </c>
      <c r="I521" s="3">
        <v>0</v>
      </c>
      <c r="J521" s="3" t="s">
        <v>18</v>
      </c>
      <c r="K521" s="5">
        <v>0.03</v>
      </c>
      <c r="L521" s="6">
        <v>4690654006754</v>
      </c>
      <c r="M521" s="7" t="s">
        <v>1312</v>
      </c>
      <c r="N521" s="8">
        <f>VLOOKUP(B521,'[1]новый без картинок'!$A$5:$F$2672,6,0)</f>
        <v>151</v>
      </c>
    </row>
    <row r="522" spans="1:14" ht="151.15" customHeight="1" x14ac:dyDescent="0.2">
      <c r="A522" s="3">
        <v>520</v>
      </c>
      <c r="B522" s="3">
        <v>149252</v>
      </c>
      <c r="C522" s="4" t="str">
        <f>HYPERLINK("http://optservis.net:5080/photo?tov_code_internet=149252","Увеличить")</f>
        <v>Увеличить</v>
      </c>
      <c r="D522" s="3" t="s">
        <v>1307</v>
      </c>
      <c r="E522" s="3" t="s">
        <v>1319</v>
      </c>
      <c r="F522" s="3" t="s">
        <v>752</v>
      </c>
      <c r="G522" s="3" t="s">
        <v>110</v>
      </c>
      <c r="H522" s="3">
        <v>0.33300000000000002</v>
      </c>
      <c r="I522" s="3">
        <v>0</v>
      </c>
      <c r="J522" s="3" t="s">
        <v>18</v>
      </c>
      <c r="K522" s="5">
        <v>0.03</v>
      </c>
      <c r="L522" s="6">
        <v>4690654005733</v>
      </c>
      <c r="M522" s="7" t="s">
        <v>1312</v>
      </c>
      <c r="N522" s="8">
        <f>VLOOKUP(B522,'[1]новый без картинок'!$A$5:$F$2672,6,0)</f>
        <v>151</v>
      </c>
    </row>
    <row r="523" spans="1:14" ht="151.15" customHeight="1" x14ac:dyDescent="0.2">
      <c r="A523" s="3">
        <v>521</v>
      </c>
      <c r="B523" s="3">
        <v>164180</v>
      </c>
      <c r="C523" s="4" t="str">
        <f>HYPERLINK("http://optservis.net:5080/photo?tov_code_internet=164180","Увеличить")</f>
        <v>Увеличить</v>
      </c>
      <c r="D523" s="3" t="s">
        <v>1324</v>
      </c>
      <c r="E523" s="3"/>
      <c r="F523" s="3" t="s">
        <v>1325</v>
      </c>
      <c r="G523" s="3" t="s">
        <v>1326</v>
      </c>
      <c r="H523" s="3">
        <v>0.33300000000000002</v>
      </c>
      <c r="I523" s="3">
        <v>0</v>
      </c>
      <c r="J523" s="3" t="s">
        <v>18</v>
      </c>
      <c r="K523" s="5">
        <v>0.03</v>
      </c>
      <c r="L523" s="6">
        <v>0</v>
      </c>
      <c r="M523" s="7" t="s">
        <v>1327</v>
      </c>
      <c r="N523" s="8">
        <f>VLOOKUP(B523,'[1]новый без картинок'!$A$5:$F$2672,6,0)</f>
        <v>179</v>
      </c>
    </row>
    <row r="524" spans="1:14" ht="151.15" customHeight="1" x14ac:dyDescent="0.2">
      <c r="A524" s="3">
        <v>522</v>
      </c>
      <c r="B524" s="3">
        <v>164409</v>
      </c>
      <c r="C524" s="4" t="str">
        <f>HYPERLINK("http://optservis.net:5080/photo?tov_code_internet=164409","Увеличить")</f>
        <v>Увеличить</v>
      </c>
      <c r="D524" s="3" t="s">
        <v>1324</v>
      </c>
      <c r="E524" s="3"/>
      <c r="F524" s="3" t="s">
        <v>1328</v>
      </c>
      <c r="G524" s="3" t="s">
        <v>1326</v>
      </c>
      <c r="H524" s="3">
        <v>0.33300000000000002</v>
      </c>
      <c r="I524" s="3">
        <v>0</v>
      </c>
      <c r="J524" s="3" t="s">
        <v>18</v>
      </c>
      <c r="K524" s="5">
        <v>0.03</v>
      </c>
      <c r="L524" s="6">
        <v>0</v>
      </c>
      <c r="M524" s="7" t="s">
        <v>1329</v>
      </c>
      <c r="N524" s="8">
        <f>VLOOKUP(B524,'[1]новый без картинок'!$A$5:$F$2672,6,0)</f>
        <v>183</v>
      </c>
    </row>
    <row r="525" spans="1:14" ht="151.15" customHeight="1" x14ac:dyDescent="0.2">
      <c r="A525" s="3">
        <v>523</v>
      </c>
      <c r="B525" s="3">
        <v>195704</v>
      </c>
      <c r="C525" s="4" t="str">
        <f>HYPERLINK("http://optservis.net:5080/photo?tov_code_internet=195704","Увеличить")</f>
        <v>Увеличить</v>
      </c>
      <c r="D525" s="3" t="s">
        <v>1324</v>
      </c>
      <c r="E525" s="3"/>
      <c r="F525" s="3" t="s">
        <v>837</v>
      </c>
      <c r="G525" s="3" t="s">
        <v>373</v>
      </c>
      <c r="H525" s="3">
        <v>0.33300000000000002</v>
      </c>
      <c r="I525" s="3">
        <v>0</v>
      </c>
      <c r="J525" s="3" t="s">
        <v>18</v>
      </c>
      <c r="K525" s="5">
        <v>0.03</v>
      </c>
      <c r="L525" s="6">
        <v>0</v>
      </c>
      <c r="M525" s="7" t="s">
        <v>1310</v>
      </c>
      <c r="N525" s="8">
        <f>VLOOKUP(B525,'[1]новый без картинок'!$A$5:$F$2672,6,0)</f>
        <v>179</v>
      </c>
    </row>
    <row r="526" spans="1:14" ht="151.15" customHeight="1" x14ac:dyDescent="0.2">
      <c r="A526" s="3">
        <v>524</v>
      </c>
      <c r="B526" s="3">
        <v>164164</v>
      </c>
      <c r="C526" s="4" t="str">
        <f>HYPERLINK("http://optservis.net:5080/photo?tov_code_internet=164164","Увеличить")</f>
        <v>Увеличить</v>
      </c>
      <c r="D526" s="3" t="s">
        <v>1324</v>
      </c>
      <c r="E526" s="3"/>
      <c r="F526" s="3" t="s">
        <v>1330</v>
      </c>
      <c r="G526" s="3" t="s">
        <v>1326</v>
      </c>
      <c r="H526" s="3">
        <v>0.33300000000000002</v>
      </c>
      <c r="I526" s="3">
        <v>0</v>
      </c>
      <c r="J526" s="3" t="s">
        <v>18</v>
      </c>
      <c r="K526" s="5">
        <v>0.03</v>
      </c>
      <c r="L526" s="6">
        <v>0</v>
      </c>
      <c r="M526" s="7" t="s">
        <v>1327</v>
      </c>
      <c r="N526" s="8">
        <f>VLOOKUP(B526,'[1]новый без картинок'!$A$5:$F$2672,6,0)</f>
        <v>179</v>
      </c>
    </row>
    <row r="527" spans="1:14" ht="149.44999999999999" customHeight="1" x14ac:dyDescent="0.2">
      <c r="A527" s="3">
        <v>525</v>
      </c>
      <c r="B527" s="3">
        <v>163504</v>
      </c>
      <c r="C527" s="4" t="str">
        <f>HYPERLINK("http://optservis.net:5080/photo?tov_code_internet=163504","Увеличить")</f>
        <v>Увеличить</v>
      </c>
      <c r="D527" s="3" t="s">
        <v>1324</v>
      </c>
      <c r="E527" s="3"/>
      <c r="F527" s="3" t="s">
        <v>1322</v>
      </c>
      <c r="G527" s="3" t="s">
        <v>110</v>
      </c>
      <c r="H527" s="3">
        <v>0.33300000000000002</v>
      </c>
      <c r="I527" s="3">
        <v>0</v>
      </c>
      <c r="J527" s="3" t="s">
        <v>18</v>
      </c>
      <c r="K527" s="5">
        <v>0.03</v>
      </c>
      <c r="L527" s="6">
        <v>0</v>
      </c>
      <c r="M527" s="7" t="s">
        <v>1327</v>
      </c>
      <c r="N527" s="8">
        <f>VLOOKUP(B527,'[1]новый без картинок'!$A$5:$F$2672,6,0)</f>
        <v>168</v>
      </c>
    </row>
    <row r="528" spans="1:14" ht="151.15" customHeight="1" x14ac:dyDescent="0.2">
      <c r="A528" s="3">
        <v>526</v>
      </c>
      <c r="B528" s="3">
        <v>164429</v>
      </c>
      <c r="C528" s="4" t="str">
        <f>HYPERLINK("http://optservis.net:5080/photo?tov_code_internet=164429","Увеличить")</f>
        <v>Увеличить</v>
      </c>
      <c r="D528" s="3" t="s">
        <v>1324</v>
      </c>
      <c r="E528" s="3"/>
      <c r="F528" s="3" t="s">
        <v>1331</v>
      </c>
      <c r="G528" s="3" t="s">
        <v>1326</v>
      </c>
      <c r="H528" s="3">
        <v>0.33300000000000002</v>
      </c>
      <c r="I528" s="3">
        <v>0</v>
      </c>
      <c r="J528" s="3" t="s">
        <v>18</v>
      </c>
      <c r="K528" s="5">
        <v>0</v>
      </c>
      <c r="L528" s="6">
        <v>0</v>
      </c>
      <c r="M528" s="7" t="s">
        <v>1332</v>
      </c>
      <c r="N528" s="8">
        <f>VLOOKUP(B528,'[1]новый без картинок'!$A$5:$F$2672,6,0)</f>
        <v>148</v>
      </c>
    </row>
    <row r="529" spans="1:14" ht="151.15" customHeight="1" x14ac:dyDescent="0.2">
      <c r="A529" s="3">
        <v>527</v>
      </c>
      <c r="B529" s="3">
        <v>164428</v>
      </c>
      <c r="C529" s="4" t="str">
        <f>HYPERLINK("http://optservis.net:5080/photo?tov_code_internet=164428","Увеличить")</f>
        <v>Увеличить</v>
      </c>
      <c r="D529" s="3" t="s">
        <v>1324</v>
      </c>
      <c r="E529" s="3"/>
      <c r="F529" s="3" t="s">
        <v>1333</v>
      </c>
      <c r="G529" s="3" t="s">
        <v>373</v>
      </c>
      <c r="H529" s="3">
        <v>0.33300000000000002</v>
      </c>
      <c r="I529" s="3">
        <v>0</v>
      </c>
      <c r="J529" s="3" t="s">
        <v>18</v>
      </c>
      <c r="K529" s="5">
        <v>0</v>
      </c>
      <c r="L529" s="6">
        <v>0</v>
      </c>
      <c r="M529" s="7" t="s">
        <v>1332</v>
      </c>
      <c r="N529" s="8">
        <f>VLOOKUP(B529,'[1]новый без картинок'!$A$5:$F$2672,6,0)</f>
        <v>160</v>
      </c>
    </row>
    <row r="530" spans="1:14" ht="151.15" customHeight="1" x14ac:dyDescent="0.2">
      <c r="A530" s="3">
        <v>528</v>
      </c>
      <c r="B530" s="3">
        <v>164412</v>
      </c>
      <c r="C530" s="4" t="str">
        <f>HYPERLINK("http://optservis.net:5080/photo?tov_code_internet=164412","Увеличить")</f>
        <v>Увеличить</v>
      </c>
      <c r="D530" s="3" t="s">
        <v>1324</v>
      </c>
      <c r="E530" s="3"/>
      <c r="F530" s="3" t="s">
        <v>1323</v>
      </c>
      <c r="G530" s="3" t="s">
        <v>1326</v>
      </c>
      <c r="H530" s="3">
        <v>0.33300000000000002</v>
      </c>
      <c r="I530" s="3">
        <v>0</v>
      </c>
      <c r="J530" s="3" t="s">
        <v>18</v>
      </c>
      <c r="K530" s="5">
        <v>0.03</v>
      </c>
      <c r="L530" s="6">
        <v>0</v>
      </c>
      <c r="M530" s="7" t="s">
        <v>1329</v>
      </c>
      <c r="N530" s="8">
        <f>VLOOKUP(B530,'[1]новый без картинок'!$A$5:$F$2672,6,0)</f>
        <v>170</v>
      </c>
    </row>
    <row r="531" spans="1:14" ht="151.15" customHeight="1" x14ac:dyDescent="0.2">
      <c r="A531" s="3">
        <v>529</v>
      </c>
      <c r="B531" s="3">
        <v>164177</v>
      </c>
      <c r="C531" s="4" t="str">
        <f>HYPERLINK("http://optservis.net:5080/photo?tov_code_internet=164177","Увеличить")</f>
        <v>Увеличить</v>
      </c>
      <c r="D531" s="3" t="s">
        <v>1324</v>
      </c>
      <c r="E531" s="3"/>
      <c r="F531" s="3" t="s">
        <v>1304</v>
      </c>
      <c r="G531" s="3" t="s">
        <v>1326</v>
      </c>
      <c r="H531" s="3">
        <v>0.33300000000000002</v>
      </c>
      <c r="I531" s="3">
        <v>0</v>
      </c>
      <c r="J531" s="3" t="s">
        <v>18</v>
      </c>
      <c r="K531" s="5">
        <v>0.03</v>
      </c>
      <c r="L531" s="6">
        <v>0</v>
      </c>
      <c r="M531" s="7" t="s">
        <v>1327</v>
      </c>
      <c r="N531" s="8">
        <f>VLOOKUP(B531,'[1]новый без картинок'!$A$5:$F$2672,6,0)</f>
        <v>170</v>
      </c>
    </row>
    <row r="532" spans="1:14" ht="151.15" customHeight="1" x14ac:dyDescent="0.2">
      <c r="A532" s="3">
        <v>530</v>
      </c>
      <c r="B532" s="3">
        <v>164178</v>
      </c>
      <c r="C532" s="4" t="str">
        <f>HYPERLINK("http://optservis.net:5080/photo?tov_code_internet=164178","Увеличить")</f>
        <v>Увеличить</v>
      </c>
      <c r="D532" s="3" t="s">
        <v>1324</v>
      </c>
      <c r="E532" s="3" t="s">
        <v>1334</v>
      </c>
      <c r="F532" s="3" t="s">
        <v>1335</v>
      </c>
      <c r="G532" s="3" t="s">
        <v>1326</v>
      </c>
      <c r="H532" s="3">
        <v>0.33300000000000002</v>
      </c>
      <c r="I532" s="3">
        <v>0</v>
      </c>
      <c r="J532" s="3" t="s">
        <v>18</v>
      </c>
      <c r="K532" s="5">
        <v>0.03</v>
      </c>
      <c r="L532" s="6">
        <v>4690654012175</v>
      </c>
      <c r="M532" s="7" t="s">
        <v>1327</v>
      </c>
      <c r="N532" s="8">
        <f>VLOOKUP(B532,'[1]новый без картинок'!$A$5:$F$2672,6,0)</f>
        <v>168</v>
      </c>
    </row>
    <row r="533" spans="1:14" ht="151.15" customHeight="1" x14ac:dyDescent="0.2">
      <c r="A533" s="3">
        <v>531</v>
      </c>
      <c r="B533" s="3">
        <v>168751</v>
      </c>
      <c r="C533" s="4" t="str">
        <f>HYPERLINK("http://optservis.net:5080/photo?tov_code_internet=168751","Увеличить")</f>
        <v>Увеличить</v>
      </c>
      <c r="D533" s="3" t="s">
        <v>1324</v>
      </c>
      <c r="E533" s="3" t="s">
        <v>1334</v>
      </c>
      <c r="F533" s="3" t="s">
        <v>1336</v>
      </c>
      <c r="G533" s="3" t="s">
        <v>1326</v>
      </c>
      <c r="H533" s="3">
        <v>0.33300000000000002</v>
      </c>
      <c r="I533" s="3">
        <v>0</v>
      </c>
      <c r="J533" s="3" t="s">
        <v>18</v>
      </c>
      <c r="K533" s="5">
        <v>0.03</v>
      </c>
      <c r="L533" s="6">
        <v>4690654015824</v>
      </c>
      <c r="M533" s="7" t="s">
        <v>1327</v>
      </c>
      <c r="N533" s="8">
        <f>VLOOKUP(B533,'[1]новый без картинок'!$A$5:$F$2672,6,0)</f>
        <v>168</v>
      </c>
    </row>
    <row r="534" spans="1:14" ht="153" customHeight="1" x14ac:dyDescent="0.2">
      <c r="A534" s="3">
        <v>532</v>
      </c>
      <c r="B534" s="3">
        <v>150302</v>
      </c>
      <c r="C534" s="4" t="str">
        <f>HYPERLINK("http://optservis.net:5080/photo?tov_code_internet=150302","Увеличить")</f>
        <v>Увеличить</v>
      </c>
      <c r="D534" s="3" t="s">
        <v>1337</v>
      </c>
      <c r="E534" s="3"/>
      <c r="F534" s="3" t="s">
        <v>1338</v>
      </c>
      <c r="G534" s="3" t="s">
        <v>430</v>
      </c>
      <c r="H534" s="3">
        <v>0.33300000000000002</v>
      </c>
      <c r="I534" s="3">
        <v>0</v>
      </c>
      <c r="J534" s="3" t="s">
        <v>18</v>
      </c>
      <c r="K534" s="5">
        <v>0.03</v>
      </c>
      <c r="L534" s="6">
        <v>0</v>
      </c>
      <c r="M534" s="7" t="s">
        <v>1339</v>
      </c>
      <c r="N534" s="8">
        <f>VLOOKUP(B534,'[1]новый без картинок'!$A$5:$F$2672,6,0)</f>
        <v>255</v>
      </c>
    </row>
    <row r="535" spans="1:14" ht="149.44999999999999" customHeight="1" x14ac:dyDescent="0.2">
      <c r="A535" s="3">
        <v>533</v>
      </c>
      <c r="B535" s="3">
        <v>149346</v>
      </c>
      <c r="C535" s="4" t="str">
        <f>HYPERLINK("http://optservis.net:5080/photo?tov_code_internet=149346","Увеличить")</f>
        <v>Увеличить</v>
      </c>
      <c r="D535" s="3" t="s">
        <v>1337</v>
      </c>
      <c r="E535" s="3" t="s">
        <v>1340</v>
      </c>
      <c r="F535" s="3" t="s">
        <v>752</v>
      </c>
      <c r="G535" s="3" t="s">
        <v>415</v>
      </c>
      <c r="H535" s="3">
        <v>1</v>
      </c>
      <c r="I535" s="3">
        <v>1</v>
      </c>
      <c r="J535" s="3" t="s">
        <v>18</v>
      </c>
      <c r="K535" s="5">
        <v>7.0000000000000007E-2</v>
      </c>
      <c r="L535" s="6">
        <v>4690654005641</v>
      </c>
      <c r="M535" s="7" t="s">
        <v>1341</v>
      </c>
      <c r="N535" s="8">
        <f>VLOOKUP(B535,'[1]новый без картинок'!$A$5:$F$2672,6,0)</f>
        <v>242</v>
      </c>
    </row>
    <row r="536" spans="1:14" ht="151.15" customHeight="1" x14ac:dyDescent="0.2">
      <c r="A536" s="3">
        <v>534</v>
      </c>
      <c r="B536" s="3">
        <v>964381</v>
      </c>
      <c r="C536" s="4" t="str">
        <f>HYPERLINK("http://optservis.net:5080/photo?tov_code_internet=964381","Увеличить")</f>
        <v>Увеличить</v>
      </c>
      <c r="D536" s="3" t="s">
        <v>1342</v>
      </c>
      <c r="E536" s="3" t="s">
        <v>1343</v>
      </c>
      <c r="F536" s="3" t="s">
        <v>1344</v>
      </c>
      <c r="G536" s="3" t="s">
        <v>59</v>
      </c>
      <c r="H536" s="3">
        <v>12</v>
      </c>
      <c r="I536" s="3">
        <v>1</v>
      </c>
      <c r="J536" s="3" t="s">
        <v>18</v>
      </c>
      <c r="K536" s="5">
        <v>1.8</v>
      </c>
      <c r="L536" s="6">
        <v>4640020776675</v>
      </c>
      <c r="M536" s="7" t="s">
        <v>1345</v>
      </c>
      <c r="N536" s="8">
        <f>VLOOKUP(B536,'[1]новый без картинок'!$A$5:$F$2672,6,0)</f>
        <v>324</v>
      </c>
    </row>
    <row r="537" spans="1:14" ht="151.15" customHeight="1" x14ac:dyDescent="0.2">
      <c r="A537" s="3">
        <v>535</v>
      </c>
      <c r="B537" s="3">
        <v>964382</v>
      </c>
      <c r="C537" s="4" t="str">
        <f>HYPERLINK("http://optservis.net:5080/photo?tov_code_internet=964382","Увеличить")</f>
        <v>Увеличить</v>
      </c>
      <c r="D537" s="3" t="s">
        <v>1342</v>
      </c>
      <c r="E537" s="3" t="s">
        <v>1343</v>
      </c>
      <c r="F537" s="3" t="s">
        <v>1079</v>
      </c>
      <c r="G537" s="3" t="s">
        <v>59</v>
      </c>
      <c r="H537" s="3">
        <v>12</v>
      </c>
      <c r="I537" s="3">
        <v>1</v>
      </c>
      <c r="J537" s="3" t="s">
        <v>18</v>
      </c>
      <c r="K537" s="5">
        <v>1.8</v>
      </c>
      <c r="L537" s="6">
        <v>4640020776682</v>
      </c>
      <c r="M537" s="7" t="s">
        <v>1346</v>
      </c>
      <c r="N537" s="8">
        <f>VLOOKUP(B537,'[1]новый без картинок'!$A$5:$F$2672,6,0)</f>
        <v>325</v>
      </c>
    </row>
    <row r="538" spans="1:14" ht="151.15" customHeight="1" x14ac:dyDescent="0.2">
      <c r="A538" s="3">
        <v>536</v>
      </c>
      <c r="B538" s="3">
        <v>168826</v>
      </c>
      <c r="C538" s="4" t="str">
        <f>HYPERLINK("http://optservis.net:5080/photo?tov_code_internet=168826","Увеличить")</f>
        <v>Увеличить</v>
      </c>
      <c r="D538" s="3" t="s">
        <v>1347</v>
      </c>
      <c r="E538" s="3"/>
      <c r="F538" s="3" t="s">
        <v>1348</v>
      </c>
      <c r="G538" s="3" t="s">
        <v>1349</v>
      </c>
      <c r="H538" s="3">
        <v>0.5</v>
      </c>
      <c r="I538" s="3">
        <v>0</v>
      </c>
      <c r="J538" s="3" t="s">
        <v>18</v>
      </c>
      <c r="K538" s="5">
        <v>0.05</v>
      </c>
      <c r="L538" s="6">
        <v>0</v>
      </c>
      <c r="M538" s="7" t="s">
        <v>1350</v>
      </c>
      <c r="N538" s="8">
        <f>VLOOKUP(B538,'[1]новый без картинок'!$A$5:$F$2672,6,0)</f>
        <v>294</v>
      </c>
    </row>
    <row r="539" spans="1:14" ht="151.15" customHeight="1" x14ac:dyDescent="0.2">
      <c r="A539" s="3">
        <v>537</v>
      </c>
      <c r="B539" s="3">
        <v>154070</v>
      </c>
      <c r="C539" s="4" t="str">
        <f>HYPERLINK("http://optservis.net:5080/photo?tov_code_internet=154070","Увеличить")</f>
        <v>Увеличить</v>
      </c>
      <c r="D539" s="3" t="s">
        <v>1351</v>
      </c>
      <c r="E539" s="3" t="s">
        <v>1352</v>
      </c>
      <c r="F539" s="3" t="s">
        <v>1353</v>
      </c>
      <c r="G539" s="3" t="s">
        <v>1354</v>
      </c>
      <c r="H539" s="3">
        <v>0.5</v>
      </c>
      <c r="I539" s="3">
        <v>0</v>
      </c>
      <c r="J539" s="3" t="s">
        <v>18</v>
      </c>
      <c r="K539" s="5">
        <v>0.03</v>
      </c>
      <c r="L539" s="6">
        <v>4690654015954</v>
      </c>
      <c r="M539" s="7" t="s">
        <v>1355</v>
      </c>
      <c r="N539" s="8">
        <f>VLOOKUP(B539,'[1]новый без картинок'!$A$5:$F$2672,6,0)</f>
        <v>507</v>
      </c>
    </row>
    <row r="540" spans="1:14" ht="151.15" customHeight="1" x14ac:dyDescent="0.2">
      <c r="A540" s="3">
        <v>538</v>
      </c>
      <c r="B540" s="3">
        <v>194437</v>
      </c>
      <c r="C540" s="4" t="str">
        <f>HYPERLINK("http://optservis.net:5080/photo?tov_code_internet=194437","Увеличить")</f>
        <v>Увеличить</v>
      </c>
      <c r="D540" s="3" t="s">
        <v>1356</v>
      </c>
      <c r="E540" s="3"/>
      <c r="F540" s="3" t="s">
        <v>1357</v>
      </c>
      <c r="G540" s="3" t="s">
        <v>1349</v>
      </c>
      <c r="H540" s="3">
        <v>0.5</v>
      </c>
      <c r="I540" s="3">
        <v>0</v>
      </c>
      <c r="J540" s="3" t="s">
        <v>18</v>
      </c>
      <c r="K540" s="5">
        <v>0.06</v>
      </c>
      <c r="L540" s="6">
        <v>0</v>
      </c>
      <c r="M540" s="7" t="s">
        <v>1358</v>
      </c>
      <c r="N540" s="8">
        <f>VLOOKUP(B540,'[1]новый без картинок'!$A$5:$F$2672,6,0)</f>
        <v>412</v>
      </c>
    </row>
    <row r="541" spans="1:14" ht="151.15" customHeight="1" x14ac:dyDescent="0.2">
      <c r="A541" s="3">
        <v>539</v>
      </c>
      <c r="B541" s="3">
        <v>162354</v>
      </c>
      <c r="C541" s="4" t="str">
        <f>HYPERLINK("http://optservis.net:5080/photo?tov_code_internet=162354","Увеличить")</f>
        <v>Увеличить</v>
      </c>
      <c r="D541" s="3" t="s">
        <v>1359</v>
      </c>
      <c r="E541" s="3"/>
      <c r="F541" s="3" t="s">
        <v>1360</v>
      </c>
      <c r="G541" s="3" t="s">
        <v>1349</v>
      </c>
      <c r="H541" s="3">
        <v>0.5</v>
      </c>
      <c r="I541" s="3">
        <v>0</v>
      </c>
      <c r="J541" s="3" t="s">
        <v>18</v>
      </c>
      <c r="K541" s="5">
        <v>7.0000000000000007E-2</v>
      </c>
      <c r="L541" s="6">
        <v>0</v>
      </c>
      <c r="M541" s="7" t="s">
        <v>1361</v>
      </c>
      <c r="N541" s="8">
        <f>VLOOKUP(B541,'[1]новый без картинок'!$A$5:$F$2672,6,0)</f>
        <v>242</v>
      </c>
    </row>
    <row r="542" spans="1:14" ht="151.15" customHeight="1" x14ac:dyDescent="0.2">
      <c r="A542" s="3">
        <v>540</v>
      </c>
      <c r="B542" s="3">
        <v>162341</v>
      </c>
      <c r="C542" s="4" t="str">
        <f>HYPERLINK("http://optservis.net:5080/photo?tov_code_internet=162341","Увеличить")</f>
        <v>Увеличить</v>
      </c>
      <c r="D542" s="3" t="s">
        <v>1359</v>
      </c>
      <c r="E542" s="3"/>
      <c r="F542" s="3" t="s">
        <v>1362</v>
      </c>
      <c r="G542" s="3" t="s">
        <v>1349</v>
      </c>
      <c r="H542" s="3">
        <v>0.5</v>
      </c>
      <c r="I542" s="3">
        <v>0</v>
      </c>
      <c r="J542" s="3" t="s">
        <v>18</v>
      </c>
      <c r="K542" s="5">
        <v>0.08</v>
      </c>
      <c r="L542" s="6">
        <v>0</v>
      </c>
      <c r="M542" s="7" t="s">
        <v>1361</v>
      </c>
      <c r="N542" s="8">
        <f>VLOOKUP(B542,'[1]новый без картинок'!$A$5:$F$2672,6,0)</f>
        <v>242</v>
      </c>
    </row>
    <row r="543" spans="1:14" ht="151.15" customHeight="1" x14ac:dyDescent="0.2">
      <c r="A543" s="3">
        <v>541</v>
      </c>
      <c r="B543" s="3">
        <v>154076</v>
      </c>
      <c r="C543" s="4" t="str">
        <f>HYPERLINK("http://optservis.net:5080/photo?tov_code_internet=154076","Увеличить")</f>
        <v>Увеличить</v>
      </c>
      <c r="D543" s="3" t="s">
        <v>1363</v>
      </c>
      <c r="E543" s="3"/>
      <c r="F543" s="3" t="s">
        <v>1364</v>
      </c>
      <c r="G543" s="3" t="s">
        <v>1354</v>
      </c>
      <c r="H543" s="3">
        <v>0.5</v>
      </c>
      <c r="I543" s="3">
        <v>0</v>
      </c>
      <c r="J543" s="3" t="s">
        <v>18</v>
      </c>
      <c r="K543" s="5">
        <v>0.04</v>
      </c>
      <c r="L543" s="6">
        <v>0</v>
      </c>
      <c r="M543" s="7" t="s">
        <v>1365</v>
      </c>
      <c r="N543" s="8">
        <f>VLOOKUP(B543,'[1]новый без картинок'!$A$5:$F$2672,6,0)</f>
        <v>404</v>
      </c>
    </row>
    <row r="544" spans="1:14" ht="151.15" customHeight="1" x14ac:dyDescent="0.2">
      <c r="A544" s="3">
        <v>542</v>
      </c>
      <c r="B544" s="3">
        <v>154084</v>
      </c>
      <c r="C544" s="4" t="str">
        <f>HYPERLINK("http://optservis.net:5080/photo?tov_code_internet=154084","Увеличить")</f>
        <v>Увеличить</v>
      </c>
      <c r="D544" s="3" t="s">
        <v>1366</v>
      </c>
      <c r="E544" s="3" t="s">
        <v>1367</v>
      </c>
      <c r="F544" s="3" t="s">
        <v>1368</v>
      </c>
      <c r="G544" s="3" t="s">
        <v>1369</v>
      </c>
      <c r="H544" s="3">
        <v>0.5</v>
      </c>
      <c r="I544" s="3">
        <v>0</v>
      </c>
      <c r="J544" s="3" t="s">
        <v>18</v>
      </c>
      <c r="K544" s="5">
        <v>0.02</v>
      </c>
      <c r="L544" s="6">
        <v>4690654016548</v>
      </c>
      <c r="M544" s="7" t="s">
        <v>1370</v>
      </c>
      <c r="N544" s="8">
        <f>VLOOKUP(B544,'[1]новый без картинок'!$A$5:$F$2672,6,0)</f>
        <v>612</v>
      </c>
    </row>
    <row r="545" spans="1:14" ht="151.15" customHeight="1" x14ac:dyDescent="0.2">
      <c r="A545" s="3">
        <v>543</v>
      </c>
      <c r="B545" s="3">
        <v>154085</v>
      </c>
      <c r="C545" s="4" t="str">
        <f>HYPERLINK("http://optservis.net:5080/photo?tov_code_internet=154085","Увеличить")</f>
        <v>Увеличить</v>
      </c>
      <c r="D545" s="3" t="s">
        <v>1371</v>
      </c>
      <c r="E545" s="3"/>
      <c r="F545" s="3" t="s">
        <v>1372</v>
      </c>
      <c r="G545" s="3" t="s">
        <v>1349</v>
      </c>
      <c r="H545" s="3">
        <v>0.5</v>
      </c>
      <c r="I545" s="3">
        <v>0</v>
      </c>
      <c r="J545" s="3" t="s">
        <v>18</v>
      </c>
      <c r="K545" s="5">
        <v>0.08</v>
      </c>
      <c r="L545" s="6">
        <v>0</v>
      </c>
      <c r="M545" s="7" t="s">
        <v>1373</v>
      </c>
      <c r="N545" s="8">
        <f>VLOOKUP(B545,'[1]новый без картинок'!$A$5:$F$2672,6,0)</f>
        <v>797</v>
      </c>
    </row>
    <row r="546" spans="1:14" ht="151.15" customHeight="1" x14ac:dyDescent="0.2">
      <c r="A546" s="3">
        <v>544</v>
      </c>
      <c r="B546" s="3">
        <v>194446</v>
      </c>
      <c r="C546" s="4" t="str">
        <f>HYPERLINK("http://optservis.net:5080/photo?tov_code_internet=194446","Увеличить")</f>
        <v>Увеличить</v>
      </c>
      <c r="D546" s="3" t="s">
        <v>1374</v>
      </c>
      <c r="E546" s="3"/>
      <c r="F546" s="3" t="s">
        <v>147</v>
      </c>
      <c r="G546" s="3" t="s">
        <v>1349</v>
      </c>
      <c r="H546" s="3">
        <v>0.5</v>
      </c>
      <c r="I546" s="3">
        <v>0</v>
      </c>
      <c r="J546" s="3" t="s">
        <v>18</v>
      </c>
      <c r="K546" s="5">
        <v>0.06</v>
      </c>
      <c r="L546" s="6">
        <v>0</v>
      </c>
      <c r="M546" s="7" t="s">
        <v>1358</v>
      </c>
      <c r="N546" s="8">
        <f>VLOOKUP(B546,'[1]новый без картинок'!$A$5:$F$2672,6,0)</f>
        <v>498</v>
      </c>
    </row>
    <row r="547" spans="1:14" ht="151.15" customHeight="1" x14ac:dyDescent="0.2">
      <c r="A547" s="3">
        <v>545</v>
      </c>
      <c r="B547" s="3">
        <v>194445</v>
      </c>
      <c r="C547" s="4" t="str">
        <f>HYPERLINK("http://optservis.net:5080/photo?tov_code_internet=194445","Увеличить")</f>
        <v>Увеличить</v>
      </c>
      <c r="D547" s="3" t="s">
        <v>1374</v>
      </c>
      <c r="E547" s="3"/>
      <c r="F547" s="3" t="s">
        <v>1375</v>
      </c>
      <c r="G547" s="3" t="s">
        <v>1349</v>
      </c>
      <c r="H547" s="3">
        <v>0.5</v>
      </c>
      <c r="I547" s="3">
        <v>0</v>
      </c>
      <c r="J547" s="3" t="s">
        <v>18</v>
      </c>
      <c r="K547" s="5">
        <v>0.06</v>
      </c>
      <c r="L547" s="6">
        <v>0</v>
      </c>
      <c r="M547" s="7" t="s">
        <v>1358</v>
      </c>
      <c r="N547" s="8">
        <f>VLOOKUP(B547,'[1]новый без картинок'!$A$5:$F$2672,6,0)</f>
        <v>295</v>
      </c>
    </row>
    <row r="548" spans="1:14" ht="151.15" customHeight="1" x14ac:dyDescent="0.2">
      <c r="A548" s="3">
        <v>546</v>
      </c>
      <c r="B548" s="3">
        <v>162358</v>
      </c>
      <c r="C548" s="4" t="str">
        <f>HYPERLINK("http://optservis.net:5080/photo?tov_code_internet=162358","Увеличить")</f>
        <v>Увеличить</v>
      </c>
      <c r="D548" s="3" t="s">
        <v>1376</v>
      </c>
      <c r="E548" s="3" t="s">
        <v>1377</v>
      </c>
      <c r="F548" s="3" t="s">
        <v>1378</v>
      </c>
      <c r="G548" s="3" t="s">
        <v>1349</v>
      </c>
      <c r="H548" s="3">
        <v>0.5</v>
      </c>
      <c r="I548" s="3">
        <v>0</v>
      </c>
      <c r="J548" s="3" t="s">
        <v>18</v>
      </c>
      <c r="K548" s="5">
        <v>7.0000000000000007E-2</v>
      </c>
      <c r="L548" s="6">
        <v>4690654018542</v>
      </c>
      <c r="M548" s="7" t="s">
        <v>1379</v>
      </c>
      <c r="N548" s="8">
        <f>VLOOKUP(B548,'[1]новый без картинок'!$A$5:$F$2672,6,0)</f>
        <v>242</v>
      </c>
    </row>
    <row r="549" spans="1:14" ht="151.15" customHeight="1" x14ac:dyDescent="0.2">
      <c r="A549" s="3">
        <v>547</v>
      </c>
      <c r="B549" s="3">
        <v>162357</v>
      </c>
      <c r="C549" s="4" t="str">
        <f>HYPERLINK("http://optservis.net:5080/photo?tov_code_internet=162357","Увеличить")</f>
        <v>Увеличить</v>
      </c>
      <c r="D549" s="3" t="s">
        <v>1376</v>
      </c>
      <c r="E549" s="3" t="s">
        <v>1377</v>
      </c>
      <c r="F549" s="3" t="s">
        <v>1380</v>
      </c>
      <c r="G549" s="3" t="s">
        <v>1349</v>
      </c>
      <c r="H549" s="3">
        <v>0.5</v>
      </c>
      <c r="I549" s="3">
        <v>0</v>
      </c>
      <c r="J549" s="3" t="s">
        <v>18</v>
      </c>
      <c r="K549" s="5">
        <v>0.08</v>
      </c>
      <c r="L549" s="6">
        <v>4690654006938</v>
      </c>
      <c r="M549" s="7" t="s">
        <v>1379</v>
      </c>
      <c r="N549" s="8">
        <f>VLOOKUP(B549,'[1]новый без картинок'!$A$5:$F$2672,6,0)</f>
        <v>242</v>
      </c>
    </row>
    <row r="550" spans="1:14" ht="138.6" customHeight="1" x14ac:dyDescent="0.2">
      <c r="A550" s="3">
        <v>548</v>
      </c>
      <c r="B550" s="3">
        <v>145185</v>
      </c>
      <c r="C550" s="4" t="str">
        <f>HYPERLINK("http://optservis.net:5080/photo?tov_code_internet=145185","Увеличить")</f>
        <v>Увеличить</v>
      </c>
      <c r="D550" s="3" t="s">
        <v>1381</v>
      </c>
      <c r="E550" s="3" t="s">
        <v>1382</v>
      </c>
      <c r="F550" s="3" t="s">
        <v>1383</v>
      </c>
      <c r="G550" s="3" t="s">
        <v>88</v>
      </c>
      <c r="H550" s="3">
        <v>0.5</v>
      </c>
      <c r="I550" s="3">
        <v>0</v>
      </c>
      <c r="J550" s="3" t="s">
        <v>18</v>
      </c>
      <c r="K550" s="5">
        <v>0.04</v>
      </c>
      <c r="L550" s="6">
        <v>4690654013257</v>
      </c>
      <c r="M550" s="7" t="s">
        <v>1384</v>
      </c>
      <c r="N550" s="8">
        <f>VLOOKUP(B550,'[1]новый без картинок'!$A$5:$F$2672,6,0)</f>
        <v>231</v>
      </c>
    </row>
    <row r="551" spans="1:14" ht="138.6" customHeight="1" x14ac:dyDescent="0.2">
      <c r="A551" s="3">
        <v>549</v>
      </c>
      <c r="B551" s="3">
        <v>145182</v>
      </c>
      <c r="C551" s="4" t="str">
        <f>HYPERLINK("http://optservis.net:5080/photo?tov_code_internet=145182","Увеличить")</f>
        <v>Увеличить</v>
      </c>
      <c r="D551" s="3" t="s">
        <v>1381</v>
      </c>
      <c r="E551" s="3" t="s">
        <v>1382</v>
      </c>
      <c r="F551" s="3" t="s">
        <v>1385</v>
      </c>
      <c r="G551" s="3" t="s">
        <v>88</v>
      </c>
      <c r="H551" s="3">
        <v>0.5</v>
      </c>
      <c r="I551" s="3">
        <v>0</v>
      </c>
      <c r="J551" s="3" t="s">
        <v>18</v>
      </c>
      <c r="K551" s="5">
        <v>0.03</v>
      </c>
      <c r="L551" s="6">
        <v>4690654013264</v>
      </c>
      <c r="M551" s="7" t="s">
        <v>1384</v>
      </c>
      <c r="N551" s="8">
        <f>VLOOKUP(B551,'[1]новый без картинок'!$A$5:$F$2672,6,0)</f>
        <v>231</v>
      </c>
    </row>
    <row r="552" spans="1:14" ht="138.6" customHeight="1" x14ac:dyDescent="0.2">
      <c r="A552" s="3">
        <v>550</v>
      </c>
      <c r="B552" s="3">
        <v>962039</v>
      </c>
      <c r="C552" s="4" t="str">
        <f>HYPERLINK("http://optservis.net:5080/photo?tov_code_internet=962039","Увеличить")</f>
        <v>Увеличить</v>
      </c>
      <c r="D552" s="3" t="s">
        <v>1386</v>
      </c>
      <c r="E552" s="3" t="s">
        <v>1387</v>
      </c>
      <c r="F552" s="3" t="s">
        <v>1388</v>
      </c>
      <c r="G552" s="3" t="s">
        <v>88</v>
      </c>
      <c r="H552" s="3">
        <v>0.5</v>
      </c>
      <c r="I552" s="3">
        <v>0</v>
      </c>
      <c r="J552" s="3" t="s">
        <v>18</v>
      </c>
      <c r="K552" s="5">
        <v>0.02</v>
      </c>
      <c r="L552" s="6">
        <v>4690654014902</v>
      </c>
      <c r="M552" s="7" t="s">
        <v>1389</v>
      </c>
      <c r="N552" s="8">
        <f>VLOOKUP(B552,'[1]новый без картинок'!$A$5:$F$2672,6,0)</f>
        <v>243</v>
      </c>
    </row>
    <row r="553" spans="1:14" ht="138.6" customHeight="1" x14ac:dyDescent="0.2">
      <c r="A553" s="3">
        <v>551</v>
      </c>
      <c r="B553" s="3">
        <v>388171</v>
      </c>
      <c r="C553" s="4" t="str">
        <f>HYPERLINK("http://optservis.net:5080/photo?tov_code_internet=388171","Увеличить")</f>
        <v>Увеличить</v>
      </c>
      <c r="D553" s="3" t="s">
        <v>1390</v>
      </c>
      <c r="E553" s="3"/>
      <c r="F553" s="3" t="s">
        <v>688</v>
      </c>
      <c r="G553" s="3" t="s">
        <v>1391</v>
      </c>
      <c r="H553" s="3">
        <v>0.5</v>
      </c>
      <c r="I553" s="3">
        <v>0</v>
      </c>
      <c r="J553" s="3" t="s">
        <v>18</v>
      </c>
      <c r="K553" s="5">
        <v>0.01</v>
      </c>
      <c r="L553" s="6">
        <v>0</v>
      </c>
      <c r="M553" s="7" t="s">
        <v>1392</v>
      </c>
      <c r="N553" s="8">
        <f>VLOOKUP(B553,'[1]новый без картинок'!$A$5:$F$2672,6,0)</f>
        <v>280</v>
      </c>
    </row>
    <row r="554" spans="1:14" ht="138.6" customHeight="1" x14ac:dyDescent="0.2">
      <c r="A554" s="3">
        <v>552</v>
      </c>
      <c r="B554" s="3">
        <v>962046</v>
      </c>
      <c r="C554" s="4" t="str">
        <f>HYPERLINK("http://optservis.net:5080/photo?tov_code_internet=962046","Увеличить")</f>
        <v>Увеличить</v>
      </c>
      <c r="D554" s="3" t="s">
        <v>1390</v>
      </c>
      <c r="E554" s="3" t="s">
        <v>1393</v>
      </c>
      <c r="F554" s="3" t="s">
        <v>1394</v>
      </c>
      <c r="G554" s="3" t="s">
        <v>1395</v>
      </c>
      <c r="H554" s="3">
        <v>0.5</v>
      </c>
      <c r="I554" s="3">
        <v>0</v>
      </c>
      <c r="J554" s="3" t="s">
        <v>18</v>
      </c>
      <c r="K554" s="5">
        <v>0.01</v>
      </c>
      <c r="L554" s="6">
        <v>4640020779973</v>
      </c>
      <c r="M554" s="7" t="s">
        <v>1396</v>
      </c>
      <c r="N554" s="8">
        <f>VLOOKUP(B554,'[1]новый без картинок'!$A$5:$F$2672,6,0)</f>
        <v>356</v>
      </c>
    </row>
    <row r="555" spans="1:14" ht="138.6" customHeight="1" x14ac:dyDescent="0.2">
      <c r="A555" s="3">
        <v>553</v>
      </c>
      <c r="B555" s="3">
        <v>962048</v>
      </c>
      <c r="C555" s="4" t="str">
        <f>HYPERLINK("http://optservis.net:5080/photo?tov_code_internet=962048","Увеличить")</f>
        <v>Увеличить</v>
      </c>
      <c r="D555" s="3" t="s">
        <v>1397</v>
      </c>
      <c r="E555" s="3"/>
      <c r="F555" s="3" t="s">
        <v>1398</v>
      </c>
      <c r="G555" s="3" t="s">
        <v>1399</v>
      </c>
      <c r="H555" s="3">
        <v>0.5</v>
      </c>
      <c r="I555" s="3">
        <v>0</v>
      </c>
      <c r="J555" s="3" t="s">
        <v>18</v>
      </c>
      <c r="K555" s="5">
        <v>0.01</v>
      </c>
      <c r="L555" s="6">
        <v>0</v>
      </c>
      <c r="M555" s="7" t="s">
        <v>1400</v>
      </c>
      <c r="N555" s="8">
        <f>VLOOKUP(B555,'[1]новый без картинок'!$A$5:$F$2672,6,0)</f>
        <v>446</v>
      </c>
    </row>
    <row r="556" spans="1:14" ht="138.6" customHeight="1" x14ac:dyDescent="0.2">
      <c r="A556" s="3">
        <v>554</v>
      </c>
      <c r="B556" s="3">
        <v>962047</v>
      </c>
      <c r="C556" s="4" t="str">
        <f>HYPERLINK("http://optservis.net:5080/photo?tov_code_internet=962047","Увеличить")</f>
        <v>Увеличить</v>
      </c>
      <c r="D556" s="3" t="s">
        <v>1401</v>
      </c>
      <c r="E556" s="3"/>
      <c r="F556" s="3" t="s">
        <v>1402</v>
      </c>
      <c r="G556" s="3" t="s">
        <v>88</v>
      </c>
      <c r="H556" s="3">
        <v>0.5</v>
      </c>
      <c r="I556" s="3">
        <v>0</v>
      </c>
      <c r="J556" s="3" t="s">
        <v>18</v>
      </c>
      <c r="K556" s="5">
        <v>7.0000000000000007E-2</v>
      </c>
      <c r="L556" s="6">
        <v>0</v>
      </c>
      <c r="M556" s="7" t="s">
        <v>1403</v>
      </c>
      <c r="N556" s="8">
        <f>VLOOKUP(B556,'[1]новый без картинок'!$A$5:$F$2672,6,0)</f>
        <v>541</v>
      </c>
    </row>
    <row r="557" spans="1:14" ht="138.6" customHeight="1" x14ac:dyDescent="0.2">
      <c r="A557" s="3">
        <v>555</v>
      </c>
      <c r="B557" s="3">
        <v>157562</v>
      </c>
      <c r="C557" s="4" t="str">
        <f>HYPERLINK("http://optservis.net:5080/photo?tov_code_internet=157562","Увеличить")</f>
        <v>Увеличить</v>
      </c>
      <c r="D557" s="3" t="s">
        <v>1404</v>
      </c>
      <c r="E557" s="3"/>
      <c r="F557" s="3" t="s">
        <v>1405</v>
      </c>
      <c r="G557" s="3" t="s">
        <v>1406</v>
      </c>
      <c r="H557" s="3">
        <v>0.5</v>
      </c>
      <c r="I557" s="3">
        <v>0</v>
      </c>
      <c r="J557" s="3" t="s">
        <v>18</v>
      </c>
      <c r="K557" s="5">
        <v>0.05</v>
      </c>
      <c r="L557" s="6">
        <v>0</v>
      </c>
      <c r="M557" s="7" t="s">
        <v>1407</v>
      </c>
      <c r="N557" s="8">
        <f>VLOOKUP(B557,'[1]новый без картинок'!$A$5:$F$2672,6,0)</f>
        <v>503</v>
      </c>
    </row>
    <row r="558" spans="1:14" ht="138.6" customHeight="1" x14ac:dyDescent="0.2">
      <c r="A558" s="3">
        <v>556</v>
      </c>
      <c r="B558" s="3">
        <v>155528</v>
      </c>
      <c r="C558" s="4" t="str">
        <f>HYPERLINK("http://optservis.net:5080/photo?tov_code_internet=155528","Увеличить")</f>
        <v>Увеличить</v>
      </c>
      <c r="D558" s="3" t="s">
        <v>1408</v>
      </c>
      <c r="E558" s="3" t="s">
        <v>1409</v>
      </c>
      <c r="F558" s="3" t="s">
        <v>837</v>
      </c>
      <c r="G558" s="3" t="s">
        <v>373</v>
      </c>
      <c r="H558" s="3">
        <v>0.5</v>
      </c>
      <c r="I558" s="3">
        <v>0</v>
      </c>
      <c r="J558" s="3" t="s">
        <v>18</v>
      </c>
      <c r="K558" s="5">
        <v>0.03</v>
      </c>
      <c r="L558" s="6">
        <v>4690654016937</v>
      </c>
      <c r="M558" s="7" t="s">
        <v>1410</v>
      </c>
      <c r="N558" s="8">
        <f>VLOOKUP(B558,'[1]новый без картинок'!$A$5:$F$2672,6,0)</f>
        <v>130</v>
      </c>
    </row>
    <row r="559" spans="1:14" ht="138.6" customHeight="1" x14ac:dyDescent="0.2">
      <c r="A559" s="3">
        <v>557</v>
      </c>
      <c r="B559" s="3">
        <v>155759</v>
      </c>
      <c r="C559" s="4" t="str">
        <f>HYPERLINK("http://optservis.net:5080/photo?tov_code_internet=155759","Увеличить")</f>
        <v>Увеличить</v>
      </c>
      <c r="D559" s="3" t="s">
        <v>1408</v>
      </c>
      <c r="E559" s="3" t="s">
        <v>1409</v>
      </c>
      <c r="F559" s="3" t="s">
        <v>1411</v>
      </c>
      <c r="G559" s="3" t="s">
        <v>373</v>
      </c>
      <c r="H559" s="3">
        <v>0.5</v>
      </c>
      <c r="I559" s="3">
        <v>0</v>
      </c>
      <c r="J559" s="3" t="s">
        <v>18</v>
      </c>
      <c r="K559" s="5">
        <v>0.03</v>
      </c>
      <c r="L559" s="6">
        <v>4690654015725</v>
      </c>
      <c r="M559" s="7" t="s">
        <v>1410</v>
      </c>
      <c r="N559" s="8">
        <f>VLOOKUP(B559,'[1]новый без картинок'!$A$5:$F$2672,6,0)</f>
        <v>122</v>
      </c>
    </row>
    <row r="560" spans="1:14" ht="138.6" customHeight="1" x14ac:dyDescent="0.2">
      <c r="A560" s="3">
        <v>558</v>
      </c>
      <c r="B560" s="3">
        <v>157752</v>
      </c>
      <c r="C560" s="4" t="str">
        <f>HYPERLINK("http://optservis.net:5080/photo?tov_code_internet=157752","Увеличить")</f>
        <v>Увеличить</v>
      </c>
      <c r="D560" s="3" t="s">
        <v>1412</v>
      </c>
      <c r="E560" s="3" t="s">
        <v>1413</v>
      </c>
      <c r="F560" s="3" t="s">
        <v>837</v>
      </c>
      <c r="G560" s="3" t="s">
        <v>373</v>
      </c>
      <c r="H560" s="3">
        <v>0.5</v>
      </c>
      <c r="I560" s="3">
        <v>0</v>
      </c>
      <c r="J560" s="3" t="s">
        <v>18</v>
      </c>
      <c r="K560" s="5">
        <v>0.05</v>
      </c>
      <c r="L560" s="6">
        <v>4690654019174</v>
      </c>
      <c r="M560" s="7" t="s">
        <v>1414</v>
      </c>
      <c r="N560" s="8">
        <f>VLOOKUP(B560,'[1]новый без картинок'!$A$5:$F$2672,6,0)</f>
        <v>192</v>
      </c>
    </row>
    <row r="561" spans="1:14" ht="138.6" customHeight="1" x14ac:dyDescent="0.2">
      <c r="A561" s="3">
        <v>559</v>
      </c>
      <c r="B561" s="3">
        <v>162278</v>
      </c>
      <c r="C561" s="4" t="str">
        <f>HYPERLINK("http://optservis.net:5080/photo?tov_code_internet=162278","Увеличить")</f>
        <v>Увеличить</v>
      </c>
      <c r="D561" s="3" t="s">
        <v>1415</v>
      </c>
      <c r="E561" s="3"/>
      <c r="F561" s="3" t="s">
        <v>377</v>
      </c>
      <c r="G561" s="3" t="s">
        <v>373</v>
      </c>
      <c r="H561" s="3">
        <v>0.5</v>
      </c>
      <c r="I561" s="3">
        <v>0</v>
      </c>
      <c r="J561" s="3" t="s">
        <v>18</v>
      </c>
      <c r="K561" s="5">
        <v>0.04</v>
      </c>
      <c r="L561" s="6">
        <v>0</v>
      </c>
      <c r="M561" s="7" t="s">
        <v>1416</v>
      </c>
      <c r="N561" s="8">
        <f>VLOOKUP(B561,'[1]новый без картинок'!$A$5:$F$2672,6,0)</f>
        <v>134</v>
      </c>
    </row>
    <row r="562" spans="1:14" ht="138.6" customHeight="1" x14ac:dyDescent="0.2">
      <c r="A562" s="3">
        <v>560</v>
      </c>
      <c r="B562" s="3">
        <v>157396</v>
      </c>
      <c r="C562" s="4" t="str">
        <f>HYPERLINK("http://optservis.net:5080/photo?tov_code_internet=157396","Увеличить")</f>
        <v>Увеличить</v>
      </c>
      <c r="D562" s="3" t="s">
        <v>1415</v>
      </c>
      <c r="E562" s="3" t="s">
        <v>1417</v>
      </c>
      <c r="F562" s="3" t="s">
        <v>1411</v>
      </c>
      <c r="G562" s="3" t="s">
        <v>373</v>
      </c>
      <c r="H562" s="3">
        <v>0.5</v>
      </c>
      <c r="I562" s="3">
        <v>0</v>
      </c>
      <c r="J562" s="3" t="s">
        <v>18</v>
      </c>
      <c r="K562" s="5">
        <v>0.04</v>
      </c>
      <c r="L562" s="6">
        <v>4690654013288</v>
      </c>
      <c r="M562" s="7" t="s">
        <v>1416</v>
      </c>
      <c r="N562" s="8">
        <f>VLOOKUP(B562,'[1]новый без картинок'!$A$5:$F$2672,6,0)</f>
        <v>127</v>
      </c>
    </row>
    <row r="563" spans="1:14" ht="138.6" customHeight="1" x14ac:dyDescent="0.2">
      <c r="A563" s="3">
        <v>561</v>
      </c>
      <c r="B563" s="3">
        <v>144086</v>
      </c>
      <c r="C563" s="4" t="str">
        <f>HYPERLINK("http://optservis.net:5080/photo?tov_code_internet=144086","Увеличить")</f>
        <v>Увеличить</v>
      </c>
      <c r="D563" s="3" t="s">
        <v>1418</v>
      </c>
      <c r="E563" s="3" t="s">
        <v>1419</v>
      </c>
      <c r="F563" s="3" t="s">
        <v>837</v>
      </c>
      <c r="G563" s="3" t="s">
        <v>373</v>
      </c>
      <c r="H563" s="3">
        <v>0.5</v>
      </c>
      <c r="I563" s="3">
        <v>0</v>
      </c>
      <c r="J563" s="3" t="s">
        <v>18</v>
      </c>
      <c r="K563" s="5">
        <v>0.04</v>
      </c>
      <c r="L563" s="6">
        <v>4690654005788</v>
      </c>
      <c r="M563" s="7" t="s">
        <v>1420</v>
      </c>
      <c r="N563" s="8">
        <f>VLOOKUP(B563,'[1]новый без картинок'!$A$5:$F$2672,6,0)</f>
        <v>120</v>
      </c>
    </row>
    <row r="564" spans="1:14" ht="151.15" customHeight="1" x14ac:dyDescent="0.2">
      <c r="A564" s="3">
        <v>562</v>
      </c>
      <c r="B564" s="3">
        <v>188791</v>
      </c>
      <c r="C564" s="4" t="str">
        <f>HYPERLINK("http://optservis.net:5080/photo?tov_code_internet=188791","Увеличить")</f>
        <v>Увеличить</v>
      </c>
      <c r="D564" s="3" t="s">
        <v>1418</v>
      </c>
      <c r="E564" s="3" t="s">
        <v>1419</v>
      </c>
      <c r="F564" s="3" t="s">
        <v>1421</v>
      </c>
      <c r="G564" s="3" t="s">
        <v>373</v>
      </c>
      <c r="H564" s="3">
        <v>0.5</v>
      </c>
      <c r="I564" s="3">
        <v>0</v>
      </c>
      <c r="J564" s="3" t="s">
        <v>18</v>
      </c>
      <c r="K564" s="5">
        <v>0.04</v>
      </c>
      <c r="L564" s="6">
        <v>0</v>
      </c>
      <c r="M564" s="7" t="s">
        <v>1422</v>
      </c>
      <c r="N564" s="8">
        <f>VLOOKUP(B564,'[1]новый без картинок'!$A$5:$F$2672,6,0)</f>
        <v>120</v>
      </c>
    </row>
    <row r="565" spans="1:14" ht="138.6" customHeight="1" x14ac:dyDescent="0.2">
      <c r="A565" s="3">
        <v>563</v>
      </c>
      <c r="B565" s="3">
        <v>144030</v>
      </c>
      <c r="C565" s="4" t="str">
        <f>HYPERLINK("http://optservis.net:5080/photo?tov_code_internet=144030","Увеличить")</f>
        <v>Увеличить</v>
      </c>
      <c r="D565" s="3" t="s">
        <v>1418</v>
      </c>
      <c r="E565" s="3" t="s">
        <v>1419</v>
      </c>
      <c r="F565" s="3" t="s">
        <v>165</v>
      </c>
      <c r="G565" s="3" t="s">
        <v>373</v>
      </c>
      <c r="H565" s="3">
        <v>0.5</v>
      </c>
      <c r="I565" s="3">
        <v>0</v>
      </c>
      <c r="J565" s="3" t="s">
        <v>18</v>
      </c>
      <c r="K565" s="5">
        <v>0.03</v>
      </c>
      <c r="L565" s="6">
        <v>4690654006662</v>
      </c>
      <c r="M565" s="7" t="s">
        <v>1420</v>
      </c>
      <c r="N565" s="8">
        <f>VLOOKUP(B565,'[1]новый без картинок'!$A$5:$F$2672,6,0)</f>
        <v>112</v>
      </c>
    </row>
    <row r="566" spans="1:14" ht="138.6" customHeight="1" x14ac:dyDescent="0.2">
      <c r="A566" s="3">
        <v>564</v>
      </c>
      <c r="B566" s="3">
        <v>144041</v>
      </c>
      <c r="C566" s="4" t="str">
        <f>HYPERLINK("http://optservis.net:5080/photo?tov_code_internet=144041","Увеличить")</f>
        <v>Увеличить</v>
      </c>
      <c r="D566" s="3" t="s">
        <v>1423</v>
      </c>
      <c r="E566" s="3" t="s">
        <v>1424</v>
      </c>
      <c r="F566" s="3" t="s">
        <v>165</v>
      </c>
      <c r="G566" s="3" t="s">
        <v>373</v>
      </c>
      <c r="H566" s="3">
        <v>0.5</v>
      </c>
      <c r="I566" s="3">
        <v>0</v>
      </c>
      <c r="J566" s="3" t="s">
        <v>18</v>
      </c>
      <c r="K566" s="5">
        <v>0.02</v>
      </c>
      <c r="L566" s="6">
        <v>4690654013295</v>
      </c>
      <c r="M566" s="7" t="s">
        <v>1425</v>
      </c>
      <c r="N566" s="8">
        <f>VLOOKUP(B566,'[1]новый без картинок'!$A$5:$F$2672,6,0)</f>
        <v>122</v>
      </c>
    </row>
    <row r="567" spans="1:14" ht="149.44999999999999" customHeight="1" x14ac:dyDescent="0.2">
      <c r="A567" s="3">
        <v>565</v>
      </c>
      <c r="B567" s="3">
        <v>24062</v>
      </c>
      <c r="C567" s="4" t="str">
        <f>HYPERLINK("http://optservis.net:5080/photo?tov_code_internet=24062","Увеличить")</f>
        <v>Увеличить</v>
      </c>
      <c r="D567" s="3" t="s">
        <v>1426</v>
      </c>
      <c r="E567" s="3" t="s">
        <v>1427</v>
      </c>
      <c r="F567" s="3" t="s">
        <v>1428</v>
      </c>
      <c r="G567" s="3" t="s">
        <v>1429</v>
      </c>
      <c r="H567" s="3">
        <v>0.5</v>
      </c>
      <c r="I567" s="3">
        <v>0</v>
      </c>
      <c r="J567" s="3" t="s">
        <v>18</v>
      </c>
      <c r="K567" s="5">
        <v>0.02</v>
      </c>
      <c r="L567" s="6">
        <v>4690654005795</v>
      </c>
      <c r="M567" s="7" t="s">
        <v>1430</v>
      </c>
      <c r="N567" s="8">
        <f>VLOOKUP(B567,'[1]новый без картинок'!$A$5:$F$2672,6,0)</f>
        <v>212</v>
      </c>
    </row>
    <row r="568" spans="1:14" ht="138.6" customHeight="1" x14ac:dyDescent="0.2">
      <c r="A568" s="3">
        <v>566</v>
      </c>
      <c r="B568" s="3">
        <v>991251</v>
      </c>
      <c r="C568" s="4" t="str">
        <f>HYPERLINK("http://optservis.net:5080/photo?tov_code_internet=991251","Увеличить")</f>
        <v>Увеличить</v>
      </c>
      <c r="D568" s="3" t="s">
        <v>1426</v>
      </c>
      <c r="E568" s="3" t="s">
        <v>1427</v>
      </c>
      <c r="F568" s="3" t="s">
        <v>1431</v>
      </c>
      <c r="G568" s="3" t="s">
        <v>1429</v>
      </c>
      <c r="H568" s="3">
        <v>0.5</v>
      </c>
      <c r="I568" s="3">
        <v>0</v>
      </c>
      <c r="J568" s="3" t="s">
        <v>18</v>
      </c>
      <c r="K568" s="5">
        <v>0.02</v>
      </c>
      <c r="L568" s="6">
        <v>4690654003470</v>
      </c>
      <c r="M568" s="7" t="s">
        <v>1432</v>
      </c>
      <c r="N568" s="8">
        <f>VLOOKUP(B568,'[1]новый без картинок'!$A$5:$F$2672,6,0)</f>
        <v>230</v>
      </c>
    </row>
    <row r="569" spans="1:14" ht="158.44999999999999" customHeight="1" x14ac:dyDescent="0.2">
      <c r="A569" s="3">
        <v>567</v>
      </c>
      <c r="B569" s="3">
        <v>982994</v>
      </c>
      <c r="C569" s="4" t="str">
        <f>HYPERLINK("http://optservis.net:5080/photo?tov_code_internet=982994","Увеличить")</f>
        <v>Увеличить</v>
      </c>
      <c r="D569" s="3" t="s">
        <v>1426</v>
      </c>
      <c r="E569" s="3" t="s">
        <v>1427</v>
      </c>
      <c r="F569" s="3" t="s">
        <v>731</v>
      </c>
      <c r="G569" s="3" t="s">
        <v>1429</v>
      </c>
      <c r="H569" s="3">
        <v>0.5</v>
      </c>
      <c r="I569" s="3">
        <v>0</v>
      </c>
      <c r="J569" s="3" t="s">
        <v>18</v>
      </c>
      <c r="K569" s="5">
        <v>0.02</v>
      </c>
      <c r="L569" s="6">
        <v>4690654003487</v>
      </c>
      <c r="M569" s="7" t="s">
        <v>1432</v>
      </c>
      <c r="N569" s="8">
        <f>VLOOKUP(B569,'[1]новый без картинок'!$A$5:$F$2672,6,0)</f>
        <v>230</v>
      </c>
    </row>
    <row r="570" spans="1:14" ht="151.15" customHeight="1" x14ac:dyDescent="0.2">
      <c r="A570" s="3">
        <v>568</v>
      </c>
      <c r="B570" s="3">
        <v>207542</v>
      </c>
      <c r="C570" s="4" t="str">
        <f>HYPERLINK("http://optservis.net:5080/photo?tov_code_internet=207542","Увеличить")</f>
        <v>Увеличить</v>
      </c>
      <c r="D570" s="3" t="s">
        <v>1433</v>
      </c>
      <c r="E570" s="3"/>
      <c r="F570" s="3" t="s">
        <v>752</v>
      </c>
      <c r="G570" s="3" t="s">
        <v>373</v>
      </c>
      <c r="H570" s="3">
        <v>0.5</v>
      </c>
      <c r="I570" s="3">
        <v>0</v>
      </c>
      <c r="J570" s="3" t="s">
        <v>18</v>
      </c>
      <c r="K570" s="5">
        <v>0.05</v>
      </c>
      <c r="L570" s="6">
        <v>0</v>
      </c>
      <c r="M570" s="7" t="s">
        <v>1434</v>
      </c>
      <c r="N570" s="8">
        <f>VLOOKUP(B570,'[1]новый без картинок'!$A$5:$F$2672,6,0)</f>
        <v>126</v>
      </c>
    </row>
    <row r="571" spans="1:14" ht="151.15" customHeight="1" x14ac:dyDescent="0.2">
      <c r="A571" s="3">
        <v>569</v>
      </c>
      <c r="B571" s="3">
        <v>207543</v>
      </c>
      <c r="C571" s="4" t="str">
        <f>HYPERLINK("http://optservis.net:5080/photo?tov_code_internet=207543","Увеличить")</f>
        <v>Увеличить</v>
      </c>
      <c r="D571" s="3" t="s">
        <v>1433</v>
      </c>
      <c r="E571" s="3" t="s">
        <v>1435</v>
      </c>
      <c r="F571" s="3" t="s">
        <v>1411</v>
      </c>
      <c r="G571" s="3" t="s">
        <v>373</v>
      </c>
      <c r="H571" s="3">
        <v>0.5</v>
      </c>
      <c r="I571" s="3">
        <v>0</v>
      </c>
      <c r="J571" s="3" t="s">
        <v>18</v>
      </c>
      <c r="K571" s="5">
        <v>0.05</v>
      </c>
      <c r="L571" s="6">
        <v>4690654021214</v>
      </c>
      <c r="M571" s="7" t="s">
        <v>1434</v>
      </c>
      <c r="N571" s="8">
        <f>VLOOKUP(B571,'[1]новый без картинок'!$A$5:$F$2672,6,0)</f>
        <v>126</v>
      </c>
    </row>
    <row r="572" spans="1:14" ht="138.6" customHeight="1" x14ac:dyDescent="0.2">
      <c r="A572" s="3">
        <v>570</v>
      </c>
      <c r="B572" s="3">
        <v>143781</v>
      </c>
      <c r="C572" s="4" t="str">
        <f>HYPERLINK("http://optservis.net:5080/photo?tov_code_internet=143781","Увеличить")</f>
        <v>Увеличить</v>
      </c>
      <c r="D572" s="3" t="s">
        <v>1436</v>
      </c>
      <c r="E572" s="3"/>
      <c r="F572" s="3" t="s">
        <v>1437</v>
      </c>
      <c r="G572" s="3" t="s">
        <v>1438</v>
      </c>
      <c r="H572" s="3">
        <v>0.5</v>
      </c>
      <c r="I572" s="3">
        <v>0</v>
      </c>
      <c r="J572" s="3" t="s">
        <v>18</v>
      </c>
      <c r="K572" s="5">
        <v>0.01</v>
      </c>
      <c r="L572" s="6">
        <v>0</v>
      </c>
      <c r="M572" s="7" t="s">
        <v>1439</v>
      </c>
      <c r="N572" s="8">
        <f>VLOOKUP(B572,'[1]новый без картинок'!$A$5:$F$2672,6,0)</f>
        <v>233</v>
      </c>
    </row>
    <row r="573" spans="1:14" ht="138.6" customHeight="1" x14ac:dyDescent="0.2">
      <c r="A573" s="3">
        <v>571</v>
      </c>
      <c r="B573" s="3">
        <v>143785</v>
      </c>
      <c r="C573" s="4" t="str">
        <f>HYPERLINK("http://optservis.net:5080/photo?tov_code_internet=143785","Увеличить")</f>
        <v>Увеличить</v>
      </c>
      <c r="D573" s="3" t="s">
        <v>1436</v>
      </c>
      <c r="E573" s="3"/>
      <c r="F573" s="3" t="s">
        <v>1440</v>
      </c>
      <c r="G573" s="3" t="s">
        <v>1438</v>
      </c>
      <c r="H573" s="3">
        <v>0.5</v>
      </c>
      <c r="I573" s="3">
        <v>0</v>
      </c>
      <c r="J573" s="3" t="s">
        <v>18</v>
      </c>
      <c r="K573" s="5">
        <v>0.01</v>
      </c>
      <c r="L573" s="6">
        <v>0</v>
      </c>
      <c r="M573" s="7" t="s">
        <v>1439</v>
      </c>
      <c r="N573" s="8">
        <f>VLOOKUP(B573,'[1]новый без картинок'!$A$5:$F$2672,6,0)</f>
        <v>237</v>
      </c>
    </row>
    <row r="574" spans="1:14" ht="138.6" customHeight="1" x14ac:dyDescent="0.2">
      <c r="A574" s="3">
        <v>572</v>
      </c>
      <c r="B574" s="3">
        <v>143761</v>
      </c>
      <c r="C574" s="4" t="str">
        <f>HYPERLINK("http://optservis.net:5080/photo?tov_code_internet=143761","Увеличить")</f>
        <v>Увеличить</v>
      </c>
      <c r="D574" s="3" t="s">
        <v>1436</v>
      </c>
      <c r="E574" s="3" t="s">
        <v>1441</v>
      </c>
      <c r="F574" s="3" t="s">
        <v>1442</v>
      </c>
      <c r="G574" s="3" t="s">
        <v>1438</v>
      </c>
      <c r="H574" s="3">
        <v>0.5</v>
      </c>
      <c r="I574" s="3">
        <v>0</v>
      </c>
      <c r="J574" s="3" t="s">
        <v>18</v>
      </c>
      <c r="K574" s="5">
        <v>0.01</v>
      </c>
      <c r="L574" s="6">
        <v>4690654006105</v>
      </c>
      <c r="M574" s="7" t="s">
        <v>1439</v>
      </c>
      <c r="N574" s="8">
        <f>VLOOKUP(B574,'[1]новый без картинок'!$A$5:$F$2672,6,0)</f>
        <v>233</v>
      </c>
    </row>
    <row r="575" spans="1:14" ht="138.6" customHeight="1" x14ac:dyDescent="0.2">
      <c r="A575" s="3">
        <v>573</v>
      </c>
      <c r="B575" s="3">
        <v>146065</v>
      </c>
      <c r="C575" s="4" t="str">
        <f>HYPERLINK("http://optservis.net:5080/photo?tov_code_internet=146065","Увеличить")</f>
        <v>Увеличить</v>
      </c>
      <c r="D575" s="3" t="s">
        <v>1443</v>
      </c>
      <c r="E575" s="3"/>
      <c r="F575" s="3" t="s">
        <v>837</v>
      </c>
      <c r="G575" s="3" t="s">
        <v>373</v>
      </c>
      <c r="H575" s="3">
        <v>0.5</v>
      </c>
      <c r="I575" s="3">
        <v>0</v>
      </c>
      <c r="J575" s="3" t="s">
        <v>18</v>
      </c>
      <c r="K575" s="5">
        <v>0.08</v>
      </c>
      <c r="L575" s="6">
        <v>0</v>
      </c>
      <c r="M575" s="7" t="s">
        <v>1444</v>
      </c>
      <c r="N575" s="8">
        <f>VLOOKUP(B575,'[1]новый без картинок'!$A$5:$F$2672,6,0)</f>
        <v>261</v>
      </c>
    </row>
    <row r="576" spans="1:14" ht="151.15" customHeight="1" x14ac:dyDescent="0.2">
      <c r="A576" s="3">
        <v>574</v>
      </c>
      <c r="B576" s="3">
        <v>199208</v>
      </c>
      <c r="C576" s="4" t="str">
        <f>HYPERLINK("http://optservis.net:5080/photo?tov_code_internet=199208","Увеличить")</f>
        <v>Увеличить</v>
      </c>
      <c r="D576" s="3" t="s">
        <v>1445</v>
      </c>
      <c r="E576" s="3"/>
      <c r="F576" s="3" t="s">
        <v>1446</v>
      </c>
      <c r="G576" s="3" t="s">
        <v>373</v>
      </c>
      <c r="H576" s="3">
        <v>0.5</v>
      </c>
      <c r="I576" s="3">
        <v>0</v>
      </c>
      <c r="J576" s="3" t="s">
        <v>18</v>
      </c>
      <c r="K576" s="5">
        <v>0.05</v>
      </c>
      <c r="L576" s="6">
        <v>0</v>
      </c>
      <c r="M576" s="7" t="s">
        <v>1447</v>
      </c>
      <c r="N576" s="8">
        <f>VLOOKUP(B576,'[1]новый без картинок'!$A$5:$F$2672,6,0)</f>
        <v>138</v>
      </c>
    </row>
    <row r="577" spans="1:14" ht="151.15" customHeight="1" x14ac:dyDescent="0.2">
      <c r="A577" s="3">
        <v>575</v>
      </c>
      <c r="B577" s="3">
        <v>199207</v>
      </c>
      <c r="C577" s="4" t="str">
        <f>HYPERLINK("http://optservis.net:5080/photo?tov_code_internet=199207","Увеличить")</f>
        <v>Увеличить</v>
      </c>
      <c r="D577" s="3" t="s">
        <v>1445</v>
      </c>
      <c r="E577" s="3"/>
      <c r="F577" s="3" t="s">
        <v>1448</v>
      </c>
      <c r="G577" s="3" t="s">
        <v>373</v>
      </c>
      <c r="H577" s="3">
        <v>0.5</v>
      </c>
      <c r="I577" s="3">
        <v>0</v>
      </c>
      <c r="J577" s="3" t="s">
        <v>18</v>
      </c>
      <c r="K577" s="5">
        <v>0.05</v>
      </c>
      <c r="L577" s="6">
        <v>0</v>
      </c>
      <c r="M577" s="7" t="s">
        <v>1447</v>
      </c>
      <c r="N577" s="8">
        <f>VLOOKUP(B577,'[1]новый без картинок'!$A$5:$F$2672,6,0)</f>
        <v>138</v>
      </c>
    </row>
    <row r="578" spans="1:14" ht="151.15" customHeight="1" x14ac:dyDescent="0.2">
      <c r="A578" s="3">
        <v>576</v>
      </c>
      <c r="B578" s="3">
        <v>199209</v>
      </c>
      <c r="C578" s="4" t="str">
        <f>HYPERLINK("http://optservis.net:5080/photo?tov_code_internet=199209","Увеличить")</f>
        <v>Увеличить</v>
      </c>
      <c r="D578" s="3" t="s">
        <v>1445</v>
      </c>
      <c r="E578" s="3"/>
      <c r="F578" s="3" t="s">
        <v>1449</v>
      </c>
      <c r="G578" s="3" t="s">
        <v>373</v>
      </c>
      <c r="H578" s="3">
        <v>0.5</v>
      </c>
      <c r="I578" s="3">
        <v>0</v>
      </c>
      <c r="J578" s="3" t="s">
        <v>18</v>
      </c>
      <c r="K578" s="5">
        <v>0.05</v>
      </c>
      <c r="L578" s="6">
        <v>0</v>
      </c>
      <c r="M578" s="7" t="s">
        <v>1447</v>
      </c>
      <c r="N578" s="8">
        <f>VLOOKUP(B578,'[1]новый без картинок'!$A$5:$F$2672,6,0)</f>
        <v>138</v>
      </c>
    </row>
    <row r="579" spans="1:14" ht="151.15" customHeight="1" x14ac:dyDescent="0.2">
      <c r="A579" s="3">
        <v>577</v>
      </c>
      <c r="B579" s="3">
        <v>192080</v>
      </c>
      <c r="C579" s="4" t="str">
        <f>HYPERLINK("http://optservis.net:5080/photo?tov_code_internet=192080","Увеличить")</f>
        <v>Увеличить</v>
      </c>
      <c r="D579" s="3" t="s">
        <v>1445</v>
      </c>
      <c r="E579" s="3" t="s">
        <v>1450</v>
      </c>
      <c r="F579" s="3" t="s">
        <v>752</v>
      </c>
      <c r="G579" s="3" t="s">
        <v>373</v>
      </c>
      <c r="H579" s="3">
        <v>0.5</v>
      </c>
      <c r="I579" s="3">
        <v>0</v>
      </c>
      <c r="J579" s="3" t="s">
        <v>18</v>
      </c>
      <c r="K579" s="5">
        <v>0.05</v>
      </c>
      <c r="L579" s="6">
        <v>4690654017637</v>
      </c>
      <c r="M579" s="7" t="s">
        <v>1451</v>
      </c>
      <c r="N579" s="8">
        <f>VLOOKUP(B579,'[1]новый без картинок'!$A$5:$F$2672,6,0)</f>
        <v>137</v>
      </c>
    </row>
    <row r="580" spans="1:14" ht="151.15" customHeight="1" x14ac:dyDescent="0.2">
      <c r="A580" s="3">
        <v>578</v>
      </c>
      <c r="B580" s="3">
        <v>192014</v>
      </c>
      <c r="C580" s="4" t="str">
        <f>HYPERLINK("http://optservis.net:5080/photo?tov_code_internet=192014","Увеличить")</f>
        <v>Увеличить</v>
      </c>
      <c r="D580" s="3" t="s">
        <v>1452</v>
      </c>
      <c r="E580" s="3" t="s">
        <v>1453</v>
      </c>
      <c r="F580" s="3" t="s">
        <v>1454</v>
      </c>
      <c r="G580" s="3" t="s">
        <v>430</v>
      </c>
      <c r="H580" s="3">
        <v>0.5</v>
      </c>
      <c r="I580" s="3">
        <v>0</v>
      </c>
      <c r="J580" s="3" t="s">
        <v>18</v>
      </c>
      <c r="K580" s="5">
        <v>0.02</v>
      </c>
      <c r="L580" s="6">
        <v>4690654014629</v>
      </c>
      <c r="M580" s="7" t="s">
        <v>1455</v>
      </c>
      <c r="N580" s="8">
        <f>VLOOKUP(B580,'[1]новый без картинок'!$A$5:$F$2672,6,0)</f>
        <v>211</v>
      </c>
    </row>
    <row r="581" spans="1:14" ht="151.15" customHeight="1" x14ac:dyDescent="0.2">
      <c r="A581" s="3">
        <v>579</v>
      </c>
      <c r="B581" s="3">
        <v>189421</v>
      </c>
      <c r="C581" s="4" t="str">
        <f>HYPERLINK("http://optservis.net:5080/photo?tov_code_internet=189421","Увеличить")</f>
        <v>Увеличить</v>
      </c>
      <c r="D581" s="3" t="s">
        <v>1456</v>
      </c>
      <c r="E581" s="3"/>
      <c r="F581" s="3" t="s">
        <v>1457</v>
      </c>
      <c r="G581" s="3" t="s">
        <v>1101</v>
      </c>
      <c r="H581" s="3">
        <v>0.5</v>
      </c>
      <c r="I581" s="3">
        <v>0</v>
      </c>
      <c r="J581" s="3" t="s">
        <v>18</v>
      </c>
      <c r="K581" s="5">
        <v>0.03</v>
      </c>
      <c r="L581" s="6">
        <v>0</v>
      </c>
      <c r="M581" s="7" t="s">
        <v>1458</v>
      </c>
      <c r="N581" s="8">
        <f>VLOOKUP(B581,'[1]новый без картинок'!$A$5:$F$2672,6,0)</f>
        <v>222</v>
      </c>
    </row>
    <row r="582" spans="1:14" ht="151.15" customHeight="1" x14ac:dyDescent="0.2">
      <c r="A582" s="3">
        <v>580</v>
      </c>
      <c r="B582" s="3">
        <v>192010</v>
      </c>
      <c r="C582" s="4" t="str">
        <f>HYPERLINK("http://optservis.net:5080/photo?tov_code_internet=192010","Увеличить")</f>
        <v>Увеличить</v>
      </c>
      <c r="D582" s="3" t="s">
        <v>1459</v>
      </c>
      <c r="E582" s="3"/>
      <c r="F582" s="3" t="s">
        <v>1460</v>
      </c>
      <c r="G582" s="3" t="s">
        <v>430</v>
      </c>
      <c r="H582" s="3">
        <v>0.5</v>
      </c>
      <c r="I582" s="3">
        <v>0</v>
      </c>
      <c r="J582" s="3" t="s">
        <v>18</v>
      </c>
      <c r="K582" s="5">
        <v>0.03</v>
      </c>
      <c r="L582" s="6">
        <v>0</v>
      </c>
      <c r="M582" s="7" t="s">
        <v>1461</v>
      </c>
      <c r="N582" s="8">
        <f>VLOOKUP(B582,'[1]новый без картинок'!$A$5:$F$2672,6,0)</f>
        <v>200</v>
      </c>
    </row>
    <row r="583" spans="1:14" ht="151.15" customHeight="1" x14ac:dyDescent="0.2">
      <c r="A583" s="3">
        <v>581</v>
      </c>
      <c r="B583" s="3">
        <v>192011</v>
      </c>
      <c r="C583" s="4" t="str">
        <f>HYPERLINK("http://optservis.net:5080/photo?tov_code_internet=192011","Увеличить")</f>
        <v>Увеличить</v>
      </c>
      <c r="D583" s="3" t="s">
        <v>1459</v>
      </c>
      <c r="E583" s="3" t="s">
        <v>1462</v>
      </c>
      <c r="F583" s="3" t="s">
        <v>1454</v>
      </c>
      <c r="G583" s="3" t="s">
        <v>430</v>
      </c>
      <c r="H583" s="3">
        <v>0.5</v>
      </c>
      <c r="I583" s="3">
        <v>0</v>
      </c>
      <c r="J583" s="3" t="s">
        <v>18</v>
      </c>
      <c r="K583" s="5">
        <v>0.03</v>
      </c>
      <c r="L583" s="6">
        <v>4690654014599</v>
      </c>
      <c r="M583" s="7" t="s">
        <v>1461</v>
      </c>
      <c r="N583" s="8">
        <f>VLOOKUP(B583,'[1]новый без картинок'!$A$5:$F$2672,6,0)</f>
        <v>200</v>
      </c>
    </row>
    <row r="584" spans="1:14" ht="151.15" customHeight="1" x14ac:dyDescent="0.2">
      <c r="A584" s="3">
        <v>582</v>
      </c>
      <c r="B584" s="3">
        <v>189418</v>
      </c>
      <c r="C584" s="4" t="str">
        <f>HYPERLINK("http://optservis.net:5080/photo?tov_code_internet=189418","Увеличить")</f>
        <v>Увеличить</v>
      </c>
      <c r="D584" s="3" t="s">
        <v>1459</v>
      </c>
      <c r="E584" s="3" t="s">
        <v>1462</v>
      </c>
      <c r="F584" s="3" t="s">
        <v>1463</v>
      </c>
      <c r="G584" s="3" t="s">
        <v>430</v>
      </c>
      <c r="H584" s="3">
        <v>0.5</v>
      </c>
      <c r="I584" s="3">
        <v>0</v>
      </c>
      <c r="J584" s="3" t="s">
        <v>18</v>
      </c>
      <c r="K584" s="5">
        <v>0.03</v>
      </c>
      <c r="L584" s="6">
        <v>4690654015121</v>
      </c>
      <c r="M584" s="7" t="s">
        <v>1461</v>
      </c>
      <c r="N584" s="8">
        <f>VLOOKUP(B584,'[1]новый без картинок'!$A$5:$F$2672,6,0)</f>
        <v>221</v>
      </c>
    </row>
    <row r="585" spans="1:14" ht="151.15" customHeight="1" x14ac:dyDescent="0.2">
      <c r="A585" s="3">
        <v>583</v>
      </c>
      <c r="B585" s="3">
        <v>192012</v>
      </c>
      <c r="C585" s="4" t="str">
        <f>HYPERLINK("http://optservis.net:5080/photo?tov_code_internet=192012","Увеличить")</f>
        <v>Увеличить</v>
      </c>
      <c r="D585" s="3" t="s">
        <v>1464</v>
      </c>
      <c r="E585" s="3"/>
      <c r="F585" s="3" t="s">
        <v>1465</v>
      </c>
      <c r="G585" s="3" t="s">
        <v>430</v>
      </c>
      <c r="H585" s="3">
        <v>0.5</v>
      </c>
      <c r="I585" s="3">
        <v>0</v>
      </c>
      <c r="J585" s="3" t="s">
        <v>18</v>
      </c>
      <c r="K585" s="5">
        <v>0.02</v>
      </c>
      <c r="L585" s="6">
        <v>0</v>
      </c>
      <c r="M585" s="7" t="s">
        <v>1466</v>
      </c>
      <c r="N585" s="8">
        <f>VLOOKUP(B585,'[1]новый без картинок'!$A$5:$F$2672,6,0)</f>
        <v>212</v>
      </c>
    </row>
    <row r="586" spans="1:14" ht="151.15" customHeight="1" x14ac:dyDescent="0.2">
      <c r="A586" s="3">
        <v>584</v>
      </c>
      <c r="B586" s="3">
        <v>189419</v>
      </c>
      <c r="C586" s="4" t="str">
        <f>HYPERLINK("http://optservis.net:5080/photo?tov_code_internet=189419","Увеличить")</f>
        <v>Увеличить</v>
      </c>
      <c r="D586" s="3" t="s">
        <v>1467</v>
      </c>
      <c r="E586" s="3"/>
      <c r="F586" s="3" t="s">
        <v>1468</v>
      </c>
      <c r="G586" s="3" t="s">
        <v>1469</v>
      </c>
      <c r="H586" s="3">
        <v>0.5</v>
      </c>
      <c r="I586" s="3">
        <v>0</v>
      </c>
      <c r="J586" s="3" t="s">
        <v>18</v>
      </c>
      <c r="K586" s="5">
        <v>0.02</v>
      </c>
      <c r="L586" s="6">
        <v>0</v>
      </c>
      <c r="M586" s="7" t="s">
        <v>1470</v>
      </c>
      <c r="N586" s="8">
        <f>VLOOKUP(B586,'[1]новый без картинок'!$A$5:$F$2672,6,0)</f>
        <v>261</v>
      </c>
    </row>
    <row r="587" spans="1:14" ht="151.15" customHeight="1" x14ac:dyDescent="0.2">
      <c r="A587" s="3">
        <v>585</v>
      </c>
      <c r="B587" s="3">
        <v>192015</v>
      </c>
      <c r="C587" s="4" t="str">
        <f>HYPERLINK("http://optservis.net:5080/photo?tov_code_internet=192015","Увеличить")</f>
        <v>Увеличить</v>
      </c>
      <c r="D587" s="3" t="s">
        <v>1467</v>
      </c>
      <c r="E587" s="3" t="s">
        <v>1471</v>
      </c>
      <c r="F587" s="3" t="s">
        <v>1472</v>
      </c>
      <c r="G587" s="3" t="s">
        <v>1469</v>
      </c>
      <c r="H587" s="3">
        <v>0.5</v>
      </c>
      <c r="I587" s="3">
        <v>0</v>
      </c>
      <c r="J587" s="3" t="s">
        <v>18</v>
      </c>
      <c r="K587" s="5">
        <v>0.02</v>
      </c>
      <c r="L587" s="6">
        <v>4690654014605</v>
      </c>
      <c r="M587" s="7" t="s">
        <v>1473</v>
      </c>
      <c r="N587" s="8">
        <f>VLOOKUP(B587,'[1]новый без картинок'!$A$5:$F$2672,6,0)</f>
        <v>319</v>
      </c>
    </row>
    <row r="588" spans="1:14" ht="151.15" customHeight="1" x14ac:dyDescent="0.2">
      <c r="A588" s="3">
        <v>586</v>
      </c>
      <c r="B588" s="3">
        <v>207819</v>
      </c>
      <c r="C588" s="4" t="str">
        <f>HYPERLINK("http://optservis.net:5080/photo?tov_code_internet=207819","Увеличить")</f>
        <v>Увеличить</v>
      </c>
      <c r="D588" s="3" t="s">
        <v>1474</v>
      </c>
      <c r="E588" s="3"/>
      <c r="F588" s="3" t="s">
        <v>1475</v>
      </c>
      <c r="G588" s="3" t="s">
        <v>1101</v>
      </c>
      <c r="H588" s="3">
        <v>0.5</v>
      </c>
      <c r="I588" s="3">
        <v>0</v>
      </c>
      <c r="J588" s="3" t="s">
        <v>18</v>
      </c>
      <c r="K588" s="5">
        <v>0.04</v>
      </c>
      <c r="L588" s="6">
        <v>0</v>
      </c>
      <c r="M588" s="7" t="s">
        <v>1476</v>
      </c>
      <c r="N588" s="8">
        <f>VLOOKUP(B588,'[1]новый без картинок'!$A$5:$F$2672,6,0)</f>
        <v>221</v>
      </c>
    </row>
    <row r="589" spans="1:14" ht="151.15" customHeight="1" x14ac:dyDescent="0.2">
      <c r="A589" s="3">
        <v>587</v>
      </c>
      <c r="B589" s="3">
        <v>192016</v>
      </c>
      <c r="C589" s="4" t="str">
        <f>HYPERLINK("http://optservis.net:5080/photo?tov_code_internet=192016","Увеличить")</f>
        <v>Увеличить</v>
      </c>
      <c r="D589" s="3" t="s">
        <v>1477</v>
      </c>
      <c r="E589" s="3" t="s">
        <v>1478</v>
      </c>
      <c r="F589" s="3" t="s">
        <v>1472</v>
      </c>
      <c r="G589" s="3" t="s">
        <v>1479</v>
      </c>
      <c r="H589" s="3">
        <v>0.5</v>
      </c>
      <c r="I589" s="3">
        <v>0</v>
      </c>
      <c r="J589" s="3" t="s">
        <v>18</v>
      </c>
      <c r="K589" s="5">
        <v>0</v>
      </c>
      <c r="L589" s="6">
        <v>4690654014612</v>
      </c>
      <c r="M589" s="7" t="s">
        <v>1480</v>
      </c>
      <c r="N589" s="8">
        <f>VLOOKUP(B589,'[1]новый без картинок'!$A$5:$F$2672,6,0)</f>
        <v>325</v>
      </c>
    </row>
    <row r="590" spans="1:14" ht="151.15" customHeight="1" x14ac:dyDescent="0.2">
      <c r="A590" s="3">
        <v>588</v>
      </c>
      <c r="B590" s="3">
        <v>192017</v>
      </c>
      <c r="C590" s="4" t="str">
        <f>HYPERLINK("http://optservis.net:5080/photo?tov_code_internet=192017","Увеличить")</f>
        <v>Увеличить</v>
      </c>
      <c r="D590" s="3" t="s">
        <v>1481</v>
      </c>
      <c r="E590" s="3" t="s">
        <v>1482</v>
      </c>
      <c r="F590" s="3" t="s">
        <v>1483</v>
      </c>
      <c r="G590" s="3" t="s">
        <v>1469</v>
      </c>
      <c r="H590" s="3">
        <v>0.5</v>
      </c>
      <c r="I590" s="3">
        <v>0</v>
      </c>
      <c r="J590" s="3" t="s">
        <v>18</v>
      </c>
      <c r="K590" s="5">
        <v>0</v>
      </c>
      <c r="L590" s="6">
        <v>4690654017422</v>
      </c>
      <c r="M590" s="7" t="s">
        <v>1484</v>
      </c>
      <c r="N590" s="8">
        <f>VLOOKUP(B590,'[1]новый без картинок'!$A$5:$F$2672,6,0)</f>
        <v>413</v>
      </c>
    </row>
    <row r="591" spans="1:14" ht="151.15" customHeight="1" x14ac:dyDescent="0.2">
      <c r="A591" s="3">
        <v>589</v>
      </c>
      <c r="B591" s="3">
        <v>209798</v>
      </c>
      <c r="C591" s="4" t="str">
        <f>HYPERLINK("http://optservis.net:5080/photo?tov_code_internet=209798","Увеличить")</f>
        <v>Увеличить</v>
      </c>
      <c r="D591" s="3" t="s">
        <v>1485</v>
      </c>
      <c r="E591" s="3"/>
      <c r="F591" s="3" t="s">
        <v>1486</v>
      </c>
      <c r="G591" s="3" t="s">
        <v>430</v>
      </c>
      <c r="H591" s="3">
        <v>0.5</v>
      </c>
      <c r="I591" s="3">
        <v>0</v>
      </c>
      <c r="J591" s="3" t="s">
        <v>18</v>
      </c>
      <c r="K591" s="5">
        <v>0.04</v>
      </c>
      <c r="L591" s="6">
        <v>0</v>
      </c>
      <c r="M591" s="7" t="s">
        <v>1487</v>
      </c>
      <c r="N591" s="8">
        <f>VLOOKUP(B591,'[1]новый без картинок'!$A$5:$F$2672,6,0)</f>
        <v>209</v>
      </c>
    </row>
    <row r="592" spans="1:14" ht="151.15" customHeight="1" x14ac:dyDescent="0.2">
      <c r="A592" s="3">
        <v>590</v>
      </c>
      <c r="B592" s="3">
        <v>209796</v>
      </c>
      <c r="C592" s="4" t="str">
        <f>HYPERLINK("http://optservis.net:5080/photo?tov_code_internet=209796","Увеличить")</f>
        <v>Увеличить</v>
      </c>
      <c r="D592" s="3" t="s">
        <v>1485</v>
      </c>
      <c r="E592" s="3"/>
      <c r="F592" s="3" t="s">
        <v>1488</v>
      </c>
      <c r="G592" s="3" t="s">
        <v>430</v>
      </c>
      <c r="H592" s="3">
        <v>0.5</v>
      </c>
      <c r="I592" s="3">
        <v>0</v>
      </c>
      <c r="J592" s="3" t="s">
        <v>18</v>
      </c>
      <c r="K592" s="5">
        <v>0.04</v>
      </c>
      <c r="L592" s="6">
        <v>0</v>
      </c>
      <c r="M592" s="7" t="s">
        <v>1487</v>
      </c>
      <c r="N592" s="8">
        <f>VLOOKUP(B592,'[1]новый без картинок'!$A$5:$F$2672,6,0)</f>
        <v>209</v>
      </c>
    </row>
    <row r="593" spans="1:14" ht="151.15" customHeight="1" x14ac:dyDescent="0.2">
      <c r="A593" s="3">
        <v>591</v>
      </c>
      <c r="B593" s="3">
        <v>209797</v>
      </c>
      <c r="C593" s="4" t="str">
        <f>HYPERLINK("http://optservis.net:5080/photo?tov_code_internet=209797","Увеличить")</f>
        <v>Увеличить</v>
      </c>
      <c r="D593" s="3" t="s">
        <v>1485</v>
      </c>
      <c r="E593" s="3"/>
      <c r="F593" s="3" t="s">
        <v>429</v>
      </c>
      <c r="G593" s="3" t="s">
        <v>430</v>
      </c>
      <c r="H593" s="3">
        <v>0.5</v>
      </c>
      <c r="I593" s="3">
        <v>0</v>
      </c>
      <c r="J593" s="3" t="s">
        <v>18</v>
      </c>
      <c r="K593" s="5">
        <v>0.04</v>
      </c>
      <c r="L593" s="6">
        <v>0</v>
      </c>
      <c r="M593" s="7" t="s">
        <v>1487</v>
      </c>
      <c r="N593" s="8">
        <f>VLOOKUP(B593,'[1]новый без картинок'!$A$5:$F$2672,6,0)</f>
        <v>209</v>
      </c>
    </row>
    <row r="594" spans="1:14" ht="151.15" customHeight="1" x14ac:dyDescent="0.2">
      <c r="A594" s="3">
        <v>592</v>
      </c>
      <c r="B594" s="3">
        <v>209800</v>
      </c>
      <c r="C594" s="4" t="str">
        <f>HYPERLINK("http://optservis.net:5080/photo?tov_code_internet=209800","Увеличить")</f>
        <v>Увеличить</v>
      </c>
      <c r="D594" s="3" t="s">
        <v>1489</v>
      </c>
      <c r="E594" s="3"/>
      <c r="F594" s="3" t="s">
        <v>1490</v>
      </c>
      <c r="G594" s="3" t="s">
        <v>1469</v>
      </c>
      <c r="H594" s="3">
        <v>0.5</v>
      </c>
      <c r="I594" s="3">
        <v>0</v>
      </c>
      <c r="J594" s="3" t="s">
        <v>18</v>
      </c>
      <c r="K594" s="5">
        <v>0.02</v>
      </c>
      <c r="L594" s="6">
        <v>0</v>
      </c>
      <c r="M594" s="7" t="s">
        <v>1491</v>
      </c>
      <c r="N594" s="8">
        <f>VLOOKUP(B594,'[1]новый без картинок'!$A$5:$F$2672,6,0)</f>
        <v>317</v>
      </c>
    </row>
    <row r="595" spans="1:14" ht="151.15" customHeight="1" x14ac:dyDescent="0.2">
      <c r="A595" s="3">
        <v>593</v>
      </c>
      <c r="B595" s="3">
        <v>209799</v>
      </c>
      <c r="C595" s="4" t="str">
        <f>HYPERLINK("http://optservis.net:5080/photo?tov_code_internet=209799","Увеличить")</f>
        <v>Увеличить</v>
      </c>
      <c r="D595" s="3" t="s">
        <v>1489</v>
      </c>
      <c r="E595" s="3"/>
      <c r="F595" s="3" t="s">
        <v>1492</v>
      </c>
      <c r="G595" s="3" t="s">
        <v>1469</v>
      </c>
      <c r="H595" s="3">
        <v>0.5</v>
      </c>
      <c r="I595" s="3">
        <v>0</v>
      </c>
      <c r="J595" s="3" t="s">
        <v>18</v>
      </c>
      <c r="K595" s="5">
        <v>0.03</v>
      </c>
      <c r="L595" s="6">
        <v>0</v>
      </c>
      <c r="M595" s="7" t="s">
        <v>1491</v>
      </c>
      <c r="N595" s="8">
        <f>VLOOKUP(B595,'[1]новый без картинок'!$A$5:$F$2672,6,0)</f>
        <v>328</v>
      </c>
    </row>
    <row r="596" spans="1:14" ht="151.15" customHeight="1" x14ac:dyDescent="0.2">
      <c r="A596" s="3">
        <v>594</v>
      </c>
      <c r="B596" s="3">
        <v>209801</v>
      </c>
      <c r="C596" s="4" t="str">
        <f>HYPERLINK("http://optservis.net:5080/photo?tov_code_internet=209801","Увеличить")</f>
        <v>Увеличить</v>
      </c>
      <c r="D596" s="3" t="s">
        <v>1493</v>
      </c>
      <c r="E596" s="3"/>
      <c r="F596" s="3" t="s">
        <v>1492</v>
      </c>
      <c r="G596" s="3" t="s">
        <v>1479</v>
      </c>
      <c r="H596" s="3">
        <v>0.5</v>
      </c>
      <c r="I596" s="3">
        <v>0</v>
      </c>
      <c r="J596" s="3" t="s">
        <v>18</v>
      </c>
      <c r="K596" s="5">
        <v>0.01</v>
      </c>
      <c r="L596" s="6">
        <v>0</v>
      </c>
      <c r="M596" s="7" t="s">
        <v>1494</v>
      </c>
      <c r="N596" s="8">
        <f>VLOOKUP(B596,'[1]новый без картинок'!$A$5:$F$2672,6,0)</f>
        <v>334</v>
      </c>
    </row>
    <row r="597" spans="1:14" ht="151.15" customHeight="1" x14ac:dyDescent="0.2">
      <c r="A597" s="3">
        <v>595</v>
      </c>
      <c r="B597" s="3">
        <v>154392</v>
      </c>
      <c r="C597" s="4" t="str">
        <f>HYPERLINK("http://optservis.net:5080/photo?tov_code_internet=154392","Увеличить")</f>
        <v>Увеличить</v>
      </c>
      <c r="D597" s="3" t="s">
        <v>1495</v>
      </c>
      <c r="E597" s="3"/>
      <c r="F597" s="3" t="s">
        <v>1496</v>
      </c>
      <c r="G597" s="3" t="s">
        <v>430</v>
      </c>
      <c r="H597" s="3">
        <v>0.5</v>
      </c>
      <c r="I597" s="3">
        <v>0</v>
      </c>
      <c r="J597" s="3" t="s">
        <v>18</v>
      </c>
      <c r="K597" s="5">
        <v>0.06</v>
      </c>
      <c r="L597" s="6">
        <v>0</v>
      </c>
      <c r="M597" s="7" t="s">
        <v>1497</v>
      </c>
      <c r="N597" s="8">
        <f>VLOOKUP(B597,'[1]новый без картинок'!$A$5:$F$2672,6,0)</f>
        <v>157</v>
      </c>
    </row>
    <row r="598" spans="1:14" ht="151.15" customHeight="1" x14ac:dyDescent="0.2">
      <c r="A598" s="3">
        <v>596</v>
      </c>
      <c r="B598" s="3">
        <v>154390</v>
      </c>
      <c r="C598" s="4" t="str">
        <f>HYPERLINK("http://optservis.net:5080/photo?tov_code_internet=154390","Увеличить")</f>
        <v>Увеличить</v>
      </c>
      <c r="D598" s="3" t="s">
        <v>1498</v>
      </c>
      <c r="E598" s="3"/>
      <c r="F598" s="3" t="s">
        <v>1499</v>
      </c>
      <c r="G598" s="3" t="s">
        <v>430</v>
      </c>
      <c r="H598" s="3">
        <v>0.5</v>
      </c>
      <c r="I598" s="3">
        <v>0</v>
      </c>
      <c r="J598" s="3" t="s">
        <v>18</v>
      </c>
      <c r="K598" s="5">
        <v>0.04</v>
      </c>
      <c r="L598" s="6">
        <v>0</v>
      </c>
      <c r="M598" s="7" t="s">
        <v>1500</v>
      </c>
      <c r="N598" s="8">
        <f>VLOOKUP(B598,'[1]новый без картинок'!$A$5:$F$2672,6,0)</f>
        <v>178</v>
      </c>
    </row>
    <row r="599" spans="1:14" ht="151.15" customHeight="1" x14ac:dyDescent="0.2">
      <c r="A599" s="3">
        <v>597</v>
      </c>
      <c r="B599" s="3">
        <v>185842</v>
      </c>
      <c r="C599" s="4" t="str">
        <f>HYPERLINK("http://optservis.net:5080/photo?tov_code_internet=185842","Увеличить")</f>
        <v>Увеличить</v>
      </c>
      <c r="D599" s="3" t="s">
        <v>1501</v>
      </c>
      <c r="E599" s="3"/>
      <c r="F599" s="3" t="s">
        <v>1502</v>
      </c>
      <c r="G599" s="3" t="s">
        <v>430</v>
      </c>
      <c r="H599" s="3">
        <v>0.5</v>
      </c>
      <c r="I599" s="3">
        <v>0</v>
      </c>
      <c r="J599" s="3" t="s">
        <v>18</v>
      </c>
      <c r="K599" s="5">
        <v>0.05</v>
      </c>
      <c r="L599" s="6">
        <v>0</v>
      </c>
      <c r="M599" s="7" t="s">
        <v>1503</v>
      </c>
      <c r="N599" s="8">
        <f>VLOOKUP(B599,'[1]новый без картинок'!$A$5:$F$2672,6,0)</f>
        <v>268</v>
      </c>
    </row>
    <row r="600" spans="1:14" ht="151.15" customHeight="1" x14ac:dyDescent="0.2">
      <c r="A600" s="3">
        <v>598</v>
      </c>
      <c r="B600" s="3">
        <v>194031</v>
      </c>
      <c r="C600" s="4" t="str">
        <f>HYPERLINK("http://optservis.net:5080/photo?tov_code_internet=194031","Увеличить")</f>
        <v>Увеличить</v>
      </c>
      <c r="D600" s="3" t="s">
        <v>1504</v>
      </c>
      <c r="E600" s="3"/>
      <c r="F600" s="3" t="s">
        <v>1502</v>
      </c>
      <c r="G600" s="3" t="s">
        <v>430</v>
      </c>
      <c r="H600" s="3">
        <v>0.5</v>
      </c>
      <c r="I600" s="3">
        <v>0</v>
      </c>
      <c r="J600" s="3" t="s">
        <v>18</v>
      </c>
      <c r="K600" s="5">
        <v>0.06</v>
      </c>
      <c r="L600" s="6">
        <v>0</v>
      </c>
      <c r="M600" s="7" t="s">
        <v>1505</v>
      </c>
      <c r="N600" s="8">
        <f>VLOOKUP(B600,'[1]новый без картинок'!$A$5:$F$2672,6,0)</f>
        <v>216</v>
      </c>
    </row>
    <row r="601" spans="1:14" ht="151.15" customHeight="1" x14ac:dyDescent="0.2">
      <c r="A601" s="3">
        <v>599</v>
      </c>
      <c r="B601" s="3">
        <v>151605</v>
      </c>
      <c r="C601" s="4" t="str">
        <f>HYPERLINK("http://optservis.net:5080/photo?tov_code_internet=151605","Увеличить")</f>
        <v>Увеличить</v>
      </c>
      <c r="D601" s="3" t="s">
        <v>1506</v>
      </c>
      <c r="E601" s="3" t="s">
        <v>1507</v>
      </c>
      <c r="F601" s="3" t="s">
        <v>1508</v>
      </c>
      <c r="G601" s="3" t="s">
        <v>430</v>
      </c>
      <c r="H601" s="3">
        <v>0.5</v>
      </c>
      <c r="I601" s="3">
        <v>0</v>
      </c>
      <c r="J601" s="3" t="s">
        <v>18</v>
      </c>
      <c r="K601" s="5">
        <v>0.06</v>
      </c>
      <c r="L601" s="6">
        <v>4690654010744</v>
      </c>
      <c r="M601" s="7" t="s">
        <v>1509</v>
      </c>
      <c r="N601" s="8">
        <f>VLOOKUP(B601,'[1]новый без картинок'!$A$5:$F$2672,6,0)</f>
        <v>212</v>
      </c>
    </row>
    <row r="602" spans="1:14" ht="151.15" customHeight="1" x14ac:dyDescent="0.2">
      <c r="A602" s="3">
        <v>600</v>
      </c>
      <c r="B602" s="3">
        <v>151841</v>
      </c>
      <c r="C602" s="4" t="str">
        <f>HYPERLINK("http://optservis.net:5080/photo?tov_code_internet=151841","Увеличить")</f>
        <v>Увеличить</v>
      </c>
      <c r="D602" s="3" t="s">
        <v>1510</v>
      </c>
      <c r="E602" s="3"/>
      <c r="F602" s="3" t="s">
        <v>1511</v>
      </c>
      <c r="G602" s="3" t="s">
        <v>1101</v>
      </c>
      <c r="H602" s="3">
        <v>0.5</v>
      </c>
      <c r="I602" s="3">
        <v>0</v>
      </c>
      <c r="J602" s="3" t="s">
        <v>18</v>
      </c>
      <c r="K602" s="5">
        <v>0.04</v>
      </c>
      <c r="L602" s="6">
        <v>0</v>
      </c>
      <c r="M602" s="7" t="s">
        <v>1512</v>
      </c>
      <c r="N602" s="8">
        <f>VLOOKUP(B602,'[1]новый без картинок'!$A$5:$F$2672,6,0)</f>
        <v>212</v>
      </c>
    </row>
    <row r="603" spans="1:14" ht="151.15" customHeight="1" x14ac:dyDescent="0.2">
      <c r="A603" s="3">
        <v>601</v>
      </c>
      <c r="B603" s="3">
        <v>152007</v>
      </c>
      <c r="C603" s="4" t="str">
        <f>HYPERLINK("http://optservis.net:5080/photo?tov_code_internet=152007","Увеличить")</f>
        <v>Увеличить</v>
      </c>
      <c r="D603" s="3" t="s">
        <v>1513</v>
      </c>
      <c r="E603" s="3"/>
      <c r="F603" s="3" t="s">
        <v>1514</v>
      </c>
      <c r="G603" s="3" t="s">
        <v>1515</v>
      </c>
      <c r="H603" s="3">
        <v>0.5</v>
      </c>
      <c r="I603" s="3">
        <v>0</v>
      </c>
      <c r="J603" s="3" t="s">
        <v>18</v>
      </c>
      <c r="K603" s="5">
        <v>0.04</v>
      </c>
      <c r="L603" s="6">
        <v>0</v>
      </c>
      <c r="M603" s="7" t="s">
        <v>1516</v>
      </c>
      <c r="N603" s="8">
        <f>VLOOKUP(B603,'[1]новый без картинок'!$A$5:$F$2672,6,0)</f>
        <v>309</v>
      </c>
    </row>
    <row r="604" spans="1:14" ht="151.15" customHeight="1" x14ac:dyDescent="0.2">
      <c r="A604" s="3">
        <v>602</v>
      </c>
      <c r="B604" s="3">
        <v>164505</v>
      </c>
      <c r="C604" s="4" t="str">
        <f>HYPERLINK("http://optservis.net:5080/photo?tov_code_internet=164505","Увеличить")</f>
        <v>Увеличить</v>
      </c>
      <c r="D604" s="3" t="s">
        <v>1513</v>
      </c>
      <c r="E604" s="3" t="s">
        <v>1517</v>
      </c>
      <c r="F604" s="3" t="s">
        <v>1518</v>
      </c>
      <c r="G604" s="3" t="s">
        <v>1469</v>
      </c>
      <c r="H604" s="3">
        <v>0.5</v>
      </c>
      <c r="I604" s="3">
        <v>0</v>
      </c>
      <c r="J604" s="3" t="s">
        <v>18</v>
      </c>
      <c r="K604" s="5">
        <v>0.04</v>
      </c>
      <c r="L604" s="6">
        <v>4690654011062</v>
      </c>
      <c r="M604" s="7" t="s">
        <v>1519</v>
      </c>
      <c r="N604" s="8">
        <f>VLOOKUP(B604,'[1]новый без картинок'!$A$5:$F$2672,6,0)</f>
        <v>324</v>
      </c>
    </row>
    <row r="605" spans="1:14" ht="151.15" customHeight="1" x14ac:dyDescent="0.2">
      <c r="A605" s="3">
        <v>603</v>
      </c>
      <c r="B605" s="3">
        <v>151586</v>
      </c>
      <c r="C605" s="4" t="str">
        <f>HYPERLINK("http://optservis.net:5080/photo?tov_code_internet=151586","Увеличить")</f>
        <v>Увеличить</v>
      </c>
      <c r="D605" s="3" t="s">
        <v>1513</v>
      </c>
      <c r="E605" s="3" t="s">
        <v>1517</v>
      </c>
      <c r="F605" s="3" t="s">
        <v>1520</v>
      </c>
      <c r="G605" s="3" t="s">
        <v>1469</v>
      </c>
      <c r="H605" s="3">
        <v>0.5</v>
      </c>
      <c r="I605" s="3">
        <v>0</v>
      </c>
      <c r="J605" s="3" t="s">
        <v>18</v>
      </c>
      <c r="K605" s="5">
        <v>0.04</v>
      </c>
      <c r="L605" s="6">
        <v>4690654011079</v>
      </c>
      <c r="M605" s="7" t="s">
        <v>1521</v>
      </c>
      <c r="N605" s="8">
        <f>VLOOKUP(B605,'[1]новый без картинок'!$A$5:$F$2672,6,0)</f>
        <v>321</v>
      </c>
    </row>
    <row r="606" spans="1:14" ht="151.15" customHeight="1" x14ac:dyDescent="0.2">
      <c r="A606" s="3">
        <v>604</v>
      </c>
      <c r="B606" s="3">
        <v>151316</v>
      </c>
      <c r="C606" s="4" t="str">
        <f>HYPERLINK("http://optservis.net:5080/photo?tov_code_internet=151316","Увеличить")</f>
        <v>Увеличить</v>
      </c>
      <c r="D606" s="3" t="s">
        <v>1513</v>
      </c>
      <c r="E606" s="3" t="s">
        <v>1517</v>
      </c>
      <c r="F606" s="3" t="s">
        <v>1522</v>
      </c>
      <c r="G606" s="3" t="s">
        <v>1469</v>
      </c>
      <c r="H606" s="3">
        <v>0.5</v>
      </c>
      <c r="I606" s="3">
        <v>0</v>
      </c>
      <c r="J606" s="3" t="s">
        <v>18</v>
      </c>
      <c r="K606" s="5">
        <v>0.03</v>
      </c>
      <c r="L606" s="6">
        <v>4690654011086</v>
      </c>
      <c r="M606" s="7" t="s">
        <v>1521</v>
      </c>
      <c r="N606" s="8">
        <f>VLOOKUP(B606,'[1]новый без картинок'!$A$5:$F$2672,6,0)</f>
        <v>311</v>
      </c>
    </row>
    <row r="607" spans="1:14" ht="151.15" customHeight="1" x14ac:dyDescent="0.2">
      <c r="A607" s="3">
        <v>605</v>
      </c>
      <c r="B607" s="3">
        <v>207820</v>
      </c>
      <c r="C607" s="4" t="str">
        <f>HYPERLINK("http://optservis.net:5080/photo?tov_code_internet=207820","Увеличить")</f>
        <v>Увеличить</v>
      </c>
      <c r="D607" s="3" t="s">
        <v>1523</v>
      </c>
      <c r="E607" s="3"/>
      <c r="F607" s="3" t="s">
        <v>1524</v>
      </c>
      <c r="G607" s="3" t="s">
        <v>430</v>
      </c>
      <c r="H607" s="3">
        <v>0.5</v>
      </c>
      <c r="I607" s="3">
        <v>0</v>
      </c>
      <c r="J607" s="3" t="s">
        <v>18</v>
      </c>
      <c r="K607" s="5">
        <v>0.06</v>
      </c>
      <c r="L607" s="6">
        <v>0</v>
      </c>
      <c r="M607" s="7" t="s">
        <v>1525</v>
      </c>
      <c r="N607" s="8">
        <f>VLOOKUP(B607,'[1]новый без картинок'!$A$5:$F$2672,6,0)</f>
        <v>217</v>
      </c>
    </row>
    <row r="608" spans="1:14" ht="151.15" customHeight="1" x14ac:dyDescent="0.2">
      <c r="A608" s="3">
        <v>606</v>
      </c>
      <c r="B608" s="3">
        <v>151595</v>
      </c>
      <c r="C608" s="4" t="str">
        <f>HYPERLINK("http://optservis.net:5080/photo?tov_code_internet=151595","Увеличить")</f>
        <v>Увеличить</v>
      </c>
      <c r="D608" s="3" t="s">
        <v>1526</v>
      </c>
      <c r="E608" s="3"/>
      <c r="F608" s="3" t="s">
        <v>1527</v>
      </c>
      <c r="G608" s="3" t="s">
        <v>1479</v>
      </c>
      <c r="H608" s="3">
        <v>0.5</v>
      </c>
      <c r="I608" s="3">
        <v>0</v>
      </c>
      <c r="J608" s="3" t="s">
        <v>18</v>
      </c>
      <c r="K608" s="5">
        <v>0.02</v>
      </c>
      <c r="L608" s="6">
        <v>0</v>
      </c>
      <c r="M608" s="7" t="s">
        <v>1528</v>
      </c>
      <c r="N608" s="8">
        <f>VLOOKUP(B608,'[1]новый без картинок'!$A$5:$F$2672,6,0)</f>
        <v>328</v>
      </c>
    </row>
    <row r="609" spans="1:14" ht="151.15" customHeight="1" x14ac:dyDescent="0.2">
      <c r="A609" s="3">
        <v>607</v>
      </c>
      <c r="B609" s="3">
        <v>164506</v>
      </c>
      <c r="C609" s="4" t="str">
        <f>HYPERLINK("http://optservis.net:5080/photo?tov_code_internet=164506","Увеличить")</f>
        <v>Увеличить</v>
      </c>
      <c r="D609" s="3" t="s">
        <v>1526</v>
      </c>
      <c r="E609" s="3"/>
      <c r="F609" s="3" t="s">
        <v>1529</v>
      </c>
      <c r="G609" s="3" t="s">
        <v>1479</v>
      </c>
      <c r="H609" s="3">
        <v>0.5</v>
      </c>
      <c r="I609" s="3">
        <v>0</v>
      </c>
      <c r="J609" s="3" t="s">
        <v>18</v>
      </c>
      <c r="K609" s="5">
        <v>0.02</v>
      </c>
      <c r="L609" s="6">
        <v>0</v>
      </c>
      <c r="M609" s="7" t="s">
        <v>1528</v>
      </c>
      <c r="N609" s="8">
        <f>VLOOKUP(B609,'[1]новый без картинок'!$A$5:$F$2672,6,0)</f>
        <v>324</v>
      </c>
    </row>
    <row r="610" spans="1:14" ht="151.15" customHeight="1" x14ac:dyDescent="0.2">
      <c r="A610" s="3">
        <v>608</v>
      </c>
      <c r="B610" s="3">
        <v>151323</v>
      </c>
      <c r="C610" s="4" t="str">
        <f>HYPERLINK("http://optservis.net:5080/photo?tov_code_internet=151323","Увеличить")</f>
        <v>Увеличить</v>
      </c>
      <c r="D610" s="3" t="s">
        <v>1526</v>
      </c>
      <c r="E610" s="3"/>
      <c r="F610" s="3" t="s">
        <v>1530</v>
      </c>
      <c r="G610" s="3" t="s">
        <v>1479</v>
      </c>
      <c r="H610" s="3">
        <v>0.5</v>
      </c>
      <c r="I610" s="3">
        <v>0</v>
      </c>
      <c r="J610" s="3" t="s">
        <v>18</v>
      </c>
      <c r="K610" s="5">
        <v>0.02</v>
      </c>
      <c r="L610" s="6">
        <v>0</v>
      </c>
      <c r="M610" s="7" t="s">
        <v>1528</v>
      </c>
      <c r="N610" s="8">
        <f>VLOOKUP(B610,'[1]новый без картинок'!$A$5:$F$2672,6,0)</f>
        <v>328</v>
      </c>
    </row>
    <row r="611" spans="1:14" ht="151.15" customHeight="1" x14ac:dyDescent="0.2">
      <c r="A611" s="3">
        <v>609</v>
      </c>
      <c r="B611" s="3">
        <v>165562</v>
      </c>
      <c r="C611" s="4" t="str">
        <f>HYPERLINK("http://optservis.net:5080/photo?tov_code_internet=165562","Увеличить")</f>
        <v>Увеличить</v>
      </c>
      <c r="D611" s="3" t="s">
        <v>1526</v>
      </c>
      <c r="E611" s="3" t="s">
        <v>1531</v>
      </c>
      <c r="F611" s="3" t="s">
        <v>1532</v>
      </c>
      <c r="G611" s="3" t="s">
        <v>1533</v>
      </c>
      <c r="H611" s="3">
        <v>0.5</v>
      </c>
      <c r="I611" s="3">
        <v>0</v>
      </c>
      <c r="J611" s="3" t="s">
        <v>18</v>
      </c>
      <c r="K611" s="5">
        <v>0.02</v>
      </c>
      <c r="L611" s="6">
        <v>4690654013479</v>
      </c>
      <c r="M611" s="7" t="s">
        <v>1534</v>
      </c>
      <c r="N611" s="8">
        <f>VLOOKUP(B611,'[1]новый без картинок'!$A$5:$F$2672,6,0)</f>
        <v>316</v>
      </c>
    </row>
    <row r="612" spans="1:14" ht="151.15" customHeight="1" x14ac:dyDescent="0.2">
      <c r="A612" s="3">
        <v>610</v>
      </c>
      <c r="B612" s="3">
        <v>151604</v>
      </c>
      <c r="C612" s="4" t="str">
        <f>HYPERLINK("http://optservis.net:5080/photo?tov_code_internet=151604","Увеличить")</f>
        <v>Увеличить</v>
      </c>
      <c r="D612" s="3" t="s">
        <v>1535</v>
      </c>
      <c r="E612" s="3"/>
      <c r="F612" s="3" t="s">
        <v>1536</v>
      </c>
      <c r="G612" s="3" t="s">
        <v>1045</v>
      </c>
      <c r="H612" s="3">
        <v>0.5</v>
      </c>
      <c r="I612" s="3">
        <v>0</v>
      </c>
      <c r="J612" s="3" t="s">
        <v>18</v>
      </c>
      <c r="K612" s="5">
        <v>0.02</v>
      </c>
      <c r="L612" s="6">
        <v>0</v>
      </c>
      <c r="M612" s="7" t="s">
        <v>1537</v>
      </c>
      <c r="N612" s="8">
        <f>VLOOKUP(B612,'[1]новый без картинок'!$A$5:$F$2672,6,0)</f>
        <v>417</v>
      </c>
    </row>
    <row r="613" spans="1:14" ht="151.15" customHeight="1" x14ac:dyDescent="0.2">
      <c r="A613" s="3">
        <v>611</v>
      </c>
      <c r="B613" s="3">
        <v>151356</v>
      </c>
      <c r="C613" s="4" t="str">
        <f>HYPERLINK("http://optservis.net:5080/photo?tov_code_internet=151356","Увеличить")</f>
        <v>Увеличить</v>
      </c>
      <c r="D613" s="3" t="s">
        <v>1535</v>
      </c>
      <c r="E613" s="3"/>
      <c r="F613" s="3" t="s">
        <v>1538</v>
      </c>
      <c r="G613" s="3" t="s">
        <v>1045</v>
      </c>
      <c r="H613" s="3">
        <v>0.5</v>
      </c>
      <c r="I613" s="3">
        <v>0</v>
      </c>
      <c r="J613" s="3" t="s">
        <v>18</v>
      </c>
      <c r="K613" s="5">
        <v>0.02</v>
      </c>
      <c r="L613" s="6">
        <v>0</v>
      </c>
      <c r="M613" s="7" t="s">
        <v>1537</v>
      </c>
      <c r="N613" s="8">
        <f>VLOOKUP(B613,'[1]новый без картинок'!$A$5:$F$2672,6,0)</f>
        <v>417</v>
      </c>
    </row>
    <row r="614" spans="1:14" ht="151.15" customHeight="1" x14ac:dyDescent="0.2">
      <c r="A614" s="3">
        <v>612</v>
      </c>
      <c r="B614" s="3">
        <v>151315</v>
      </c>
      <c r="C614" s="4" t="str">
        <f>HYPERLINK("http://optservis.net:5080/photo?tov_code_internet=151315","Увеличить")</f>
        <v>Увеличить</v>
      </c>
      <c r="D614" s="3" t="s">
        <v>1539</v>
      </c>
      <c r="E614" s="3"/>
      <c r="F614" s="3" t="s">
        <v>1502</v>
      </c>
      <c r="G614" s="3" t="s">
        <v>430</v>
      </c>
      <c r="H614" s="3">
        <v>0.5</v>
      </c>
      <c r="I614" s="3">
        <v>0</v>
      </c>
      <c r="J614" s="3" t="s">
        <v>18</v>
      </c>
      <c r="K614" s="5">
        <v>0.06</v>
      </c>
      <c r="L614" s="6">
        <v>0</v>
      </c>
      <c r="M614" s="7" t="s">
        <v>1540</v>
      </c>
      <c r="N614" s="8">
        <f>VLOOKUP(B614,'[1]новый без картинок'!$A$5:$F$2672,6,0)</f>
        <v>195</v>
      </c>
    </row>
    <row r="615" spans="1:14" ht="151.15" customHeight="1" x14ac:dyDescent="0.2">
      <c r="A615" s="3">
        <v>613</v>
      </c>
      <c r="B615" s="3">
        <v>152014</v>
      </c>
      <c r="C615" s="4" t="str">
        <f>HYPERLINK("http://optservis.net:5080/photo?tov_code_internet=152014","Увеличить")</f>
        <v>Увеличить</v>
      </c>
      <c r="D615" s="3" t="s">
        <v>1539</v>
      </c>
      <c r="E615" s="3" t="s">
        <v>1541</v>
      </c>
      <c r="F615" s="3" t="s">
        <v>1475</v>
      </c>
      <c r="G615" s="3" t="s">
        <v>1101</v>
      </c>
      <c r="H615" s="3">
        <v>1</v>
      </c>
      <c r="I615" s="3">
        <v>1</v>
      </c>
      <c r="J615" s="3" t="s">
        <v>18</v>
      </c>
      <c r="K615" s="5">
        <v>0.1</v>
      </c>
      <c r="L615" s="6">
        <v>4690654008581</v>
      </c>
      <c r="M615" s="7" t="s">
        <v>1542</v>
      </c>
      <c r="N615" s="8">
        <f>VLOOKUP(B615,'[1]новый без картинок'!$A$5:$F$2672,6,0)</f>
        <v>183</v>
      </c>
    </row>
    <row r="616" spans="1:14" ht="151.15" customHeight="1" x14ac:dyDescent="0.2">
      <c r="A616" s="3">
        <v>614</v>
      </c>
      <c r="B616" s="3">
        <v>981221</v>
      </c>
      <c r="C616" s="4" t="str">
        <f>HYPERLINK("http://optservis.net:5080/photo?tov_code_internet=981221","Увеличить")</f>
        <v>Увеличить</v>
      </c>
      <c r="D616" s="3" t="s">
        <v>1543</v>
      </c>
      <c r="E616" s="3"/>
      <c r="F616" s="3" t="s">
        <v>1544</v>
      </c>
      <c r="G616" s="3" t="s">
        <v>430</v>
      </c>
      <c r="H616" s="3">
        <v>0.5</v>
      </c>
      <c r="I616" s="3">
        <v>0</v>
      </c>
      <c r="J616" s="3" t="s">
        <v>18</v>
      </c>
      <c r="K616" s="5">
        <v>0.1</v>
      </c>
      <c r="L616" s="6">
        <v>0</v>
      </c>
      <c r="M616" s="7" t="s">
        <v>1545</v>
      </c>
      <c r="N616" s="8">
        <f>VLOOKUP(B616,'[1]новый без картинок'!$A$5:$F$2672,6,0)</f>
        <v>268</v>
      </c>
    </row>
    <row r="617" spans="1:14" ht="151.15" customHeight="1" x14ac:dyDescent="0.2">
      <c r="A617" s="3">
        <v>615</v>
      </c>
      <c r="B617" s="3">
        <v>155635</v>
      </c>
      <c r="C617" s="4" t="str">
        <f>HYPERLINK("http://optservis.net:5080/photo?tov_code_internet=155635","Увеличить")</f>
        <v>Увеличить</v>
      </c>
      <c r="D617" s="3" t="s">
        <v>1546</v>
      </c>
      <c r="E617" s="3"/>
      <c r="F617" s="3" t="s">
        <v>1547</v>
      </c>
      <c r="G617" s="3" t="s">
        <v>430</v>
      </c>
      <c r="H617" s="3">
        <v>0.5</v>
      </c>
      <c r="I617" s="3">
        <v>0</v>
      </c>
      <c r="J617" s="3" t="s">
        <v>18</v>
      </c>
      <c r="K617" s="5">
        <v>0.05</v>
      </c>
      <c r="L617" s="6">
        <v>0</v>
      </c>
      <c r="M617" s="7" t="s">
        <v>1548</v>
      </c>
      <c r="N617" s="8">
        <f>VLOOKUP(B617,'[1]новый без картинок'!$A$5:$F$2672,6,0)</f>
        <v>208</v>
      </c>
    </row>
    <row r="618" spans="1:14" ht="151.15" customHeight="1" x14ac:dyDescent="0.2">
      <c r="A618" s="3">
        <v>616</v>
      </c>
      <c r="B618" s="3">
        <v>163686</v>
      </c>
      <c r="C618" s="4" t="str">
        <f>HYPERLINK("http://optservis.net:5080/photo?tov_code_internet=163686","Увеличить")</f>
        <v>Увеличить</v>
      </c>
      <c r="D618" s="3" t="s">
        <v>1546</v>
      </c>
      <c r="E618" s="3" t="s">
        <v>1549</v>
      </c>
      <c r="F618" s="3" t="s">
        <v>1550</v>
      </c>
      <c r="G618" s="3" t="s">
        <v>430</v>
      </c>
      <c r="H618" s="3">
        <v>0.5</v>
      </c>
      <c r="I618" s="3">
        <v>0</v>
      </c>
      <c r="J618" s="3" t="s">
        <v>18</v>
      </c>
      <c r="K618" s="5">
        <v>0.05</v>
      </c>
      <c r="L618" s="6">
        <v>4690654014469</v>
      </c>
      <c r="M618" s="7" t="s">
        <v>1551</v>
      </c>
      <c r="N618" s="8">
        <f>VLOOKUP(B618,'[1]новый без картинок'!$A$5:$F$2672,6,0)</f>
        <v>207</v>
      </c>
    </row>
    <row r="619" spans="1:14" ht="151.15" customHeight="1" x14ac:dyDescent="0.2">
      <c r="A619" s="3">
        <v>617</v>
      </c>
      <c r="B619" s="3">
        <v>194028</v>
      </c>
      <c r="C619" s="4" t="str">
        <f>HYPERLINK("http://optservis.net:5080/photo?tov_code_internet=194028","Увеличить")</f>
        <v>Увеличить</v>
      </c>
      <c r="D619" s="3" t="s">
        <v>1552</v>
      </c>
      <c r="E619" s="3"/>
      <c r="F619" s="3" t="s">
        <v>1550</v>
      </c>
      <c r="G619" s="3" t="s">
        <v>430</v>
      </c>
      <c r="H619" s="3">
        <v>0.5</v>
      </c>
      <c r="I619" s="3">
        <v>0</v>
      </c>
      <c r="J619" s="3" t="s">
        <v>18</v>
      </c>
      <c r="K619" s="5">
        <v>0.06</v>
      </c>
      <c r="L619" s="6">
        <v>0</v>
      </c>
      <c r="M619" s="7" t="s">
        <v>1505</v>
      </c>
      <c r="N619" s="8">
        <f>VLOOKUP(B619,'[1]новый без картинок'!$A$5:$F$2672,6,0)</f>
        <v>209</v>
      </c>
    </row>
    <row r="620" spans="1:14" ht="151.15" customHeight="1" x14ac:dyDescent="0.2">
      <c r="A620" s="3">
        <v>618</v>
      </c>
      <c r="B620" s="3">
        <v>194029</v>
      </c>
      <c r="C620" s="4" t="str">
        <f>HYPERLINK("http://optservis.net:5080/photo?tov_code_internet=194029","Увеличить")</f>
        <v>Увеличить</v>
      </c>
      <c r="D620" s="3" t="s">
        <v>1552</v>
      </c>
      <c r="E620" s="3"/>
      <c r="F620" s="3" t="s">
        <v>1547</v>
      </c>
      <c r="G620" s="3" t="s">
        <v>430</v>
      </c>
      <c r="H620" s="3">
        <v>0.5</v>
      </c>
      <c r="I620" s="3">
        <v>0</v>
      </c>
      <c r="J620" s="3" t="s">
        <v>18</v>
      </c>
      <c r="K620" s="5">
        <v>0.06</v>
      </c>
      <c r="L620" s="6">
        <v>0</v>
      </c>
      <c r="M620" s="7" t="s">
        <v>1505</v>
      </c>
      <c r="N620" s="8">
        <f>VLOOKUP(B620,'[1]новый без картинок'!$A$5:$F$2672,6,0)</f>
        <v>211</v>
      </c>
    </row>
    <row r="621" spans="1:14" ht="151.15" customHeight="1" x14ac:dyDescent="0.2">
      <c r="A621" s="3">
        <v>619</v>
      </c>
      <c r="B621" s="3">
        <v>188800</v>
      </c>
      <c r="C621" s="4" t="str">
        <f>HYPERLINK("http://optservis.net:5080/photo?tov_code_internet=188800","Увеличить")</f>
        <v>Увеличить</v>
      </c>
      <c r="D621" s="3" t="s">
        <v>1553</v>
      </c>
      <c r="E621" s="3" t="s">
        <v>1554</v>
      </c>
      <c r="F621" s="3" t="s">
        <v>443</v>
      </c>
      <c r="G621" s="3" t="s">
        <v>430</v>
      </c>
      <c r="H621" s="3">
        <v>0.5</v>
      </c>
      <c r="I621" s="3">
        <v>0</v>
      </c>
      <c r="J621" s="3" t="s">
        <v>18</v>
      </c>
      <c r="K621" s="5">
        <v>0.05</v>
      </c>
      <c r="L621" s="6">
        <v>4690654016401</v>
      </c>
      <c r="M621" s="7" t="s">
        <v>1555</v>
      </c>
      <c r="N621" s="8">
        <f>VLOOKUP(B621,'[1]новый без картинок'!$A$5:$F$2672,6,0)</f>
        <v>205</v>
      </c>
    </row>
    <row r="622" spans="1:14" ht="151.15" customHeight="1" x14ac:dyDescent="0.2">
      <c r="A622" s="3">
        <v>620</v>
      </c>
      <c r="B622" s="3">
        <v>168828</v>
      </c>
      <c r="C622" s="4" t="str">
        <f>HYPERLINK("http://optservis.net:5080/photo?tov_code_internet=168828","Увеличить")</f>
        <v>Увеличить</v>
      </c>
      <c r="D622" s="3" t="s">
        <v>1553</v>
      </c>
      <c r="E622" s="3" t="s">
        <v>1554</v>
      </c>
      <c r="F622" s="3" t="s">
        <v>1556</v>
      </c>
      <c r="G622" s="3" t="s">
        <v>430</v>
      </c>
      <c r="H622" s="3">
        <v>0.5</v>
      </c>
      <c r="I622" s="3">
        <v>0</v>
      </c>
      <c r="J622" s="3" t="s">
        <v>18</v>
      </c>
      <c r="K622" s="5">
        <v>0.05</v>
      </c>
      <c r="L622" s="6">
        <v>4690654010034</v>
      </c>
      <c r="M622" s="7" t="s">
        <v>1555</v>
      </c>
      <c r="N622" s="8">
        <f>VLOOKUP(B622,'[1]новый без картинок'!$A$5:$F$2672,6,0)</f>
        <v>205</v>
      </c>
    </row>
    <row r="623" spans="1:14" ht="151.15" customHeight="1" x14ac:dyDescent="0.2">
      <c r="A623" s="3">
        <v>621</v>
      </c>
      <c r="B623" s="3">
        <v>962038</v>
      </c>
      <c r="C623" s="4" t="str">
        <f>HYPERLINK("http://optservis.net:5080/photo?tov_code_internet=962038","Увеличить")</f>
        <v>Увеличить</v>
      </c>
      <c r="D623" s="3" t="s">
        <v>1557</v>
      </c>
      <c r="E623" s="3"/>
      <c r="F623" s="3" t="s">
        <v>1558</v>
      </c>
      <c r="G623" s="3" t="s">
        <v>430</v>
      </c>
      <c r="H623" s="3">
        <v>0.5</v>
      </c>
      <c r="I623" s="3">
        <v>0</v>
      </c>
      <c r="J623" s="3" t="s">
        <v>18</v>
      </c>
      <c r="K623" s="5">
        <v>7.0000000000000007E-2</v>
      </c>
      <c r="L623" s="6">
        <v>0</v>
      </c>
      <c r="M623" s="7" t="s">
        <v>1525</v>
      </c>
      <c r="N623" s="8">
        <f>VLOOKUP(B623,'[1]новый без картинок'!$A$5:$F$2672,6,0)</f>
        <v>212</v>
      </c>
    </row>
    <row r="624" spans="1:14" ht="151.15" customHeight="1" x14ac:dyDescent="0.2">
      <c r="A624" s="3">
        <v>622</v>
      </c>
      <c r="B624" s="3">
        <v>972027</v>
      </c>
      <c r="C624" s="4" t="str">
        <f>HYPERLINK("http://optservis.net:5080/photo?tov_code_internet=972027","Увеличить")</f>
        <v>Увеличить</v>
      </c>
      <c r="D624" s="3" t="s">
        <v>1557</v>
      </c>
      <c r="E624" s="3"/>
      <c r="F624" s="3" t="s">
        <v>1550</v>
      </c>
      <c r="G624" s="3" t="s">
        <v>430</v>
      </c>
      <c r="H624" s="3">
        <v>0.5</v>
      </c>
      <c r="I624" s="3">
        <v>0</v>
      </c>
      <c r="J624" s="3" t="s">
        <v>18</v>
      </c>
      <c r="K624" s="5">
        <v>0.06</v>
      </c>
      <c r="L624" s="6">
        <v>0</v>
      </c>
      <c r="M624" s="7" t="s">
        <v>1525</v>
      </c>
      <c r="N624" s="8">
        <f>VLOOKUP(B624,'[1]новый без картинок'!$A$5:$F$2672,6,0)</f>
        <v>212</v>
      </c>
    </row>
    <row r="625" spans="1:14" ht="151.15" customHeight="1" x14ac:dyDescent="0.2">
      <c r="A625" s="3">
        <v>623</v>
      </c>
      <c r="B625" s="3">
        <v>1626</v>
      </c>
      <c r="C625" s="4" t="str">
        <f>HYPERLINK("http://optservis.net:5080/photo?tov_code_internet=1626","Увеличить")</f>
        <v>Увеличить</v>
      </c>
      <c r="D625" s="3" t="s">
        <v>1557</v>
      </c>
      <c r="E625" s="3"/>
      <c r="F625" s="3" t="s">
        <v>1547</v>
      </c>
      <c r="G625" s="3" t="s">
        <v>430</v>
      </c>
      <c r="H625" s="3">
        <v>0.5</v>
      </c>
      <c r="I625" s="3">
        <v>0</v>
      </c>
      <c r="J625" s="3" t="s">
        <v>18</v>
      </c>
      <c r="K625" s="5">
        <v>0.06</v>
      </c>
      <c r="L625" s="6">
        <v>0</v>
      </c>
      <c r="M625" s="7" t="s">
        <v>1525</v>
      </c>
      <c r="N625" s="8">
        <f>VLOOKUP(B625,'[1]новый без картинок'!$A$5:$F$2672,6,0)</f>
        <v>212</v>
      </c>
    </row>
    <row r="626" spans="1:14" ht="151.15" customHeight="1" x14ac:dyDescent="0.2">
      <c r="A626" s="3">
        <v>624</v>
      </c>
      <c r="B626" s="3">
        <v>163687</v>
      </c>
      <c r="C626" s="4" t="str">
        <f>HYPERLINK("http://optservis.net:5080/photo?tov_code_internet=163687","Увеличить")</f>
        <v>Увеличить</v>
      </c>
      <c r="D626" s="3" t="s">
        <v>1559</v>
      </c>
      <c r="E626" s="3" t="s">
        <v>1560</v>
      </c>
      <c r="F626" s="3" t="s">
        <v>1561</v>
      </c>
      <c r="G626" s="3" t="s">
        <v>1479</v>
      </c>
      <c r="H626" s="3">
        <v>0.5</v>
      </c>
      <c r="I626" s="3">
        <v>0</v>
      </c>
      <c r="J626" s="3" t="s">
        <v>18</v>
      </c>
      <c r="K626" s="5">
        <v>0.02</v>
      </c>
      <c r="L626" s="6">
        <v>4690654012991</v>
      </c>
      <c r="M626" s="7" t="s">
        <v>1562</v>
      </c>
      <c r="N626" s="8">
        <f>VLOOKUP(B626,'[1]новый без картинок'!$A$5:$F$2672,6,0)</f>
        <v>321</v>
      </c>
    </row>
    <row r="627" spans="1:14" ht="151.15" customHeight="1" x14ac:dyDescent="0.2">
      <c r="A627" s="3">
        <v>625</v>
      </c>
      <c r="B627" s="3">
        <v>163946</v>
      </c>
      <c r="C627" s="4" t="str">
        <f>HYPERLINK("http://optservis.net:5080/photo?tov_code_internet=163946","Увеличить")</f>
        <v>Увеличить</v>
      </c>
      <c r="D627" s="3" t="s">
        <v>1563</v>
      </c>
      <c r="E627" s="3"/>
      <c r="F627" s="3" t="s">
        <v>1550</v>
      </c>
      <c r="G627" s="3" t="s">
        <v>430</v>
      </c>
      <c r="H627" s="3">
        <v>0.5</v>
      </c>
      <c r="I627" s="3">
        <v>0</v>
      </c>
      <c r="J627" s="3" t="s">
        <v>18</v>
      </c>
      <c r="K627" s="5">
        <v>0.06</v>
      </c>
      <c r="L627" s="6">
        <v>0</v>
      </c>
      <c r="M627" s="7" t="s">
        <v>1564</v>
      </c>
      <c r="N627" s="8">
        <f>VLOOKUP(B627,'[1]новый без картинок'!$A$5:$F$2672,6,0)</f>
        <v>189</v>
      </c>
    </row>
    <row r="628" spans="1:14" ht="151.15" customHeight="1" x14ac:dyDescent="0.2">
      <c r="A628" s="3">
        <v>626</v>
      </c>
      <c r="B628" s="3">
        <v>194030</v>
      </c>
      <c r="C628" s="4" t="str">
        <f>HYPERLINK("http://optservis.net:5080/photo?tov_code_internet=194030","Увеличить")</f>
        <v>Увеличить</v>
      </c>
      <c r="D628" s="3" t="s">
        <v>1565</v>
      </c>
      <c r="E628" s="3"/>
      <c r="F628" s="3" t="s">
        <v>1566</v>
      </c>
      <c r="G628" s="3" t="s">
        <v>430</v>
      </c>
      <c r="H628" s="3">
        <v>0.5</v>
      </c>
      <c r="I628" s="3">
        <v>0</v>
      </c>
      <c r="J628" s="3" t="s">
        <v>18</v>
      </c>
      <c r="K628" s="5">
        <v>0.06</v>
      </c>
      <c r="L628" s="6">
        <v>0</v>
      </c>
      <c r="M628" s="7" t="s">
        <v>1505</v>
      </c>
      <c r="N628" s="8">
        <f>VLOOKUP(B628,'[1]новый без картинок'!$A$5:$F$2672,6,0)</f>
        <v>216</v>
      </c>
    </row>
    <row r="629" spans="1:14" ht="151.15" customHeight="1" x14ac:dyDescent="0.2">
      <c r="A629" s="3">
        <v>627</v>
      </c>
      <c r="B629" s="3">
        <v>168733</v>
      </c>
      <c r="C629" s="4" t="str">
        <f>HYPERLINK("http://optservis.net:5080/photo?tov_code_internet=168733","Увеличить")</f>
        <v>Увеличить</v>
      </c>
      <c r="D629" s="3" t="s">
        <v>1567</v>
      </c>
      <c r="E629" s="3"/>
      <c r="F629" s="3" t="s">
        <v>1568</v>
      </c>
      <c r="G629" s="3" t="s">
        <v>1479</v>
      </c>
      <c r="H629" s="3">
        <v>0.5</v>
      </c>
      <c r="I629" s="3">
        <v>0</v>
      </c>
      <c r="J629" s="3" t="s">
        <v>18</v>
      </c>
      <c r="K629" s="5">
        <v>0.03</v>
      </c>
      <c r="L629" s="6">
        <v>0</v>
      </c>
      <c r="M629" s="7" t="s">
        <v>1569</v>
      </c>
      <c r="N629" s="8">
        <f>VLOOKUP(B629,'[1]новый без картинок'!$A$5:$F$2672,6,0)</f>
        <v>324</v>
      </c>
    </row>
    <row r="630" spans="1:14" ht="151.15" customHeight="1" x14ac:dyDescent="0.2">
      <c r="A630" s="3">
        <v>628</v>
      </c>
      <c r="B630" s="3">
        <v>199590</v>
      </c>
      <c r="C630" s="4" t="str">
        <f>HYPERLINK("http://optservis.net:5080/photo?tov_code_internet=199590","Увеличить")</f>
        <v>Увеличить</v>
      </c>
      <c r="D630" s="3" t="s">
        <v>1570</v>
      </c>
      <c r="E630" s="3"/>
      <c r="F630" s="3" t="s">
        <v>1571</v>
      </c>
      <c r="G630" s="3" t="s">
        <v>430</v>
      </c>
      <c r="H630" s="3">
        <v>0.5</v>
      </c>
      <c r="I630" s="3">
        <v>0</v>
      </c>
      <c r="J630" s="3" t="s">
        <v>18</v>
      </c>
      <c r="K630" s="5">
        <v>0.05</v>
      </c>
      <c r="L630" s="6">
        <v>0</v>
      </c>
      <c r="M630" s="7" t="s">
        <v>1572</v>
      </c>
      <c r="N630" s="8">
        <f>VLOOKUP(B630,'[1]новый без картинок'!$A$5:$F$2672,6,0)</f>
        <v>247</v>
      </c>
    </row>
    <row r="631" spans="1:14" ht="151.15" customHeight="1" x14ac:dyDescent="0.2">
      <c r="A631" s="3">
        <v>629</v>
      </c>
      <c r="B631" s="3">
        <v>199591</v>
      </c>
      <c r="C631" s="4" t="str">
        <f>HYPERLINK("http://optservis.net:5080/photo?tov_code_internet=199591","Увеличить")</f>
        <v>Увеличить</v>
      </c>
      <c r="D631" s="3" t="s">
        <v>1573</v>
      </c>
      <c r="E631" s="3"/>
      <c r="F631" s="3" t="s">
        <v>1574</v>
      </c>
      <c r="G631" s="3" t="s">
        <v>430</v>
      </c>
      <c r="H631" s="3">
        <v>0.5</v>
      </c>
      <c r="I631" s="3">
        <v>0</v>
      </c>
      <c r="J631" s="3" t="s">
        <v>18</v>
      </c>
      <c r="K631" s="5">
        <v>0.06</v>
      </c>
      <c r="L631" s="6">
        <v>0</v>
      </c>
      <c r="M631" s="7" t="s">
        <v>1572</v>
      </c>
      <c r="N631" s="8">
        <f>VLOOKUP(B631,'[1]новый без картинок'!$A$5:$F$2672,6,0)</f>
        <v>316</v>
      </c>
    </row>
    <row r="632" spans="1:14" ht="151.15" customHeight="1" x14ac:dyDescent="0.2">
      <c r="A632" s="3">
        <v>630</v>
      </c>
      <c r="B632" s="3">
        <v>199589</v>
      </c>
      <c r="C632" s="4" t="str">
        <f>HYPERLINK("http://optservis.net:5080/photo?tov_code_internet=199589","Увеличить")</f>
        <v>Увеличить</v>
      </c>
      <c r="D632" s="3" t="s">
        <v>1575</v>
      </c>
      <c r="E632" s="3"/>
      <c r="F632" s="3" t="s">
        <v>1571</v>
      </c>
      <c r="G632" s="3" t="s">
        <v>430</v>
      </c>
      <c r="H632" s="3">
        <v>0.5</v>
      </c>
      <c r="I632" s="3">
        <v>0</v>
      </c>
      <c r="J632" s="3" t="s">
        <v>18</v>
      </c>
      <c r="K632" s="5">
        <v>0.05</v>
      </c>
      <c r="L632" s="6">
        <v>0</v>
      </c>
      <c r="M632" s="7" t="s">
        <v>1572</v>
      </c>
      <c r="N632" s="8">
        <f>VLOOKUP(B632,'[1]новый без картинок'!$A$5:$F$2672,6,0)</f>
        <v>300</v>
      </c>
    </row>
    <row r="633" spans="1:14" ht="151.15" customHeight="1" x14ac:dyDescent="0.2">
      <c r="A633" s="3">
        <v>631</v>
      </c>
      <c r="B633" s="3">
        <v>199595</v>
      </c>
      <c r="C633" s="4" t="str">
        <f>HYPERLINK("http://optservis.net:5080/photo?tov_code_internet=199595","Увеличить")</f>
        <v>Увеличить</v>
      </c>
      <c r="D633" s="3" t="s">
        <v>1576</v>
      </c>
      <c r="E633" s="3"/>
      <c r="F633" s="3" t="s">
        <v>1574</v>
      </c>
      <c r="G633" s="3" t="s">
        <v>430</v>
      </c>
      <c r="H633" s="3">
        <v>0.5</v>
      </c>
      <c r="I633" s="3">
        <v>0</v>
      </c>
      <c r="J633" s="3" t="s">
        <v>18</v>
      </c>
      <c r="K633" s="5">
        <v>0.06</v>
      </c>
      <c r="L633" s="6">
        <v>0</v>
      </c>
      <c r="M633" s="7" t="s">
        <v>1577</v>
      </c>
      <c r="N633" s="8">
        <f>VLOOKUP(B633,'[1]новый без картинок'!$A$5:$F$2672,6,0)</f>
        <v>267</v>
      </c>
    </row>
    <row r="634" spans="1:14" ht="151.15" customHeight="1" x14ac:dyDescent="0.2">
      <c r="A634" s="3">
        <v>632</v>
      </c>
      <c r="B634" s="3">
        <v>199593</v>
      </c>
      <c r="C634" s="4" t="str">
        <f>HYPERLINK("http://optservis.net:5080/photo?tov_code_internet=199593","Увеличить")</f>
        <v>Увеличить</v>
      </c>
      <c r="D634" s="3" t="s">
        <v>1578</v>
      </c>
      <c r="E634" s="3"/>
      <c r="F634" s="3" t="s">
        <v>1574</v>
      </c>
      <c r="G634" s="3" t="s">
        <v>430</v>
      </c>
      <c r="H634" s="3">
        <v>0.5</v>
      </c>
      <c r="I634" s="3">
        <v>0</v>
      </c>
      <c r="J634" s="3" t="s">
        <v>18</v>
      </c>
      <c r="K634" s="5">
        <v>0.06</v>
      </c>
      <c r="L634" s="6">
        <v>0</v>
      </c>
      <c r="M634" s="7" t="s">
        <v>1572</v>
      </c>
      <c r="N634" s="8">
        <f>VLOOKUP(B634,'[1]новый без картинок'!$A$5:$F$2672,6,0)</f>
        <v>244</v>
      </c>
    </row>
    <row r="635" spans="1:14" ht="151.15" customHeight="1" x14ac:dyDescent="0.2">
      <c r="A635" s="3">
        <v>633</v>
      </c>
      <c r="B635" s="3">
        <v>199596</v>
      </c>
      <c r="C635" s="4" t="str">
        <f>HYPERLINK("http://optservis.net:5080/photo?tov_code_internet=199596","Увеличить")</f>
        <v>Увеличить</v>
      </c>
      <c r="D635" s="3" t="s">
        <v>1579</v>
      </c>
      <c r="E635" s="3"/>
      <c r="F635" s="3" t="s">
        <v>1571</v>
      </c>
      <c r="G635" s="3" t="s">
        <v>430</v>
      </c>
      <c r="H635" s="3">
        <v>0.5</v>
      </c>
      <c r="I635" s="3">
        <v>0</v>
      </c>
      <c r="J635" s="3" t="s">
        <v>18</v>
      </c>
      <c r="K635" s="5">
        <v>0.04</v>
      </c>
      <c r="L635" s="6">
        <v>0</v>
      </c>
      <c r="M635" s="7" t="s">
        <v>1572</v>
      </c>
      <c r="N635" s="8">
        <f>VLOOKUP(B635,'[1]новый без картинок'!$A$5:$F$2672,6,0)</f>
        <v>247</v>
      </c>
    </row>
    <row r="636" spans="1:14" ht="151.15" customHeight="1" x14ac:dyDescent="0.2">
      <c r="A636" s="3">
        <v>634</v>
      </c>
      <c r="B636" s="3">
        <v>199597</v>
      </c>
      <c r="C636" s="4" t="str">
        <f>HYPERLINK("http://optservis.net:5080/photo?tov_code_internet=199597","Увеличить")</f>
        <v>Увеличить</v>
      </c>
      <c r="D636" s="3" t="s">
        <v>1580</v>
      </c>
      <c r="E636" s="3"/>
      <c r="F636" s="3" t="s">
        <v>1581</v>
      </c>
      <c r="G636" s="3" t="s">
        <v>1469</v>
      </c>
      <c r="H636" s="3">
        <v>0.5</v>
      </c>
      <c r="I636" s="3">
        <v>0</v>
      </c>
      <c r="J636" s="3" t="s">
        <v>18</v>
      </c>
      <c r="K636" s="5">
        <v>0.04</v>
      </c>
      <c r="L636" s="6">
        <v>0</v>
      </c>
      <c r="M636" s="7" t="s">
        <v>1582</v>
      </c>
      <c r="N636" s="8">
        <f>VLOOKUP(B636,'[1]новый без картинок'!$A$5:$F$2672,6,0)</f>
        <v>356</v>
      </c>
    </row>
    <row r="637" spans="1:14" ht="151.15" customHeight="1" x14ac:dyDescent="0.2">
      <c r="A637" s="3">
        <v>635</v>
      </c>
      <c r="B637" s="3">
        <v>199598</v>
      </c>
      <c r="C637" s="4" t="str">
        <f>HYPERLINK("http://optservis.net:5080/photo?tov_code_internet=199598","Увеличить")</f>
        <v>Увеличить</v>
      </c>
      <c r="D637" s="3" t="s">
        <v>1580</v>
      </c>
      <c r="E637" s="3"/>
      <c r="F637" s="3" t="s">
        <v>1583</v>
      </c>
      <c r="G637" s="3" t="s">
        <v>1469</v>
      </c>
      <c r="H637" s="3">
        <v>0.5</v>
      </c>
      <c r="I637" s="3">
        <v>0</v>
      </c>
      <c r="J637" s="3" t="s">
        <v>18</v>
      </c>
      <c r="K637" s="5">
        <v>0.04</v>
      </c>
      <c r="L637" s="6">
        <v>0</v>
      </c>
      <c r="M637" s="7" t="s">
        <v>1582</v>
      </c>
      <c r="N637" s="8">
        <f>VLOOKUP(B637,'[1]новый без картинок'!$A$5:$F$2672,6,0)</f>
        <v>355</v>
      </c>
    </row>
    <row r="638" spans="1:14" ht="151.15" customHeight="1" x14ac:dyDescent="0.2">
      <c r="A638" s="3">
        <v>636</v>
      </c>
      <c r="B638" s="3">
        <v>199884</v>
      </c>
      <c r="C638" s="4" t="str">
        <f>HYPERLINK("http://optservis.net:5080/photo?tov_code_internet=199884","Увеличить")</f>
        <v>Увеличить</v>
      </c>
      <c r="D638" s="3" t="s">
        <v>1584</v>
      </c>
      <c r="E638" s="3"/>
      <c r="F638" s="3" t="s">
        <v>1585</v>
      </c>
      <c r="G638" s="3" t="s">
        <v>1479</v>
      </c>
      <c r="H638" s="3">
        <v>0.5</v>
      </c>
      <c r="I638" s="3">
        <v>0</v>
      </c>
      <c r="J638" s="3" t="s">
        <v>18</v>
      </c>
      <c r="K638" s="5">
        <v>0.03</v>
      </c>
      <c r="L638" s="6">
        <v>0</v>
      </c>
      <c r="M638" s="7" t="s">
        <v>1586</v>
      </c>
      <c r="N638" s="8">
        <f>VLOOKUP(B638,'[1]новый без картинок'!$A$5:$F$2672,6,0)</f>
        <v>361</v>
      </c>
    </row>
    <row r="639" spans="1:14" ht="151.15" customHeight="1" x14ac:dyDescent="0.2">
      <c r="A639" s="3">
        <v>637</v>
      </c>
      <c r="B639" s="3">
        <v>199594</v>
      </c>
      <c r="C639" s="4" t="str">
        <f>HYPERLINK("http://optservis.net:5080/photo?tov_code_internet=199594","Увеличить")</f>
        <v>Увеличить</v>
      </c>
      <c r="D639" s="3" t="s">
        <v>1587</v>
      </c>
      <c r="E639" s="3"/>
      <c r="F639" s="3" t="s">
        <v>1588</v>
      </c>
      <c r="G639" s="3" t="s">
        <v>430</v>
      </c>
      <c r="H639" s="3">
        <v>0.5</v>
      </c>
      <c r="I639" s="3">
        <v>0</v>
      </c>
      <c r="J639" s="3" t="s">
        <v>18</v>
      </c>
      <c r="K639" s="5">
        <v>0.06</v>
      </c>
      <c r="L639" s="6">
        <v>0</v>
      </c>
      <c r="M639" s="7" t="s">
        <v>1589</v>
      </c>
      <c r="N639" s="8">
        <f>VLOOKUP(B639,'[1]новый без картинок'!$A$5:$F$2672,6,0)</f>
        <v>263</v>
      </c>
    </row>
    <row r="640" spans="1:14" ht="151.15" customHeight="1" x14ac:dyDescent="0.2">
      <c r="A640" s="3">
        <v>638</v>
      </c>
      <c r="B640" s="3">
        <v>191928</v>
      </c>
      <c r="C640" s="4" t="str">
        <f>HYPERLINK("http://optservis.net:5080/photo?tov_code_internet=191928","Увеличить")</f>
        <v>Увеличить</v>
      </c>
      <c r="D640" s="3" t="s">
        <v>1590</v>
      </c>
      <c r="E640" s="3" t="s">
        <v>1591</v>
      </c>
      <c r="F640" s="3" t="s">
        <v>1592</v>
      </c>
      <c r="G640" s="3" t="s">
        <v>430</v>
      </c>
      <c r="H640" s="3">
        <v>0.5</v>
      </c>
      <c r="I640" s="3">
        <v>0</v>
      </c>
      <c r="J640" s="3" t="s">
        <v>18</v>
      </c>
      <c r="K640" s="5">
        <v>0.05</v>
      </c>
      <c r="L640" s="6">
        <v>4690654020910</v>
      </c>
      <c r="M640" s="7" t="s">
        <v>1593</v>
      </c>
      <c r="N640" s="8">
        <f>VLOOKUP(B640,'[1]новый без картинок'!$A$5:$F$2672,6,0)</f>
        <v>216</v>
      </c>
    </row>
    <row r="641" spans="1:14" ht="151.15" customHeight="1" x14ac:dyDescent="0.2">
      <c r="A641" s="3">
        <v>639</v>
      </c>
      <c r="B641" s="3">
        <v>191929</v>
      </c>
      <c r="C641" s="4" t="str">
        <f>HYPERLINK("http://optservis.net:5080/photo?tov_code_internet=191929","Увеличить")</f>
        <v>Увеличить</v>
      </c>
      <c r="D641" s="3" t="s">
        <v>1594</v>
      </c>
      <c r="E641" s="3"/>
      <c r="F641" s="3" t="s">
        <v>1595</v>
      </c>
      <c r="G641" s="3" t="s">
        <v>430</v>
      </c>
      <c r="H641" s="3">
        <v>0.5</v>
      </c>
      <c r="I641" s="3">
        <v>0</v>
      </c>
      <c r="J641" s="3" t="s">
        <v>18</v>
      </c>
      <c r="K641" s="5">
        <v>0.06</v>
      </c>
      <c r="L641" s="6">
        <v>0</v>
      </c>
      <c r="M641" s="7" t="s">
        <v>1596</v>
      </c>
      <c r="N641" s="8">
        <f>VLOOKUP(B641,'[1]новый без картинок'!$A$5:$F$2672,6,0)</f>
        <v>272</v>
      </c>
    </row>
    <row r="642" spans="1:14" ht="151.15" customHeight="1" x14ac:dyDescent="0.2">
      <c r="A642" s="3">
        <v>640</v>
      </c>
      <c r="B642" s="3">
        <v>191930</v>
      </c>
      <c r="C642" s="4" t="str">
        <f>HYPERLINK("http://optservis.net:5080/photo?tov_code_internet=191930","Увеличить")</f>
        <v>Увеличить</v>
      </c>
      <c r="D642" s="3" t="s">
        <v>1597</v>
      </c>
      <c r="E642" s="3"/>
      <c r="F642" s="3" t="s">
        <v>1595</v>
      </c>
      <c r="G642" s="3" t="s">
        <v>430</v>
      </c>
      <c r="H642" s="3">
        <v>0.5</v>
      </c>
      <c r="I642" s="3">
        <v>0</v>
      </c>
      <c r="J642" s="3" t="s">
        <v>18</v>
      </c>
      <c r="K642" s="5">
        <v>7.0000000000000007E-2</v>
      </c>
      <c r="L642" s="6">
        <v>0</v>
      </c>
      <c r="M642" s="7" t="s">
        <v>1598</v>
      </c>
      <c r="N642" s="8">
        <f>VLOOKUP(B642,'[1]новый без картинок'!$A$5:$F$2672,6,0)</f>
        <v>300</v>
      </c>
    </row>
    <row r="643" spans="1:14" ht="151.15" customHeight="1" x14ac:dyDescent="0.2">
      <c r="A643" s="3">
        <v>641</v>
      </c>
      <c r="B643" s="3">
        <v>191931</v>
      </c>
      <c r="C643" s="4" t="str">
        <f>HYPERLINK("http://optservis.net:5080/photo?tov_code_internet=191931","Увеличить")</f>
        <v>Увеличить</v>
      </c>
      <c r="D643" s="3" t="s">
        <v>1599</v>
      </c>
      <c r="E643" s="3"/>
      <c r="F643" s="3" t="s">
        <v>1600</v>
      </c>
      <c r="G643" s="3" t="s">
        <v>430</v>
      </c>
      <c r="H643" s="3">
        <v>0.5</v>
      </c>
      <c r="I643" s="3">
        <v>0</v>
      </c>
      <c r="J643" s="3" t="s">
        <v>18</v>
      </c>
      <c r="K643" s="5">
        <v>0.05</v>
      </c>
      <c r="L643" s="6">
        <v>0</v>
      </c>
      <c r="M643" s="7" t="s">
        <v>1601</v>
      </c>
      <c r="N643" s="8">
        <f>VLOOKUP(B643,'[1]новый без картинок'!$A$5:$F$2672,6,0)</f>
        <v>263</v>
      </c>
    </row>
    <row r="644" spans="1:14" ht="151.15" customHeight="1" x14ac:dyDescent="0.2">
      <c r="A644" s="3">
        <v>642</v>
      </c>
      <c r="B644" s="3">
        <v>194032</v>
      </c>
      <c r="C644" s="4" t="str">
        <f>HYPERLINK("http://optservis.net:5080/photo?tov_code_internet=194032","Увеличить")</f>
        <v>Увеличить</v>
      </c>
      <c r="D644" s="3" t="s">
        <v>1602</v>
      </c>
      <c r="E644" s="3"/>
      <c r="F644" s="3" t="s">
        <v>1595</v>
      </c>
      <c r="G644" s="3" t="s">
        <v>430</v>
      </c>
      <c r="H644" s="3">
        <v>0.5</v>
      </c>
      <c r="I644" s="3">
        <v>0</v>
      </c>
      <c r="J644" s="3" t="s">
        <v>18</v>
      </c>
      <c r="K644" s="5">
        <v>0.06</v>
      </c>
      <c r="L644" s="6">
        <v>0</v>
      </c>
      <c r="M644" s="7" t="s">
        <v>1505</v>
      </c>
      <c r="N644" s="8">
        <f>VLOOKUP(B644,'[1]новый без картинок'!$A$5:$F$2672,6,0)</f>
        <v>211</v>
      </c>
    </row>
    <row r="645" spans="1:14" ht="151.15" customHeight="1" x14ac:dyDescent="0.2">
      <c r="A645" s="3">
        <v>643</v>
      </c>
      <c r="B645" s="3">
        <v>191926</v>
      </c>
      <c r="C645" s="4" t="str">
        <f>HYPERLINK("http://optservis.net:5080/photo?tov_code_internet=191926","Увеличить")</f>
        <v>Увеличить</v>
      </c>
      <c r="D645" s="3" t="s">
        <v>1603</v>
      </c>
      <c r="E645" s="3" t="s">
        <v>1604</v>
      </c>
      <c r="F645" s="3" t="s">
        <v>1592</v>
      </c>
      <c r="G645" s="3" t="s">
        <v>430</v>
      </c>
      <c r="H645" s="3">
        <v>0.5</v>
      </c>
      <c r="I645" s="3">
        <v>0</v>
      </c>
      <c r="J645" s="3" t="s">
        <v>18</v>
      </c>
      <c r="K645" s="5">
        <v>0.04</v>
      </c>
      <c r="L645" s="6">
        <v>4690654017446</v>
      </c>
      <c r="M645" s="7" t="s">
        <v>1593</v>
      </c>
      <c r="N645" s="8">
        <f>VLOOKUP(B645,'[1]новый без картинок'!$A$5:$F$2672,6,0)</f>
        <v>218</v>
      </c>
    </row>
    <row r="646" spans="1:14" ht="151.15" customHeight="1" x14ac:dyDescent="0.2">
      <c r="A646" s="3">
        <v>644</v>
      </c>
      <c r="B646" s="3">
        <v>191923</v>
      </c>
      <c r="C646" s="4" t="str">
        <f>HYPERLINK("http://optservis.net:5080/photo?tov_code_internet=191923","Увеличить")</f>
        <v>Увеличить</v>
      </c>
      <c r="D646" s="3" t="s">
        <v>1605</v>
      </c>
      <c r="E646" s="3"/>
      <c r="F646" s="3" t="s">
        <v>1606</v>
      </c>
      <c r="G646" s="3" t="s">
        <v>1469</v>
      </c>
      <c r="H646" s="3">
        <v>0.5</v>
      </c>
      <c r="I646" s="3">
        <v>0</v>
      </c>
      <c r="J646" s="3" t="s">
        <v>18</v>
      </c>
      <c r="K646" s="5">
        <v>0.04</v>
      </c>
      <c r="L646" s="6">
        <v>0</v>
      </c>
      <c r="M646" s="7" t="s">
        <v>1607</v>
      </c>
      <c r="N646" s="8">
        <f>VLOOKUP(B646,'[1]новый без картинок'!$A$5:$F$2672,6,0)</f>
        <v>246</v>
      </c>
    </row>
    <row r="647" spans="1:14" ht="151.15" customHeight="1" x14ac:dyDescent="0.2">
      <c r="A647" s="3">
        <v>645</v>
      </c>
      <c r="B647" s="3">
        <v>151296</v>
      </c>
      <c r="C647" s="4" t="str">
        <f>HYPERLINK("http://optservis.net:5080/photo?tov_code_internet=151296","Увеличить")</f>
        <v>Увеличить</v>
      </c>
      <c r="D647" s="3" t="s">
        <v>1605</v>
      </c>
      <c r="E647" s="3"/>
      <c r="F647" s="3" t="s">
        <v>1608</v>
      </c>
      <c r="G647" s="3" t="s">
        <v>1469</v>
      </c>
      <c r="H647" s="3">
        <v>0.5</v>
      </c>
      <c r="I647" s="3">
        <v>0</v>
      </c>
      <c r="J647" s="3" t="s">
        <v>18</v>
      </c>
      <c r="K647" s="5">
        <v>0.04</v>
      </c>
      <c r="L647" s="6">
        <v>0</v>
      </c>
      <c r="M647" s="7" t="s">
        <v>1607</v>
      </c>
      <c r="N647" s="8">
        <f>VLOOKUP(B647,'[1]новый без картинок'!$A$5:$F$2672,6,0)</f>
        <v>316</v>
      </c>
    </row>
    <row r="648" spans="1:14" ht="151.15" customHeight="1" x14ac:dyDescent="0.2">
      <c r="A648" s="3">
        <v>646</v>
      </c>
      <c r="B648" s="3">
        <v>1606</v>
      </c>
      <c r="C648" s="4" t="str">
        <f>HYPERLINK("http://optservis.net:5080/photo?tov_code_internet=1606","Увеличить")</f>
        <v>Увеличить</v>
      </c>
      <c r="D648" s="3" t="s">
        <v>1609</v>
      </c>
      <c r="E648" s="3"/>
      <c r="F648" s="3" t="s">
        <v>1595</v>
      </c>
      <c r="G648" s="3" t="s">
        <v>430</v>
      </c>
      <c r="H648" s="3">
        <v>0.5</v>
      </c>
      <c r="I648" s="3">
        <v>0</v>
      </c>
      <c r="J648" s="3" t="s">
        <v>18</v>
      </c>
      <c r="K648" s="5">
        <v>0.06</v>
      </c>
      <c r="L648" s="6">
        <v>0</v>
      </c>
      <c r="M648" s="7" t="s">
        <v>1525</v>
      </c>
      <c r="N648" s="8">
        <f>VLOOKUP(B648,'[1]новый без картинок'!$A$5:$F$2672,6,0)</f>
        <v>212</v>
      </c>
    </row>
    <row r="649" spans="1:14" ht="151.15" customHeight="1" x14ac:dyDescent="0.2">
      <c r="A649" s="3">
        <v>647</v>
      </c>
      <c r="B649" s="3">
        <v>191924</v>
      </c>
      <c r="C649" s="4" t="str">
        <f>HYPERLINK("http://optservis.net:5080/photo?tov_code_internet=191924","Увеличить")</f>
        <v>Увеличить</v>
      </c>
      <c r="D649" s="3" t="s">
        <v>1610</v>
      </c>
      <c r="E649" s="3"/>
      <c r="F649" s="3" t="s">
        <v>1611</v>
      </c>
      <c r="G649" s="3" t="s">
        <v>1479</v>
      </c>
      <c r="H649" s="3">
        <v>0.5</v>
      </c>
      <c r="I649" s="3">
        <v>0</v>
      </c>
      <c r="J649" s="3" t="s">
        <v>18</v>
      </c>
      <c r="K649" s="5">
        <v>0.02</v>
      </c>
      <c r="L649" s="6">
        <v>0</v>
      </c>
      <c r="M649" s="7" t="s">
        <v>1612</v>
      </c>
      <c r="N649" s="8">
        <f>VLOOKUP(B649,'[1]новый без картинок'!$A$5:$F$2672,6,0)</f>
        <v>319</v>
      </c>
    </row>
    <row r="650" spans="1:14" ht="151.15" customHeight="1" x14ac:dyDescent="0.2">
      <c r="A650" s="3">
        <v>648</v>
      </c>
      <c r="B650" s="3">
        <v>191925</v>
      </c>
      <c r="C650" s="4" t="str">
        <f>HYPERLINK("http://optservis.net:5080/photo?tov_code_internet=191925","Увеличить")</f>
        <v>Увеличить</v>
      </c>
      <c r="D650" s="3" t="s">
        <v>1610</v>
      </c>
      <c r="E650" s="3"/>
      <c r="F650" s="3" t="s">
        <v>1608</v>
      </c>
      <c r="G650" s="3" t="s">
        <v>1479</v>
      </c>
      <c r="H650" s="3">
        <v>0.5</v>
      </c>
      <c r="I650" s="3">
        <v>0</v>
      </c>
      <c r="J650" s="3" t="s">
        <v>18</v>
      </c>
      <c r="K650" s="5">
        <v>0.02</v>
      </c>
      <c r="L650" s="6">
        <v>0</v>
      </c>
      <c r="M650" s="7" t="s">
        <v>1612</v>
      </c>
      <c r="N650" s="8">
        <f>VLOOKUP(B650,'[1]новый без картинок'!$A$5:$F$2672,6,0)</f>
        <v>322</v>
      </c>
    </row>
    <row r="651" spans="1:14" ht="151.15" customHeight="1" x14ac:dyDescent="0.2">
      <c r="A651" s="3">
        <v>649</v>
      </c>
      <c r="B651" s="3">
        <v>155632</v>
      </c>
      <c r="C651" s="4" t="str">
        <f>HYPERLINK("http://optservis.net:5080/photo?tov_code_internet=155632","Увеличить")</f>
        <v>Увеличить</v>
      </c>
      <c r="D651" s="3" t="s">
        <v>1613</v>
      </c>
      <c r="E651" s="3" t="s">
        <v>1614</v>
      </c>
      <c r="F651" s="3" t="s">
        <v>1615</v>
      </c>
      <c r="G651" s="3" t="s">
        <v>430</v>
      </c>
      <c r="H651" s="3">
        <v>0.5</v>
      </c>
      <c r="I651" s="3">
        <v>0</v>
      </c>
      <c r="J651" s="3" t="s">
        <v>18</v>
      </c>
      <c r="K651" s="5">
        <v>0.05</v>
      </c>
      <c r="L651" s="6">
        <v>4690654016357</v>
      </c>
      <c r="M651" s="7" t="s">
        <v>1616</v>
      </c>
      <c r="N651" s="8">
        <f>VLOOKUP(B651,'[1]новый без картинок'!$A$5:$F$2672,6,0)</f>
        <v>215</v>
      </c>
    </row>
    <row r="652" spans="1:14" ht="151.15" customHeight="1" x14ac:dyDescent="0.2">
      <c r="A652" s="3">
        <v>650</v>
      </c>
      <c r="B652" s="3">
        <v>194026</v>
      </c>
      <c r="C652" s="4" t="str">
        <f>HYPERLINK("http://optservis.net:5080/photo?tov_code_internet=194026","Увеличить")</f>
        <v>Увеличить</v>
      </c>
      <c r="D652" s="3" t="s">
        <v>1617</v>
      </c>
      <c r="E652" s="3"/>
      <c r="F652" s="3" t="s">
        <v>1618</v>
      </c>
      <c r="G652" s="3" t="s">
        <v>430</v>
      </c>
      <c r="H652" s="3">
        <v>0.5</v>
      </c>
      <c r="I652" s="3">
        <v>0</v>
      </c>
      <c r="J652" s="3" t="s">
        <v>18</v>
      </c>
      <c r="K652" s="5">
        <v>0.06</v>
      </c>
      <c r="L652" s="6">
        <v>0</v>
      </c>
      <c r="M652" s="7" t="s">
        <v>1619</v>
      </c>
      <c r="N652" s="8">
        <f>VLOOKUP(B652,'[1]новый без картинок'!$A$5:$F$2672,6,0)</f>
        <v>209</v>
      </c>
    </row>
    <row r="653" spans="1:14" ht="151.15" customHeight="1" x14ac:dyDescent="0.2">
      <c r="A653" s="3">
        <v>651</v>
      </c>
      <c r="B653" s="3">
        <v>194027</v>
      </c>
      <c r="C653" s="4" t="str">
        <f>HYPERLINK("http://optservis.net:5080/photo?tov_code_internet=194027","Увеличить")</f>
        <v>Увеличить</v>
      </c>
      <c r="D653" s="3" t="s">
        <v>1617</v>
      </c>
      <c r="E653" s="3"/>
      <c r="F653" s="3" t="s">
        <v>1620</v>
      </c>
      <c r="G653" s="3" t="s">
        <v>1101</v>
      </c>
      <c r="H653" s="3">
        <v>0.5</v>
      </c>
      <c r="I653" s="3">
        <v>0</v>
      </c>
      <c r="J653" s="3" t="s">
        <v>18</v>
      </c>
      <c r="K653" s="5">
        <v>0.06</v>
      </c>
      <c r="L653" s="6">
        <v>0</v>
      </c>
      <c r="M653" s="7" t="s">
        <v>1621</v>
      </c>
      <c r="N653" s="8">
        <f>VLOOKUP(B653,'[1]новый без картинок'!$A$5:$F$2672,6,0)</f>
        <v>196</v>
      </c>
    </row>
    <row r="654" spans="1:14" ht="151.15" customHeight="1" x14ac:dyDescent="0.2">
      <c r="A654" s="3">
        <v>652</v>
      </c>
      <c r="B654" s="3">
        <v>152200</v>
      </c>
      <c r="C654" s="4" t="str">
        <f>HYPERLINK("http://optservis.net:5080/photo?tov_code_internet=152200","Увеличить")</f>
        <v>Увеличить</v>
      </c>
      <c r="D654" s="3" t="s">
        <v>1622</v>
      </c>
      <c r="E654" s="3" t="s">
        <v>1623</v>
      </c>
      <c r="F654" s="3" t="s">
        <v>1624</v>
      </c>
      <c r="G654" s="3" t="s">
        <v>1101</v>
      </c>
      <c r="H654" s="3">
        <v>0.5</v>
      </c>
      <c r="I654" s="3">
        <v>0</v>
      </c>
      <c r="J654" s="3" t="s">
        <v>18</v>
      </c>
      <c r="K654" s="5">
        <v>0.04</v>
      </c>
      <c r="L654" s="6">
        <v>4690654008741</v>
      </c>
      <c r="M654" s="7" t="s">
        <v>1625</v>
      </c>
      <c r="N654" s="8">
        <f>VLOOKUP(B654,'[1]новый без картинок'!$A$5:$F$2672,6,0)</f>
        <v>205</v>
      </c>
    </row>
    <row r="655" spans="1:14" ht="151.15" customHeight="1" x14ac:dyDescent="0.2">
      <c r="A655" s="3">
        <v>653</v>
      </c>
      <c r="B655" s="3">
        <v>152209</v>
      </c>
      <c r="C655" s="4" t="str">
        <f>HYPERLINK("http://optservis.net:5080/photo?tov_code_internet=152209","Увеличить")</f>
        <v>Увеличить</v>
      </c>
      <c r="D655" s="3" t="s">
        <v>1626</v>
      </c>
      <c r="E655" s="3" t="s">
        <v>1627</v>
      </c>
      <c r="F655" s="3" t="s">
        <v>1628</v>
      </c>
      <c r="G655" s="3" t="s">
        <v>1533</v>
      </c>
      <c r="H655" s="3">
        <v>0.5</v>
      </c>
      <c r="I655" s="3">
        <v>0</v>
      </c>
      <c r="J655" s="3" t="s">
        <v>18</v>
      </c>
      <c r="K655" s="5">
        <v>0.02</v>
      </c>
      <c r="L655" s="6">
        <v>4690654014452</v>
      </c>
      <c r="M655" s="7" t="s">
        <v>1629</v>
      </c>
      <c r="N655" s="8">
        <f>VLOOKUP(B655,'[1]новый без картинок'!$A$5:$F$2672,6,0)</f>
        <v>308</v>
      </c>
    </row>
    <row r="656" spans="1:14" ht="151.15" customHeight="1" x14ac:dyDescent="0.2">
      <c r="A656" s="3">
        <v>654</v>
      </c>
      <c r="B656" s="3">
        <v>149153</v>
      </c>
      <c r="C656" s="4" t="str">
        <f>HYPERLINK("http://optservis.net:5080/photo?tov_code_internet=149153","Увеличить")</f>
        <v>Увеличить</v>
      </c>
      <c r="D656" s="3" t="s">
        <v>1630</v>
      </c>
      <c r="E656" s="3" t="s">
        <v>1631</v>
      </c>
      <c r="F656" s="3" t="s">
        <v>1632</v>
      </c>
      <c r="G656" s="3" t="s">
        <v>373</v>
      </c>
      <c r="H656" s="3">
        <v>0.5</v>
      </c>
      <c r="I656" s="3">
        <v>0</v>
      </c>
      <c r="J656" s="3" t="s">
        <v>18</v>
      </c>
      <c r="K656" s="5">
        <v>0.04</v>
      </c>
      <c r="L656" s="6">
        <v>4690654008758</v>
      </c>
      <c r="M656" s="7" t="s">
        <v>1633</v>
      </c>
      <c r="N656" s="8">
        <f>VLOOKUP(B656,'[1]новый без картинок'!$A$5:$F$2672,6,0)</f>
        <v>153</v>
      </c>
    </row>
    <row r="657" spans="1:14" ht="151.15" customHeight="1" x14ac:dyDescent="0.2">
      <c r="A657" s="3">
        <v>655</v>
      </c>
      <c r="B657" s="3">
        <v>155819</v>
      </c>
      <c r="C657" s="4" t="str">
        <f>HYPERLINK("http://optservis.net:5080/photo?tov_code_internet=155819","Увеличить")</f>
        <v>Увеличить</v>
      </c>
      <c r="D657" s="3" t="s">
        <v>1630</v>
      </c>
      <c r="E657" s="3" t="s">
        <v>1631</v>
      </c>
      <c r="F657" s="3" t="s">
        <v>1634</v>
      </c>
      <c r="G657" s="3" t="s">
        <v>373</v>
      </c>
      <c r="H657" s="3">
        <v>0.5</v>
      </c>
      <c r="I657" s="3">
        <v>0</v>
      </c>
      <c r="J657" s="3" t="s">
        <v>18</v>
      </c>
      <c r="K657" s="5">
        <v>0.03</v>
      </c>
      <c r="L657" s="6">
        <v>4690654008420</v>
      </c>
      <c r="M657" s="7" t="s">
        <v>1633</v>
      </c>
      <c r="N657" s="8">
        <f>VLOOKUP(B657,'[1]новый без картинок'!$A$5:$F$2672,6,0)</f>
        <v>146</v>
      </c>
    </row>
    <row r="658" spans="1:14" ht="151.15" customHeight="1" x14ac:dyDescent="0.2">
      <c r="A658" s="3">
        <v>656</v>
      </c>
      <c r="B658" s="3">
        <v>168502</v>
      </c>
      <c r="C658" s="4" t="str">
        <f>HYPERLINK("http://optservis.net:5080/photo?tov_code_internet=168502","Увеличить")</f>
        <v>Увеличить</v>
      </c>
      <c r="D658" s="3" t="s">
        <v>1630</v>
      </c>
      <c r="E658" s="3" t="s">
        <v>1631</v>
      </c>
      <c r="F658" s="3" t="s">
        <v>1635</v>
      </c>
      <c r="G658" s="3" t="s">
        <v>373</v>
      </c>
      <c r="H658" s="3">
        <v>0.5</v>
      </c>
      <c r="I658" s="3">
        <v>0</v>
      </c>
      <c r="J658" s="3" t="s">
        <v>18</v>
      </c>
      <c r="K658" s="5">
        <v>0.04</v>
      </c>
      <c r="L658" s="6">
        <v>4690654011352</v>
      </c>
      <c r="M658" s="7" t="s">
        <v>1633</v>
      </c>
      <c r="N658" s="8">
        <f>VLOOKUP(B658,'[1]новый без картинок'!$A$5:$F$2672,6,0)</f>
        <v>153</v>
      </c>
    </row>
    <row r="659" spans="1:14" ht="151.15" customHeight="1" x14ac:dyDescent="0.2">
      <c r="A659" s="3">
        <v>657</v>
      </c>
      <c r="B659" s="3">
        <v>157753</v>
      </c>
      <c r="C659" s="4" t="str">
        <f>HYPERLINK("http://optservis.net:5080/photo?tov_code_internet=157753","Увеличить")</f>
        <v>Увеличить</v>
      </c>
      <c r="D659" s="3" t="s">
        <v>1636</v>
      </c>
      <c r="E659" s="3"/>
      <c r="F659" s="3" t="s">
        <v>1637</v>
      </c>
      <c r="G659" s="3" t="s">
        <v>373</v>
      </c>
      <c r="H659" s="3">
        <v>0.5</v>
      </c>
      <c r="I659" s="3">
        <v>0</v>
      </c>
      <c r="J659" s="3" t="s">
        <v>18</v>
      </c>
      <c r="K659" s="5">
        <v>0.05</v>
      </c>
      <c r="L659" s="6">
        <v>0</v>
      </c>
      <c r="M659" s="7" t="s">
        <v>1638</v>
      </c>
      <c r="N659" s="8">
        <f>VLOOKUP(B659,'[1]новый без картинок'!$A$5:$F$2672,6,0)</f>
        <v>216</v>
      </c>
    </row>
    <row r="660" spans="1:14" ht="151.15" customHeight="1" x14ac:dyDescent="0.2">
      <c r="A660" s="3">
        <v>658</v>
      </c>
      <c r="B660" s="3">
        <v>162279</v>
      </c>
      <c r="C660" s="4" t="str">
        <f>HYPERLINK("http://optservis.net:5080/photo?tov_code_internet=162279","Увеличить")</f>
        <v>Увеличить</v>
      </c>
      <c r="D660" s="3" t="s">
        <v>1639</v>
      </c>
      <c r="E660" s="3" t="s">
        <v>1640</v>
      </c>
      <c r="F660" s="3" t="s">
        <v>1641</v>
      </c>
      <c r="G660" s="3" t="s">
        <v>373</v>
      </c>
      <c r="H660" s="3">
        <v>0.5</v>
      </c>
      <c r="I660" s="3">
        <v>0</v>
      </c>
      <c r="J660" s="3" t="s">
        <v>18</v>
      </c>
      <c r="K660" s="5">
        <v>0.05</v>
      </c>
      <c r="L660" s="6">
        <v>4690654008765</v>
      </c>
      <c r="M660" s="7" t="s">
        <v>1642</v>
      </c>
      <c r="N660" s="8">
        <f>VLOOKUP(B660,'[1]новый без картинок'!$A$5:$F$2672,6,0)</f>
        <v>157</v>
      </c>
    </row>
    <row r="661" spans="1:14" ht="151.15" customHeight="1" x14ac:dyDescent="0.2">
      <c r="A661" s="3">
        <v>659</v>
      </c>
      <c r="B661" s="3">
        <v>157397</v>
      </c>
      <c r="C661" s="4" t="str">
        <f>HYPERLINK("http://optservis.net:5080/photo?tov_code_internet=157397","Увеличить")</f>
        <v>Увеличить</v>
      </c>
      <c r="D661" s="3" t="s">
        <v>1639</v>
      </c>
      <c r="E661" s="3" t="s">
        <v>1640</v>
      </c>
      <c r="F661" s="3" t="s">
        <v>1634</v>
      </c>
      <c r="G661" s="3" t="s">
        <v>373</v>
      </c>
      <c r="H661" s="3">
        <v>0.5</v>
      </c>
      <c r="I661" s="3">
        <v>0</v>
      </c>
      <c r="J661" s="3" t="s">
        <v>18</v>
      </c>
      <c r="K661" s="5">
        <v>0.04</v>
      </c>
      <c r="L661" s="6">
        <v>4690654008772</v>
      </c>
      <c r="M661" s="7" t="s">
        <v>1642</v>
      </c>
      <c r="N661" s="8">
        <f>VLOOKUP(B661,'[1]новый без картинок'!$A$5:$F$2672,6,0)</f>
        <v>152</v>
      </c>
    </row>
    <row r="662" spans="1:14" ht="151.15" customHeight="1" x14ac:dyDescent="0.2">
      <c r="A662" s="3">
        <v>660</v>
      </c>
      <c r="B662" s="3">
        <v>178704</v>
      </c>
      <c r="C662" s="4" t="str">
        <f>HYPERLINK("http://optservis.net:5080/photo?tov_code_internet=178704","Увеличить")</f>
        <v>Увеличить</v>
      </c>
      <c r="D662" s="3" t="s">
        <v>1643</v>
      </c>
      <c r="E662" s="3" t="s">
        <v>1644</v>
      </c>
      <c r="F662" s="3" t="s">
        <v>752</v>
      </c>
      <c r="G662" s="3" t="s">
        <v>373</v>
      </c>
      <c r="H662" s="3">
        <v>0.5</v>
      </c>
      <c r="I662" s="3">
        <v>0</v>
      </c>
      <c r="J662" s="3" t="s">
        <v>18</v>
      </c>
      <c r="K662" s="5">
        <v>0.06</v>
      </c>
      <c r="L662" s="6">
        <v>4690654016500</v>
      </c>
      <c r="M662" s="7" t="s">
        <v>1645</v>
      </c>
      <c r="N662" s="8">
        <f>VLOOKUP(B662,'[1]новый без картинок'!$A$5:$F$2672,6,0)</f>
        <v>239</v>
      </c>
    </row>
    <row r="663" spans="1:14" ht="151.15" customHeight="1" x14ac:dyDescent="0.2">
      <c r="A663" s="3">
        <v>661</v>
      </c>
      <c r="B663" s="3">
        <v>194022</v>
      </c>
      <c r="C663" s="4" t="str">
        <f>HYPERLINK("http://optservis.net:5080/photo?tov_code_internet=194022","Увеличить")</f>
        <v>Увеличить</v>
      </c>
      <c r="D663" s="3" t="s">
        <v>1646</v>
      </c>
      <c r="E663" s="3" t="s">
        <v>1647</v>
      </c>
      <c r="F663" s="3" t="s">
        <v>424</v>
      </c>
      <c r="G663" s="3" t="s">
        <v>373</v>
      </c>
      <c r="H663" s="3">
        <v>0.5</v>
      </c>
      <c r="I663" s="3">
        <v>0</v>
      </c>
      <c r="J663" s="3" t="s">
        <v>18</v>
      </c>
      <c r="K663" s="5">
        <v>0.05</v>
      </c>
      <c r="L663" s="6">
        <v>4690654015411</v>
      </c>
      <c r="M663" s="7" t="s">
        <v>1648</v>
      </c>
      <c r="N663" s="8">
        <f>VLOOKUP(B663,'[1]новый без картинок'!$A$5:$F$2672,6,0)</f>
        <v>148</v>
      </c>
    </row>
    <row r="664" spans="1:14" ht="151.15" customHeight="1" x14ac:dyDescent="0.2">
      <c r="A664" s="3">
        <v>662</v>
      </c>
      <c r="B664" s="3">
        <v>194024</v>
      </c>
      <c r="C664" s="4" t="str">
        <f>HYPERLINK("http://optservis.net:5080/photo?tov_code_internet=194024","Увеличить")</f>
        <v>Увеличить</v>
      </c>
      <c r="D664" s="3" t="s">
        <v>1646</v>
      </c>
      <c r="E664" s="3" t="s">
        <v>1647</v>
      </c>
      <c r="F664" s="3" t="s">
        <v>254</v>
      </c>
      <c r="G664" s="3" t="s">
        <v>373</v>
      </c>
      <c r="H664" s="3">
        <v>0.5</v>
      </c>
      <c r="I664" s="3">
        <v>0</v>
      </c>
      <c r="J664" s="3" t="s">
        <v>18</v>
      </c>
      <c r="K664" s="5">
        <v>0.04</v>
      </c>
      <c r="L664" s="6">
        <v>4690654015398</v>
      </c>
      <c r="M664" s="7" t="s">
        <v>1648</v>
      </c>
      <c r="N664" s="8">
        <f>VLOOKUP(B664,'[1]новый без картинок'!$A$5:$F$2672,6,0)</f>
        <v>148</v>
      </c>
    </row>
    <row r="665" spans="1:14" ht="151.15" customHeight="1" x14ac:dyDescent="0.2">
      <c r="A665" s="3">
        <v>663</v>
      </c>
      <c r="B665" s="3">
        <v>194025</v>
      </c>
      <c r="C665" s="4" t="str">
        <f>HYPERLINK("http://optservis.net:5080/photo?tov_code_internet=194025","Увеличить")</f>
        <v>Увеличить</v>
      </c>
      <c r="D665" s="3" t="s">
        <v>1646</v>
      </c>
      <c r="E665" s="3" t="s">
        <v>1647</v>
      </c>
      <c r="F665" s="3" t="s">
        <v>1649</v>
      </c>
      <c r="G665" s="3" t="s">
        <v>373</v>
      </c>
      <c r="H665" s="3">
        <v>0.5</v>
      </c>
      <c r="I665" s="3">
        <v>0</v>
      </c>
      <c r="J665" s="3" t="s">
        <v>18</v>
      </c>
      <c r="K665" s="5">
        <v>0.05</v>
      </c>
      <c r="L665" s="6">
        <v>4690654015381</v>
      </c>
      <c r="M665" s="7" t="s">
        <v>1648</v>
      </c>
      <c r="N665" s="8">
        <f>VLOOKUP(B665,'[1]новый без картинок'!$A$5:$F$2672,6,0)</f>
        <v>148</v>
      </c>
    </row>
    <row r="666" spans="1:14" ht="151.15" customHeight="1" x14ac:dyDescent="0.2">
      <c r="A666" s="3">
        <v>664</v>
      </c>
      <c r="B666" s="3">
        <v>194016</v>
      </c>
      <c r="C666" s="4" t="str">
        <f>HYPERLINK("http://optservis.net:5080/photo?tov_code_internet=194016","Увеличить")</f>
        <v>Увеличить</v>
      </c>
      <c r="D666" s="3" t="s">
        <v>1650</v>
      </c>
      <c r="E666" s="3"/>
      <c r="F666" s="3" t="s">
        <v>1651</v>
      </c>
      <c r="G666" s="3" t="s">
        <v>373</v>
      </c>
      <c r="H666" s="3">
        <v>0.5</v>
      </c>
      <c r="I666" s="3">
        <v>0</v>
      </c>
      <c r="J666" s="3" t="s">
        <v>18</v>
      </c>
      <c r="K666" s="5">
        <v>0.05</v>
      </c>
      <c r="L666" s="6">
        <v>0</v>
      </c>
      <c r="M666" s="7" t="s">
        <v>1652</v>
      </c>
      <c r="N666" s="8">
        <f>VLOOKUP(B666,'[1]новый без картинок'!$A$5:$F$2672,6,0)</f>
        <v>148</v>
      </c>
    </row>
    <row r="667" spans="1:14" ht="151.15" customHeight="1" x14ac:dyDescent="0.2">
      <c r="A667" s="3">
        <v>665</v>
      </c>
      <c r="B667" s="3">
        <v>194017</v>
      </c>
      <c r="C667" s="4" t="str">
        <f>HYPERLINK("http://optservis.net:5080/photo?tov_code_internet=194017","Увеличить")</f>
        <v>Увеличить</v>
      </c>
      <c r="D667" s="3" t="s">
        <v>1650</v>
      </c>
      <c r="E667" s="3"/>
      <c r="F667" s="3" t="s">
        <v>1232</v>
      </c>
      <c r="G667" s="3" t="s">
        <v>373</v>
      </c>
      <c r="H667" s="3">
        <v>0.5</v>
      </c>
      <c r="I667" s="3">
        <v>0</v>
      </c>
      <c r="J667" s="3" t="s">
        <v>18</v>
      </c>
      <c r="K667" s="5">
        <v>0.05</v>
      </c>
      <c r="L667" s="6">
        <v>0</v>
      </c>
      <c r="M667" s="7" t="s">
        <v>1648</v>
      </c>
      <c r="N667" s="8">
        <f>VLOOKUP(B667,'[1]новый без картинок'!$A$5:$F$2672,6,0)</f>
        <v>148</v>
      </c>
    </row>
    <row r="668" spans="1:14" ht="151.15" customHeight="1" x14ac:dyDescent="0.2">
      <c r="A668" s="3">
        <v>666</v>
      </c>
      <c r="B668" s="3">
        <v>194021</v>
      </c>
      <c r="C668" s="4" t="str">
        <f>HYPERLINK("http://optservis.net:5080/photo?tov_code_internet=194021","Увеличить")</f>
        <v>Увеличить</v>
      </c>
      <c r="D668" s="3" t="s">
        <v>1650</v>
      </c>
      <c r="E668" s="3"/>
      <c r="F668" s="3" t="s">
        <v>1653</v>
      </c>
      <c r="G668" s="3" t="s">
        <v>373</v>
      </c>
      <c r="H668" s="3">
        <v>0.5</v>
      </c>
      <c r="I668" s="3">
        <v>0</v>
      </c>
      <c r="J668" s="3" t="s">
        <v>18</v>
      </c>
      <c r="K668" s="5">
        <v>0.05</v>
      </c>
      <c r="L668" s="6">
        <v>0</v>
      </c>
      <c r="M668" s="7" t="s">
        <v>1654</v>
      </c>
      <c r="N668" s="8">
        <f>VLOOKUP(B668,'[1]новый без картинок'!$A$5:$F$2672,6,0)</f>
        <v>150</v>
      </c>
    </row>
    <row r="669" spans="1:14" ht="151.15" customHeight="1" x14ac:dyDescent="0.2">
      <c r="A669" s="3">
        <v>667</v>
      </c>
      <c r="B669" s="3">
        <v>194020</v>
      </c>
      <c r="C669" s="4" t="str">
        <f>HYPERLINK("http://optservis.net:5080/photo?tov_code_internet=194020","Увеличить")</f>
        <v>Увеличить</v>
      </c>
      <c r="D669" s="3" t="s">
        <v>1650</v>
      </c>
      <c r="E669" s="3" t="s">
        <v>1655</v>
      </c>
      <c r="F669" s="3" t="s">
        <v>414</v>
      </c>
      <c r="G669" s="3" t="s">
        <v>373</v>
      </c>
      <c r="H669" s="3">
        <v>0.5</v>
      </c>
      <c r="I669" s="3">
        <v>0</v>
      </c>
      <c r="J669" s="3" t="s">
        <v>18</v>
      </c>
      <c r="K669" s="5">
        <v>0.04</v>
      </c>
      <c r="L669" s="6">
        <v>4690654017491</v>
      </c>
      <c r="M669" s="7" t="s">
        <v>1648</v>
      </c>
      <c r="N669" s="8">
        <f>VLOOKUP(B669,'[1]новый без картинок'!$A$5:$F$2672,6,0)</f>
        <v>148</v>
      </c>
    </row>
    <row r="670" spans="1:14" ht="151.15" customHeight="1" x14ac:dyDescent="0.2">
      <c r="A670" s="3">
        <v>668</v>
      </c>
      <c r="B670" s="3">
        <v>194019</v>
      </c>
      <c r="C670" s="4" t="str">
        <f>HYPERLINK("http://optservis.net:5080/photo?tov_code_internet=194019","Увеличить")</f>
        <v>Увеличить</v>
      </c>
      <c r="D670" s="3" t="s">
        <v>1650</v>
      </c>
      <c r="E670" s="3" t="s">
        <v>1655</v>
      </c>
      <c r="F670" s="3" t="s">
        <v>1411</v>
      </c>
      <c r="G670" s="3" t="s">
        <v>373</v>
      </c>
      <c r="H670" s="3">
        <v>0.5</v>
      </c>
      <c r="I670" s="3">
        <v>0</v>
      </c>
      <c r="J670" s="3" t="s">
        <v>18</v>
      </c>
      <c r="K670" s="5">
        <v>0.05</v>
      </c>
      <c r="L670" s="6">
        <v>4690654020897</v>
      </c>
      <c r="M670" s="7" t="s">
        <v>1648</v>
      </c>
      <c r="N670" s="8">
        <f>VLOOKUP(B670,'[1]новый без картинок'!$A$5:$F$2672,6,0)</f>
        <v>148</v>
      </c>
    </row>
    <row r="671" spans="1:14" ht="151.15" customHeight="1" x14ac:dyDescent="0.2">
      <c r="A671" s="3">
        <v>669</v>
      </c>
      <c r="B671" s="3">
        <v>194018</v>
      </c>
      <c r="C671" s="4" t="str">
        <f>HYPERLINK("http://optservis.net:5080/photo?tov_code_internet=194018","Увеличить")</f>
        <v>Увеличить</v>
      </c>
      <c r="D671" s="3" t="s">
        <v>1650</v>
      </c>
      <c r="E671" s="3" t="s">
        <v>1655</v>
      </c>
      <c r="F671" s="3" t="s">
        <v>1656</v>
      </c>
      <c r="G671" s="3" t="s">
        <v>373</v>
      </c>
      <c r="H671" s="3">
        <v>0.5</v>
      </c>
      <c r="I671" s="3">
        <v>0</v>
      </c>
      <c r="J671" s="3" t="s">
        <v>18</v>
      </c>
      <c r="K671" s="5">
        <v>0.04</v>
      </c>
      <c r="L671" s="6">
        <v>4690654015718</v>
      </c>
      <c r="M671" s="7" t="s">
        <v>1654</v>
      </c>
      <c r="N671" s="8">
        <f>VLOOKUP(B671,'[1]новый без картинок'!$A$5:$F$2672,6,0)</f>
        <v>148</v>
      </c>
    </row>
    <row r="672" spans="1:14" ht="151.15" customHeight="1" x14ac:dyDescent="0.2">
      <c r="A672" s="3">
        <v>670</v>
      </c>
      <c r="B672" s="3">
        <v>194023</v>
      </c>
      <c r="C672" s="4" t="str">
        <f>HYPERLINK("http://optservis.net:5080/photo?tov_code_internet=194023","Увеличить")</f>
        <v>Увеличить</v>
      </c>
      <c r="D672" s="3" t="s">
        <v>1650</v>
      </c>
      <c r="E672" s="3" t="s">
        <v>1655</v>
      </c>
      <c r="F672" s="3" t="s">
        <v>1315</v>
      </c>
      <c r="G672" s="3" t="s">
        <v>373</v>
      </c>
      <c r="H672" s="3">
        <v>0.5</v>
      </c>
      <c r="I672" s="3">
        <v>0</v>
      </c>
      <c r="J672" s="3" t="s">
        <v>18</v>
      </c>
      <c r="K672" s="5">
        <v>0.05</v>
      </c>
      <c r="L672" s="6">
        <v>4690654020033</v>
      </c>
      <c r="M672" s="7" t="s">
        <v>1654</v>
      </c>
      <c r="N672" s="8">
        <f>VLOOKUP(B672,'[1]новый без картинок'!$A$5:$F$2672,6,0)</f>
        <v>148</v>
      </c>
    </row>
    <row r="673" spans="1:14" ht="151.15" customHeight="1" x14ac:dyDescent="0.2">
      <c r="A673" s="3">
        <v>671</v>
      </c>
      <c r="B673" s="3">
        <v>149137</v>
      </c>
      <c r="C673" s="4" t="str">
        <f>HYPERLINK("http://optservis.net:5080/photo?tov_code_internet=149137","Увеличить")</f>
        <v>Увеличить</v>
      </c>
      <c r="D673" s="3" t="s">
        <v>1657</v>
      </c>
      <c r="E673" s="3"/>
      <c r="F673" s="3" t="s">
        <v>1634</v>
      </c>
      <c r="G673" s="3" t="s">
        <v>373</v>
      </c>
      <c r="H673" s="3">
        <v>0.5</v>
      </c>
      <c r="I673" s="3">
        <v>0</v>
      </c>
      <c r="J673" s="3" t="s">
        <v>18</v>
      </c>
      <c r="K673" s="5">
        <v>0.05</v>
      </c>
      <c r="L673" s="6">
        <v>0</v>
      </c>
      <c r="M673" s="7" t="s">
        <v>1658</v>
      </c>
      <c r="N673" s="8">
        <f>VLOOKUP(B673,'[1]новый без картинок'!$A$5:$F$2672,6,0)</f>
        <v>130</v>
      </c>
    </row>
    <row r="674" spans="1:14" ht="151.15" customHeight="1" x14ac:dyDescent="0.2">
      <c r="A674" s="3">
        <v>672</v>
      </c>
      <c r="B674" s="3">
        <v>163877</v>
      </c>
      <c r="C674" s="4" t="str">
        <f>HYPERLINK("http://optservis.net:5080/photo?tov_code_internet=163877","Увеличить")</f>
        <v>Увеличить</v>
      </c>
      <c r="D674" s="3" t="s">
        <v>1657</v>
      </c>
      <c r="E674" s="3" t="s">
        <v>1659</v>
      </c>
      <c r="F674" s="3" t="s">
        <v>1632</v>
      </c>
      <c r="G674" s="3" t="s">
        <v>373</v>
      </c>
      <c r="H674" s="3">
        <v>0.5</v>
      </c>
      <c r="I674" s="3">
        <v>0</v>
      </c>
      <c r="J674" s="3" t="s">
        <v>18</v>
      </c>
      <c r="K674" s="5">
        <v>0.05</v>
      </c>
      <c r="L674" s="6">
        <v>4690654011567</v>
      </c>
      <c r="M674" s="7" t="s">
        <v>1660</v>
      </c>
      <c r="N674" s="8">
        <f>VLOOKUP(B674,'[1]новый без картинок'!$A$5:$F$2672,6,0)</f>
        <v>144</v>
      </c>
    </row>
    <row r="675" spans="1:14" ht="151.15" customHeight="1" x14ac:dyDescent="0.2">
      <c r="A675" s="3">
        <v>673</v>
      </c>
      <c r="B675" s="3">
        <v>197488</v>
      </c>
      <c r="C675" s="4" t="str">
        <f>HYPERLINK("http://optservis.net:5080/photo?tov_code_internet=197488","Увеличить")</f>
        <v>Увеличить</v>
      </c>
      <c r="D675" s="3" t="s">
        <v>1661</v>
      </c>
      <c r="E675" s="3" t="s">
        <v>1662</v>
      </c>
      <c r="F675" s="3" t="s">
        <v>280</v>
      </c>
      <c r="G675" s="3" t="s">
        <v>373</v>
      </c>
      <c r="H675" s="3">
        <v>0.5</v>
      </c>
      <c r="I675" s="3">
        <v>0</v>
      </c>
      <c r="J675" s="3" t="s">
        <v>18</v>
      </c>
      <c r="K675" s="5">
        <v>0.05</v>
      </c>
      <c r="L675" s="6">
        <v>4690654015732</v>
      </c>
      <c r="M675" s="7" t="s">
        <v>1663</v>
      </c>
      <c r="N675" s="8">
        <f>VLOOKUP(B675,'[1]новый без картинок'!$A$5:$F$2672,6,0)</f>
        <v>137</v>
      </c>
    </row>
    <row r="676" spans="1:14" ht="151.15" customHeight="1" x14ac:dyDescent="0.2">
      <c r="A676" s="3">
        <v>674</v>
      </c>
      <c r="B676" s="3">
        <v>149146</v>
      </c>
      <c r="C676" s="4" t="str">
        <f>HYPERLINK("http://optservis.net:5080/photo?tov_code_internet=149146","Увеличить")</f>
        <v>Увеличить</v>
      </c>
      <c r="D676" s="3" t="s">
        <v>1661</v>
      </c>
      <c r="E676" s="3" t="s">
        <v>1662</v>
      </c>
      <c r="F676" s="3" t="s">
        <v>1411</v>
      </c>
      <c r="G676" s="3" t="s">
        <v>373</v>
      </c>
      <c r="H676" s="3">
        <v>0.5</v>
      </c>
      <c r="I676" s="3">
        <v>0</v>
      </c>
      <c r="J676" s="3" t="s">
        <v>18</v>
      </c>
      <c r="K676" s="5">
        <v>0.04</v>
      </c>
      <c r="L676" s="6">
        <v>4690654007713</v>
      </c>
      <c r="M676" s="7" t="s">
        <v>1664</v>
      </c>
      <c r="N676" s="8">
        <f>VLOOKUP(B676,'[1]новый без картинок'!$A$5:$F$2672,6,0)</f>
        <v>137</v>
      </c>
    </row>
    <row r="677" spans="1:14" ht="151.15" customHeight="1" x14ac:dyDescent="0.2">
      <c r="A677" s="3">
        <v>675</v>
      </c>
      <c r="B677" s="3">
        <v>149150</v>
      </c>
      <c r="C677" s="4" t="str">
        <f>HYPERLINK("http://optservis.net:5080/photo?tov_code_internet=149150","Увеличить")</f>
        <v>Увеличить</v>
      </c>
      <c r="D677" s="3" t="s">
        <v>1661</v>
      </c>
      <c r="E677" s="3" t="s">
        <v>1662</v>
      </c>
      <c r="F677" s="3" t="s">
        <v>1665</v>
      </c>
      <c r="G677" s="3" t="s">
        <v>373</v>
      </c>
      <c r="H677" s="3">
        <v>0.5</v>
      </c>
      <c r="I677" s="3">
        <v>0</v>
      </c>
      <c r="J677" s="3" t="s">
        <v>18</v>
      </c>
      <c r="K677" s="5">
        <v>0.04</v>
      </c>
      <c r="L677" s="6">
        <v>4690654007836</v>
      </c>
      <c r="M677" s="7" t="s">
        <v>1664</v>
      </c>
      <c r="N677" s="8">
        <f>VLOOKUP(B677,'[1]новый без картинок'!$A$5:$F$2672,6,0)</f>
        <v>137</v>
      </c>
    </row>
    <row r="678" spans="1:14" ht="151.15" customHeight="1" x14ac:dyDescent="0.2">
      <c r="A678" s="3">
        <v>676</v>
      </c>
      <c r="B678" s="3">
        <v>188819</v>
      </c>
      <c r="C678" s="4" t="str">
        <f>HYPERLINK("http://optservis.net:5080/photo?tov_code_internet=188819","Увеличить")</f>
        <v>Увеличить</v>
      </c>
      <c r="D678" s="3" t="s">
        <v>1661</v>
      </c>
      <c r="E678" s="3" t="s">
        <v>1662</v>
      </c>
      <c r="F678" s="3" t="s">
        <v>1666</v>
      </c>
      <c r="G678" s="3" t="s">
        <v>373</v>
      </c>
      <c r="H678" s="3">
        <v>0.5</v>
      </c>
      <c r="I678" s="3">
        <v>0</v>
      </c>
      <c r="J678" s="3" t="s">
        <v>18</v>
      </c>
      <c r="K678" s="5">
        <v>0.04</v>
      </c>
      <c r="L678" s="6">
        <v>4690654017323</v>
      </c>
      <c r="M678" s="7" t="s">
        <v>1667</v>
      </c>
      <c r="N678" s="8">
        <f>VLOOKUP(B678,'[1]новый без картинок'!$A$5:$F$2672,6,0)</f>
        <v>144</v>
      </c>
    </row>
    <row r="679" spans="1:14" ht="151.15" customHeight="1" x14ac:dyDescent="0.2">
      <c r="A679" s="3">
        <v>677</v>
      </c>
      <c r="B679" s="3">
        <v>188818</v>
      </c>
      <c r="C679" s="4" t="str">
        <f>HYPERLINK("http://optservis.net:5080/photo?tov_code_internet=188818","Увеличить")</f>
        <v>Увеличить</v>
      </c>
      <c r="D679" s="3" t="s">
        <v>1661</v>
      </c>
      <c r="E679" s="3" t="s">
        <v>1662</v>
      </c>
      <c r="F679" s="3" t="s">
        <v>1421</v>
      </c>
      <c r="G679" s="3" t="s">
        <v>373</v>
      </c>
      <c r="H679" s="3">
        <v>0.5</v>
      </c>
      <c r="I679" s="3">
        <v>0</v>
      </c>
      <c r="J679" s="3" t="s">
        <v>18</v>
      </c>
      <c r="K679" s="5">
        <v>0.04</v>
      </c>
      <c r="L679" s="6">
        <v>4690654016494</v>
      </c>
      <c r="M679" s="7" t="s">
        <v>1667</v>
      </c>
      <c r="N679" s="8">
        <f>VLOOKUP(B679,'[1]новый без картинок'!$A$5:$F$2672,6,0)</f>
        <v>144</v>
      </c>
    </row>
    <row r="680" spans="1:14" ht="151.15" customHeight="1" x14ac:dyDescent="0.2">
      <c r="A680" s="3">
        <v>678</v>
      </c>
      <c r="B680" s="3">
        <v>168829</v>
      </c>
      <c r="C680" s="4" t="str">
        <f>HYPERLINK("http://optservis.net:5080/photo?tov_code_internet=168829","Увеличить")</f>
        <v>Увеличить</v>
      </c>
      <c r="D680" s="3" t="s">
        <v>1661</v>
      </c>
      <c r="E680" s="3" t="s">
        <v>1662</v>
      </c>
      <c r="F680" s="3" t="s">
        <v>377</v>
      </c>
      <c r="G680" s="3" t="s">
        <v>373</v>
      </c>
      <c r="H680" s="3">
        <v>0.5</v>
      </c>
      <c r="I680" s="3">
        <v>0</v>
      </c>
      <c r="J680" s="3" t="s">
        <v>18</v>
      </c>
      <c r="K680" s="5">
        <v>0.04</v>
      </c>
      <c r="L680" s="6">
        <v>4690654017347</v>
      </c>
      <c r="M680" s="7" t="s">
        <v>1664</v>
      </c>
      <c r="N680" s="8">
        <f>VLOOKUP(B680,'[1]новый без картинок'!$A$5:$F$2672,6,0)</f>
        <v>144</v>
      </c>
    </row>
    <row r="681" spans="1:14" ht="151.15" customHeight="1" x14ac:dyDescent="0.2">
      <c r="A681" s="3">
        <v>679</v>
      </c>
      <c r="B681" s="3">
        <v>202855</v>
      </c>
      <c r="C681" s="4" t="str">
        <f>HYPERLINK("http://optservis.net:5080/photo?tov_code_internet=202855","Увеличить")</f>
        <v>Увеличить</v>
      </c>
      <c r="D681" s="3" t="s">
        <v>1668</v>
      </c>
      <c r="E681" s="3"/>
      <c r="F681" s="3" t="s">
        <v>1315</v>
      </c>
      <c r="G681" s="3" t="s">
        <v>373</v>
      </c>
      <c r="H681" s="3">
        <v>0.5</v>
      </c>
      <c r="I681" s="3">
        <v>0</v>
      </c>
      <c r="J681" s="3" t="s">
        <v>18</v>
      </c>
      <c r="K681" s="5">
        <v>0.04</v>
      </c>
      <c r="L681" s="6">
        <v>0</v>
      </c>
      <c r="M681" s="7" t="s">
        <v>1669</v>
      </c>
      <c r="N681" s="8">
        <f>VLOOKUP(B681,'[1]новый без картинок'!$A$5:$F$2672,6,0)</f>
        <v>142</v>
      </c>
    </row>
    <row r="682" spans="1:14" ht="151.15" customHeight="1" x14ac:dyDescent="0.2">
      <c r="A682" s="3">
        <v>680</v>
      </c>
      <c r="B682" s="3">
        <v>202857</v>
      </c>
      <c r="C682" s="4" t="str">
        <f>HYPERLINK("http://optservis.net:5080/photo?tov_code_internet=202857","Увеличить")</f>
        <v>Увеличить</v>
      </c>
      <c r="D682" s="3" t="s">
        <v>1668</v>
      </c>
      <c r="E682" s="3" t="s">
        <v>1670</v>
      </c>
      <c r="F682" s="3" t="s">
        <v>414</v>
      </c>
      <c r="G682" s="3" t="s">
        <v>373</v>
      </c>
      <c r="H682" s="3">
        <v>0.5</v>
      </c>
      <c r="I682" s="3">
        <v>0</v>
      </c>
      <c r="J682" s="3" t="s">
        <v>18</v>
      </c>
      <c r="K682" s="5">
        <v>0.03</v>
      </c>
      <c r="L682" s="6">
        <v>4690654018009</v>
      </c>
      <c r="M682" s="7" t="s">
        <v>1669</v>
      </c>
      <c r="N682" s="8">
        <f>VLOOKUP(B682,'[1]новый без картинок'!$A$5:$F$2672,6,0)</f>
        <v>142</v>
      </c>
    </row>
    <row r="683" spans="1:14" ht="151.15" customHeight="1" x14ac:dyDescent="0.2">
      <c r="A683" s="3">
        <v>681</v>
      </c>
      <c r="B683" s="3">
        <v>202856</v>
      </c>
      <c r="C683" s="4" t="str">
        <f>HYPERLINK("http://optservis.net:5080/photo?tov_code_internet=202856","Увеличить")</f>
        <v>Увеличить</v>
      </c>
      <c r="D683" s="3" t="s">
        <v>1668</v>
      </c>
      <c r="E683" s="3" t="s">
        <v>1670</v>
      </c>
      <c r="F683" s="3" t="s">
        <v>424</v>
      </c>
      <c r="G683" s="3" t="s">
        <v>373</v>
      </c>
      <c r="H683" s="3">
        <v>0.5</v>
      </c>
      <c r="I683" s="3">
        <v>0</v>
      </c>
      <c r="J683" s="3" t="s">
        <v>18</v>
      </c>
      <c r="K683" s="5">
        <v>0.04</v>
      </c>
      <c r="L683" s="6">
        <v>4690654017149</v>
      </c>
      <c r="M683" s="7" t="s">
        <v>1669</v>
      </c>
      <c r="N683" s="8">
        <f>VLOOKUP(B683,'[1]новый без картинок'!$A$5:$F$2672,6,0)</f>
        <v>142</v>
      </c>
    </row>
    <row r="684" spans="1:14" ht="151.15" customHeight="1" x14ac:dyDescent="0.2">
      <c r="A684" s="3">
        <v>682</v>
      </c>
      <c r="B684" s="3">
        <v>202853</v>
      </c>
      <c r="C684" s="4" t="str">
        <f>HYPERLINK("http://optservis.net:5080/photo?tov_code_internet=202853","Увеличить")</f>
        <v>Увеличить</v>
      </c>
      <c r="D684" s="3" t="s">
        <v>1668</v>
      </c>
      <c r="E684" s="3" t="s">
        <v>1670</v>
      </c>
      <c r="F684" s="3" t="s">
        <v>254</v>
      </c>
      <c r="G684" s="3" t="s">
        <v>373</v>
      </c>
      <c r="H684" s="3">
        <v>0.5</v>
      </c>
      <c r="I684" s="3">
        <v>0</v>
      </c>
      <c r="J684" s="3" t="s">
        <v>18</v>
      </c>
      <c r="K684" s="5">
        <v>0.03</v>
      </c>
      <c r="L684" s="6">
        <v>4690654018931</v>
      </c>
      <c r="M684" s="7" t="s">
        <v>1669</v>
      </c>
      <c r="N684" s="8">
        <f>VLOOKUP(B684,'[1]новый без картинок'!$A$5:$F$2672,6,0)</f>
        <v>142</v>
      </c>
    </row>
    <row r="685" spans="1:14" ht="151.15" customHeight="1" x14ac:dyDescent="0.2">
      <c r="A685" s="3">
        <v>683</v>
      </c>
      <c r="B685" s="3">
        <v>202854</v>
      </c>
      <c r="C685" s="4" t="str">
        <f>HYPERLINK("http://optservis.net:5080/photo?tov_code_internet=202854","Увеличить")</f>
        <v>Увеличить</v>
      </c>
      <c r="D685" s="3" t="s">
        <v>1668</v>
      </c>
      <c r="E685" s="3" t="s">
        <v>1670</v>
      </c>
      <c r="F685" s="3" t="s">
        <v>1322</v>
      </c>
      <c r="G685" s="3" t="s">
        <v>373</v>
      </c>
      <c r="H685" s="3">
        <v>0.5</v>
      </c>
      <c r="I685" s="3">
        <v>0</v>
      </c>
      <c r="J685" s="3" t="s">
        <v>18</v>
      </c>
      <c r="K685" s="5">
        <v>0.03</v>
      </c>
      <c r="L685" s="6">
        <v>4690654018924</v>
      </c>
      <c r="M685" s="7" t="s">
        <v>1669</v>
      </c>
      <c r="N685" s="8">
        <f>VLOOKUP(B685,'[1]новый без картинок'!$A$5:$F$2672,6,0)</f>
        <v>142</v>
      </c>
    </row>
    <row r="686" spans="1:14" ht="151.15" customHeight="1" x14ac:dyDescent="0.2">
      <c r="A686" s="3">
        <v>684</v>
      </c>
      <c r="B686" s="3">
        <v>202852</v>
      </c>
      <c r="C686" s="4" t="str">
        <f>HYPERLINK("http://optservis.net:5080/photo?tov_code_internet=202852","Увеличить")</f>
        <v>Увеличить</v>
      </c>
      <c r="D686" s="3" t="s">
        <v>1668</v>
      </c>
      <c r="E686" s="3" t="s">
        <v>1670</v>
      </c>
      <c r="F686" s="3" t="s">
        <v>1671</v>
      </c>
      <c r="G686" s="3" t="s">
        <v>373</v>
      </c>
      <c r="H686" s="3">
        <v>0.5</v>
      </c>
      <c r="I686" s="3">
        <v>0</v>
      </c>
      <c r="J686" s="3" t="s">
        <v>18</v>
      </c>
      <c r="K686" s="5">
        <v>0.04</v>
      </c>
      <c r="L686" s="6">
        <v>4690654018610</v>
      </c>
      <c r="M686" s="7" t="s">
        <v>1669</v>
      </c>
      <c r="N686" s="8">
        <f>VLOOKUP(B686,'[1]новый без картинок'!$A$5:$F$2672,6,0)</f>
        <v>142</v>
      </c>
    </row>
    <row r="687" spans="1:14" ht="151.15" customHeight="1" x14ac:dyDescent="0.2">
      <c r="A687" s="3">
        <v>685</v>
      </c>
      <c r="B687" s="3">
        <v>202851</v>
      </c>
      <c r="C687" s="4" t="str">
        <f>HYPERLINK("http://optservis.net:5080/photo?tov_code_internet=202851","Увеличить")</f>
        <v>Увеличить</v>
      </c>
      <c r="D687" s="3" t="s">
        <v>1668</v>
      </c>
      <c r="E687" s="3" t="s">
        <v>1670</v>
      </c>
      <c r="F687" s="3" t="s">
        <v>752</v>
      </c>
      <c r="G687" s="3" t="s">
        <v>373</v>
      </c>
      <c r="H687" s="3">
        <v>0.5</v>
      </c>
      <c r="I687" s="3">
        <v>0</v>
      </c>
      <c r="J687" s="3" t="s">
        <v>18</v>
      </c>
      <c r="K687" s="5">
        <v>0.03</v>
      </c>
      <c r="L687" s="6">
        <v>4690654016982</v>
      </c>
      <c r="M687" s="7" t="s">
        <v>1669</v>
      </c>
      <c r="N687" s="8">
        <f>VLOOKUP(B687,'[1]новый без картинок'!$A$5:$F$2672,6,0)</f>
        <v>142</v>
      </c>
    </row>
    <row r="688" spans="1:14" ht="151.15" customHeight="1" x14ac:dyDescent="0.2">
      <c r="A688" s="3">
        <v>686</v>
      </c>
      <c r="B688" s="3">
        <v>149205</v>
      </c>
      <c r="C688" s="4" t="str">
        <f>HYPERLINK("http://optservis.net:5080/photo?tov_code_internet=149205","Увеличить")</f>
        <v>Увеличить</v>
      </c>
      <c r="D688" s="3" t="s">
        <v>1672</v>
      </c>
      <c r="E688" s="3" t="s">
        <v>1673</v>
      </c>
      <c r="F688" s="3" t="s">
        <v>1641</v>
      </c>
      <c r="G688" s="3" t="s">
        <v>373</v>
      </c>
      <c r="H688" s="3">
        <v>0.5</v>
      </c>
      <c r="I688" s="3">
        <v>0</v>
      </c>
      <c r="J688" s="3" t="s">
        <v>18</v>
      </c>
      <c r="K688" s="5">
        <v>0.03</v>
      </c>
      <c r="L688" s="6">
        <v>4690654009441</v>
      </c>
      <c r="M688" s="7" t="s">
        <v>1674</v>
      </c>
      <c r="N688" s="8">
        <f>VLOOKUP(B688,'[1]новый без картинок'!$A$5:$F$2672,6,0)</f>
        <v>157</v>
      </c>
    </row>
    <row r="689" spans="1:14" ht="151.15" customHeight="1" x14ac:dyDescent="0.2">
      <c r="A689" s="3">
        <v>687</v>
      </c>
      <c r="B689" s="3">
        <v>149159</v>
      </c>
      <c r="C689" s="4" t="str">
        <f>HYPERLINK("http://optservis.net:5080/photo?tov_code_internet=149159","Увеличить")</f>
        <v>Увеличить</v>
      </c>
      <c r="D689" s="3" t="s">
        <v>1672</v>
      </c>
      <c r="E689" s="3" t="s">
        <v>1673</v>
      </c>
      <c r="F689" s="3" t="s">
        <v>752</v>
      </c>
      <c r="G689" s="3" t="s">
        <v>373</v>
      </c>
      <c r="H689" s="3">
        <v>0.5</v>
      </c>
      <c r="I689" s="3">
        <v>0</v>
      </c>
      <c r="J689" s="3" t="s">
        <v>18</v>
      </c>
      <c r="K689" s="5">
        <v>0.03</v>
      </c>
      <c r="L689" s="6">
        <v>4690654013004</v>
      </c>
      <c r="M689" s="7" t="s">
        <v>1674</v>
      </c>
      <c r="N689" s="8">
        <f>VLOOKUP(B689,'[1]новый без картинок'!$A$5:$F$2672,6,0)</f>
        <v>147</v>
      </c>
    </row>
    <row r="690" spans="1:14" ht="151.15" customHeight="1" x14ac:dyDescent="0.2">
      <c r="A690" s="3">
        <v>688</v>
      </c>
      <c r="B690" s="3">
        <v>149254</v>
      </c>
      <c r="C690" s="4" t="str">
        <f>HYPERLINK("http://optservis.net:5080/photo?tov_code_internet=149254","Увеличить")</f>
        <v>Увеличить</v>
      </c>
      <c r="D690" s="3" t="s">
        <v>1675</v>
      </c>
      <c r="E690" s="3"/>
      <c r="F690" s="3" t="s">
        <v>1676</v>
      </c>
      <c r="G690" s="3" t="s">
        <v>1429</v>
      </c>
      <c r="H690" s="3">
        <v>0.5</v>
      </c>
      <c r="I690" s="3">
        <v>0</v>
      </c>
      <c r="J690" s="3" t="s">
        <v>18</v>
      </c>
      <c r="K690" s="5">
        <v>0.03</v>
      </c>
      <c r="L690" s="6">
        <v>0</v>
      </c>
      <c r="M690" s="7" t="s">
        <v>1677</v>
      </c>
      <c r="N690" s="8">
        <f>VLOOKUP(B690,'[1]новый без картинок'!$A$5:$F$2672,6,0)</f>
        <v>281</v>
      </c>
    </row>
    <row r="691" spans="1:14" ht="151.15" customHeight="1" x14ac:dyDescent="0.2">
      <c r="A691" s="3">
        <v>689</v>
      </c>
      <c r="B691" s="3">
        <v>149259</v>
      </c>
      <c r="C691" s="4" t="str">
        <f>HYPERLINK("http://optservis.net:5080/photo?tov_code_internet=149259","Увеличить")</f>
        <v>Увеличить</v>
      </c>
      <c r="D691" s="3" t="s">
        <v>1675</v>
      </c>
      <c r="E691" s="3"/>
      <c r="F691" s="3" t="s">
        <v>1678</v>
      </c>
      <c r="G691" s="3" t="s">
        <v>1429</v>
      </c>
      <c r="H691" s="3">
        <v>0.5</v>
      </c>
      <c r="I691" s="3">
        <v>0</v>
      </c>
      <c r="J691" s="3" t="s">
        <v>18</v>
      </c>
      <c r="K691" s="5">
        <v>0.03</v>
      </c>
      <c r="L691" s="6">
        <v>0</v>
      </c>
      <c r="M691" s="7" t="s">
        <v>1679</v>
      </c>
      <c r="N691" s="8">
        <f>VLOOKUP(B691,'[1]новый без картинок'!$A$5:$F$2672,6,0)</f>
        <v>244</v>
      </c>
    </row>
    <row r="692" spans="1:14" ht="151.15" customHeight="1" x14ac:dyDescent="0.2">
      <c r="A692" s="3">
        <v>690</v>
      </c>
      <c r="B692" s="3">
        <v>149257</v>
      </c>
      <c r="C692" s="4" t="str">
        <f>HYPERLINK("http://optservis.net:5080/photo?tov_code_internet=149257","Увеличить")</f>
        <v>Увеличить</v>
      </c>
      <c r="D692" s="3" t="s">
        <v>1675</v>
      </c>
      <c r="E692" s="3"/>
      <c r="F692" s="3" t="s">
        <v>1680</v>
      </c>
      <c r="G692" s="3" t="s">
        <v>1429</v>
      </c>
      <c r="H692" s="3">
        <v>0.5</v>
      </c>
      <c r="I692" s="3">
        <v>0</v>
      </c>
      <c r="J692" s="3" t="s">
        <v>18</v>
      </c>
      <c r="K692" s="5">
        <v>0.03</v>
      </c>
      <c r="L692" s="6">
        <v>0</v>
      </c>
      <c r="M692" s="7" t="s">
        <v>1681</v>
      </c>
      <c r="N692" s="8">
        <f>VLOOKUP(B692,'[1]новый без картинок'!$A$5:$F$2672,6,0)</f>
        <v>235</v>
      </c>
    </row>
    <row r="693" spans="1:14" ht="151.15" customHeight="1" x14ac:dyDescent="0.2">
      <c r="A693" s="3">
        <v>691</v>
      </c>
      <c r="B693" s="3">
        <v>149255</v>
      </c>
      <c r="C693" s="4" t="str">
        <f>HYPERLINK("http://optservis.net:5080/photo?tov_code_internet=149255","Увеличить")</f>
        <v>Увеличить</v>
      </c>
      <c r="D693" s="3" t="s">
        <v>1675</v>
      </c>
      <c r="E693" s="3"/>
      <c r="F693" s="3" t="s">
        <v>1682</v>
      </c>
      <c r="G693" s="3" t="s">
        <v>1429</v>
      </c>
      <c r="H693" s="3">
        <v>0.5</v>
      </c>
      <c r="I693" s="3">
        <v>0</v>
      </c>
      <c r="J693" s="3" t="s">
        <v>18</v>
      </c>
      <c r="K693" s="5">
        <v>0.03</v>
      </c>
      <c r="L693" s="6">
        <v>0</v>
      </c>
      <c r="M693" s="7" t="s">
        <v>1683</v>
      </c>
      <c r="N693" s="8">
        <f>VLOOKUP(B693,'[1]новый без картинок'!$A$5:$F$2672,6,0)</f>
        <v>285</v>
      </c>
    </row>
    <row r="694" spans="1:14" ht="151.15" customHeight="1" x14ac:dyDescent="0.2">
      <c r="A694" s="3">
        <v>692</v>
      </c>
      <c r="B694" s="3">
        <v>207541</v>
      </c>
      <c r="C694" s="4" t="str">
        <f>HYPERLINK("http://optservis.net:5080/photo?tov_code_internet=207541","Увеличить")</f>
        <v>Увеличить</v>
      </c>
      <c r="D694" s="3" t="s">
        <v>1684</v>
      </c>
      <c r="E694" s="3"/>
      <c r="F694" s="3" t="s">
        <v>837</v>
      </c>
      <c r="G694" s="3" t="s">
        <v>373</v>
      </c>
      <c r="H694" s="3">
        <v>0.5</v>
      </c>
      <c r="I694" s="3">
        <v>0</v>
      </c>
      <c r="J694" s="3" t="s">
        <v>18</v>
      </c>
      <c r="K694" s="5">
        <v>0.05</v>
      </c>
      <c r="L694" s="6">
        <v>0</v>
      </c>
      <c r="M694" s="7" t="s">
        <v>1685</v>
      </c>
      <c r="N694" s="8">
        <f>VLOOKUP(B694,'[1]новый без картинок'!$A$5:$F$2672,6,0)</f>
        <v>159</v>
      </c>
    </row>
    <row r="695" spans="1:14" ht="151.15" customHeight="1" x14ac:dyDescent="0.2">
      <c r="A695" s="3">
        <v>693</v>
      </c>
      <c r="B695" s="3">
        <v>207531</v>
      </c>
      <c r="C695" s="4" t="str">
        <f>HYPERLINK("http://optservis.net:5080/photo?tov_code_internet=207531","Увеличить")</f>
        <v>Увеличить</v>
      </c>
      <c r="D695" s="3" t="s">
        <v>1684</v>
      </c>
      <c r="E695" s="3"/>
      <c r="F695" s="3" t="s">
        <v>1411</v>
      </c>
      <c r="G695" s="3" t="s">
        <v>373</v>
      </c>
      <c r="H695" s="3">
        <v>0.5</v>
      </c>
      <c r="I695" s="3">
        <v>0</v>
      </c>
      <c r="J695" s="3" t="s">
        <v>18</v>
      </c>
      <c r="K695" s="5">
        <v>0.05</v>
      </c>
      <c r="L695" s="6">
        <v>0</v>
      </c>
      <c r="M695" s="7" t="s">
        <v>1685</v>
      </c>
      <c r="N695" s="8">
        <f>VLOOKUP(B695,'[1]новый без картинок'!$A$5:$F$2672,6,0)</f>
        <v>151</v>
      </c>
    </row>
    <row r="696" spans="1:14" ht="151.15" customHeight="1" x14ac:dyDescent="0.2">
      <c r="A696" s="3">
        <v>694</v>
      </c>
      <c r="B696" s="3">
        <v>207534</v>
      </c>
      <c r="C696" s="4" t="str">
        <f>HYPERLINK("http://optservis.net:5080/photo?tov_code_internet=207534","Увеличить")</f>
        <v>Увеличить</v>
      </c>
      <c r="D696" s="3" t="s">
        <v>1684</v>
      </c>
      <c r="E696" s="3"/>
      <c r="F696" s="3" t="s">
        <v>1686</v>
      </c>
      <c r="G696" s="3" t="s">
        <v>373</v>
      </c>
      <c r="H696" s="3">
        <v>0.5</v>
      </c>
      <c r="I696" s="3">
        <v>0</v>
      </c>
      <c r="J696" s="3" t="s">
        <v>18</v>
      </c>
      <c r="K696" s="5">
        <v>0.05</v>
      </c>
      <c r="L696" s="6">
        <v>0</v>
      </c>
      <c r="M696" s="7" t="s">
        <v>1685</v>
      </c>
      <c r="N696" s="8">
        <f>VLOOKUP(B696,'[1]новый без картинок'!$A$5:$F$2672,6,0)</f>
        <v>151</v>
      </c>
    </row>
    <row r="697" spans="1:14" ht="151.15" customHeight="1" x14ac:dyDescent="0.2">
      <c r="A697" s="3">
        <v>695</v>
      </c>
      <c r="B697" s="3">
        <v>207536</v>
      </c>
      <c r="C697" s="4" t="str">
        <f>HYPERLINK("http://optservis.net:5080/photo?tov_code_internet=207536","Увеличить")</f>
        <v>Увеличить</v>
      </c>
      <c r="D697" s="3" t="s">
        <v>1684</v>
      </c>
      <c r="E697" s="3"/>
      <c r="F697" s="3" t="s">
        <v>1687</v>
      </c>
      <c r="G697" s="3" t="s">
        <v>373</v>
      </c>
      <c r="H697" s="3">
        <v>0.5</v>
      </c>
      <c r="I697" s="3">
        <v>0</v>
      </c>
      <c r="J697" s="3" t="s">
        <v>18</v>
      </c>
      <c r="K697" s="5">
        <v>0.05</v>
      </c>
      <c r="L697" s="6">
        <v>0</v>
      </c>
      <c r="M697" s="7" t="s">
        <v>1685</v>
      </c>
      <c r="N697" s="8">
        <f>VLOOKUP(B697,'[1]новый без картинок'!$A$5:$F$2672,6,0)</f>
        <v>151</v>
      </c>
    </row>
    <row r="698" spans="1:14" ht="151.15" customHeight="1" x14ac:dyDescent="0.2">
      <c r="A698" s="3">
        <v>696</v>
      </c>
      <c r="B698" s="3">
        <v>149136</v>
      </c>
      <c r="C698" s="4" t="str">
        <f>HYPERLINK("http://optservis.net:5080/photo?tov_code_internet=149136","Увеличить")</f>
        <v>Увеличить</v>
      </c>
      <c r="D698" s="3" t="s">
        <v>1684</v>
      </c>
      <c r="E698" s="3"/>
      <c r="F698" s="3" t="s">
        <v>1634</v>
      </c>
      <c r="G698" s="3" t="s">
        <v>373</v>
      </c>
      <c r="H698" s="3">
        <v>0.5</v>
      </c>
      <c r="I698" s="3">
        <v>0</v>
      </c>
      <c r="J698" s="3" t="s">
        <v>18</v>
      </c>
      <c r="K698" s="5">
        <v>0.05</v>
      </c>
      <c r="L698" s="6">
        <v>0</v>
      </c>
      <c r="M698" s="7" t="s">
        <v>1688</v>
      </c>
      <c r="N698" s="8">
        <f>VLOOKUP(B698,'[1]новый без картинок'!$A$5:$F$2672,6,0)</f>
        <v>151</v>
      </c>
    </row>
    <row r="699" spans="1:14" ht="151.15" customHeight="1" x14ac:dyDescent="0.2">
      <c r="A699" s="3">
        <v>697</v>
      </c>
      <c r="B699" s="3">
        <v>207535</v>
      </c>
      <c r="C699" s="4" t="str">
        <f>HYPERLINK("http://optservis.net:5080/photo?tov_code_internet=207535","Увеличить")</f>
        <v>Увеличить</v>
      </c>
      <c r="D699" s="3" t="s">
        <v>1684</v>
      </c>
      <c r="E699" s="3"/>
      <c r="F699" s="3" t="s">
        <v>1689</v>
      </c>
      <c r="G699" s="3" t="s">
        <v>373</v>
      </c>
      <c r="H699" s="3">
        <v>0.5</v>
      </c>
      <c r="I699" s="3">
        <v>0</v>
      </c>
      <c r="J699" s="3" t="s">
        <v>18</v>
      </c>
      <c r="K699" s="5">
        <v>0.05</v>
      </c>
      <c r="L699" s="6">
        <v>0</v>
      </c>
      <c r="M699" s="7" t="s">
        <v>1685</v>
      </c>
      <c r="N699" s="8">
        <f>VLOOKUP(B699,'[1]новый без картинок'!$A$5:$F$2672,6,0)</f>
        <v>151</v>
      </c>
    </row>
    <row r="700" spans="1:14" ht="151.15" customHeight="1" x14ac:dyDescent="0.2">
      <c r="A700" s="3">
        <v>698</v>
      </c>
      <c r="B700" s="3">
        <v>207540</v>
      </c>
      <c r="C700" s="4" t="str">
        <f>HYPERLINK("http://optservis.net:5080/photo?tov_code_internet=207540","Увеличить")</f>
        <v>Увеличить</v>
      </c>
      <c r="D700" s="3" t="s">
        <v>1684</v>
      </c>
      <c r="E700" s="3"/>
      <c r="F700" s="3" t="s">
        <v>377</v>
      </c>
      <c r="G700" s="3" t="s">
        <v>373</v>
      </c>
      <c r="H700" s="3">
        <v>0.5</v>
      </c>
      <c r="I700" s="3">
        <v>0</v>
      </c>
      <c r="J700" s="3" t="s">
        <v>18</v>
      </c>
      <c r="K700" s="5">
        <v>0.05</v>
      </c>
      <c r="L700" s="6">
        <v>0</v>
      </c>
      <c r="M700" s="7" t="s">
        <v>1685</v>
      </c>
      <c r="N700" s="8">
        <f>VLOOKUP(B700,'[1]новый без картинок'!$A$5:$F$2672,6,0)</f>
        <v>159</v>
      </c>
    </row>
    <row r="701" spans="1:14" ht="151.15" customHeight="1" x14ac:dyDescent="0.2">
      <c r="A701" s="3">
        <v>699</v>
      </c>
      <c r="B701" s="3">
        <v>207532</v>
      </c>
      <c r="C701" s="4" t="str">
        <f>HYPERLINK("http://optservis.net:5080/photo?tov_code_internet=207532","Увеличить")</f>
        <v>Увеличить</v>
      </c>
      <c r="D701" s="3" t="s">
        <v>1684</v>
      </c>
      <c r="E701" s="3" t="s">
        <v>1690</v>
      </c>
      <c r="F701" s="3" t="s">
        <v>1691</v>
      </c>
      <c r="G701" s="3" t="s">
        <v>373</v>
      </c>
      <c r="H701" s="3">
        <v>0.5</v>
      </c>
      <c r="I701" s="3">
        <v>0</v>
      </c>
      <c r="J701" s="3" t="s">
        <v>18</v>
      </c>
      <c r="K701" s="5">
        <v>0.05</v>
      </c>
      <c r="L701" s="6">
        <v>4690654019372</v>
      </c>
      <c r="M701" s="7" t="s">
        <v>1692</v>
      </c>
      <c r="N701" s="8">
        <f>VLOOKUP(B701,'[1]новый без картинок'!$A$5:$F$2672,6,0)</f>
        <v>151</v>
      </c>
    </row>
    <row r="702" spans="1:14" ht="151.15" customHeight="1" x14ac:dyDescent="0.2">
      <c r="A702" s="3">
        <v>700</v>
      </c>
      <c r="B702" s="3">
        <v>207537</v>
      </c>
      <c r="C702" s="4" t="str">
        <f>HYPERLINK("http://optservis.net:5080/photo?tov_code_internet=207537","Увеличить")</f>
        <v>Увеличить</v>
      </c>
      <c r="D702" s="3" t="s">
        <v>1684</v>
      </c>
      <c r="E702" s="3" t="s">
        <v>1690</v>
      </c>
      <c r="F702" s="3" t="s">
        <v>1693</v>
      </c>
      <c r="G702" s="3" t="s">
        <v>373</v>
      </c>
      <c r="H702" s="3">
        <v>0.5</v>
      </c>
      <c r="I702" s="3">
        <v>0</v>
      </c>
      <c r="J702" s="3" t="s">
        <v>18</v>
      </c>
      <c r="K702" s="5">
        <v>0.05</v>
      </c>
      <c r="L702" s="6">
        <v>4690654019136</v>
      </c>
      <c r="M702" s="7" t="s">
        <v>1685</v>
      </c>
      <c r="N702" s="8">
        <f>VLOOKUP(B702,'[1]новый без картинок'!$A$5:$F$2672,6,0)</f>
        <v>151</v>
      </c>
    </row>
    <row r="703" spans="1:14" ht="151.15" customHeight="1" x14ac:dyDescent="0.2">
      <c r="A703" s="3">
        <v>701</v>
      </c>
      <c r="B703" s="3">
        <v>175202</v>
      </c>
      <c r="C703" s="4" t="str">
        <f>HYPERLINK("http://optservis.net:5080/photo?tov_code_internet=175202","Увеличить")</f>
        <v>Увеличить</v>
      </c>
      <c r="D703" s="3" t="s">
        <v>1684</v>
      </c>
      <c r="E703" s="3" t="s">
        <v>1690</v>
      </c>
      <c r="F703" s="3" t="s">
        <v>752</v>
      </c>
      <c r="G703" s="3" t="s">
        <v>373</v>
      </c>
      <c r="H703" s="3">
        <v>0.5</v>
      </c>
      <c r="I703" s="3">
        <v>0</v>
      </c>
      <c r="J703" s="3" t="s">
        <v>18</v>
      </c>
      <c r="K703" s="5">
        <v>0.05</v>
      </c>
      <c r="L703" s="6">
        <v>4690654009731</v>
      </c>
      <c r="M703" s="7" t="s">
        <v>1694</v>
      </c>
      <c r="N703" s="8">
        <f>VLOOKUP(B703,'[1]новый без картинок'!$A$5:$F$2672,6,0)</f>
        <v>151</v>
      </c>
    </row>
    <row r="704" spans="1:14" ht="151.15" customHeight="1" x14ac:dyDescent="0.2">
      <c r="A704" s="3">
        <v>702</v>
      </c>
      <c r="B704" s="3">
        <v>149222</v>
      </c>
      <c r="C704" s="4" t="str">
        <f>HYPERLINK("http://optservis.net:5080/photo?tov_code_internet=149222","Увеличить")</f>
        <v>Увеличить</v>
      </c>
      <c r="D704" s="3" t="s">
        <v>1695</v>
      </c>
      <c r="E704" s="3"/>
      <c r="F704" s="3" t="s">
        <v>1696</v>
      </c>
      <c r="G704" s="3" t="s">
        <v>1697</v>
      </c>
      <c r="H704" s="3">
        <v>0.5</v>
      </c>
      <c r="I704" s="3">
        <v>0</v>
      </c>
      <c r="J704" s="3" t="s">
        <v>18</v>
      </c>
      <c r="K704" s="5">
        <v>0.02</v>
      </c>
      <c r="L704" s="6">
        <v>0</v>
      </c>
      <c r="M704" s="7" t="s">
        <v>1698</v>
      </c>
      <c r="N704" s="8">
        <f>VLOOKUP(B704,'[1]новый без картинок'!$A$5:$F$2672,6,0)</f>
        <v>260</v>
      </c>
    </row>
    <row r="705" spans="1:14" ht="151.15" customHeight="1" x14ac:dyDescent="0.2">
      <c r="A705" s="3">
        <v>703</v>
      </c>
      <c r="B705" s="3">
        <v>149219</v>
      </c>
      <c r="C705" s="4" t="str">
        <f>HYPERLINK("http://optservis.net:5080/photo?tov_code_internet=149219","Увеличить")</f>
        <v>Увеличить</v>
      </c>
      <c r="D705" s="3" t="s">
        <v>1695</v>
      </c>
      <c r="E705" s="3"/>
      <c r="F705" s="3" t="s">
        <v>1699</v>
      </c>
      <c r="G705" s="3" t="s">
        <v>1697</v>
      </c>
      <c r="H705" s="3">
        <v>0.5</v>
      </c>
      <c r="I705" s="3">
        <v>0</v>
      </c>
      <c r="J705" s="3" t="s">
        <v>18</v>
      </c>
      <c r="K705" s="5">
        <v>0.01</v>
      </c>
      <c r="L705" s="6">
        <v>0</v>
      </c>
      <c r="M705" s="7" t="s">
        <v>1698</v>
      </c>
      <c r="N705" s="8">
        <f>VLOOKUP(B705,'[1]новый без картинок'!$A$5:$F$2672,6,0)</f>
        <v>256</v>
      </c>
    </row>
    <row r="706" spans="1:14" ht="151.15" customHeight="1" x14ac:dyDescent="0.2">
      <c r="A706" s="3">
        <v>704</v>
      </c>
      <c r="B706" s="3">
        <v>149223</v>
      </c>
      <c r="C706" s="4" t="str">
        <f>HYPERLINK("http://optservis.net:5080/photo?tov_code_internet=149223","Увеличить")</f>
        <v>Увеличить</v>
      </c>
      <c r="D706" s="3" t="s">
        <v>1700</v>
      </c>
      <c r="E706" s="3"/>
      <c r="F706" s="3" t="s">
        <v>1701</v>
      </c>
      <c r="G706" s="3" t="s">
        <v>1438</v>
      </c>
      <c r="H706" s="3">
        <v>0.5</v>
      </c>
      <c r="I706" s="3">
        <v>0</v>
      </c>
      <c r="J706" s="3" t="s">
        <v>18</v>
      </c>
      <c r="K706" s="5">
        <v>0.01</v>
      </c>
      <c r="L706" s="6">
        <v>0</v>
      </c>
      <c r="M706" s="7" t="s">
        <v>1702</v>
      </c>
      <c r="N706" s="8">
        <f>VLOOKUP(B706,'[1]новый без картинок'!$A$5:$F$2672,6,0)</f>
        <v>350</v>
      </c>
    </row>
    <row r="707" spans="1:14" ht="151.15" customHeight="1" x14ac:dyDescent="0.2">
      <c r="A707" s="3">
        <v>705</v>
      </c>
      <c r="B707" s="3">
        <v>149480</v>
      </c>
      <c r="C707" s="4" t="str">
        <f>HYPERLINK("http://optservis.net:5080/photo?tov_code_internet=149480","Увеличить")</f>
        <v>Увеличить</v>
      </c>
      <c r="D707" s="3" t="s">
        <v>1703</v>
      </c>
      <c r="E707" s="3"/>
      <c r="F707" s="3" t="s">
        <v>1704</v>
      </c>
      <c r="G707" s="3" t="s">
        <v>373</v>
      </c>
      <c r="H707" s="3">
        <v>0.5</v>
      </c>
      <c r="I707" s="3">
        <v>0</v>
      </c>
      <c r="J707" s="3" t="s">
        <v>18</v>
      </c>
      <c r="K707" s="5">
        <v>0.08</v>
      </c>
      <c r="L707" s="6">
        <v>0</v>
      </c>
      <c r="M707" s="7" t="s">
        <v>1705</v>
      </c>
      <c r="N707" s="8">
        <f>VLOOKUP(B707,'[1]новый без картинок'!$A$5:$F$2672,6,0)</f>
        <v>445</v>
      </c>
    </row>
    <row r="708" spans="1:14" ht="151.15" customHeight="1" x14ac:dyDescent="0.2">
      <c r="A708" s="3">
        <v>706</v>
      </c>
      <c r="B708" s="3">
        <v>149251</v>
      </c>
      <c r="C708" s="4" t="str">
        <f>HYPERLINK("http://optservis.net:5080/photo?tov_code_internet=149251","Увеличить")</f>
        <v>Увеличить</v>
      </c>
      <c r="D708" s="3" t="s">
        <v>1706</v>
      </c>
      <c r="E708" s="3" t="s">
        <v>1707</v>
      </c>
      <c r="F708" s="3" t="s">
        <v>1708</v>
      </c>
      <c r="G708" s="3" t="s">
        <v>373</v>
      </c>
      <c r="H708" s="3">
        <v>0.5</v>
      </c>
      <c r="I708" s="3">
        <v>0</v>
      </c>
      <c r="J708" s="3" t="s">
        <v>18</v>
      </c>
      <c r="K708" s="5">
        <v>0.05</v>
      </c>
      <c r="L708" s="6">
        <v>4690654017620</v>
      </c>
      <c r="M708" s="7" t="s">
        <v>1709</v>
      </c>
      <c r="N708" s="8">
        <f>VLOOKUP(B708,'[1]новый без картинок'!$A$5:$F$2672,6,0)</f>
        <v>127</v>
      </c>
    </row>
    <row r="709" spans="1:14" ht="151.15" customHeight="1" x14ac:dyDescent="0.2">
      <c r="A709" s="3">
        <v>707</v>
      </c>
      <c r="B709" s="3">
        <v>199211</v>
      </c>
      <c r="C709" s="4" t="str">
        <f>HYPERLINK("http://optservis.net:5080/photo?tov_code_internet=199211","Увеличить")</f>
        <v>Увеличить</v>
      </c>
      <c r="D709" s="3" t="s">
        <v>1710</v>
      </c>
      <c r="E709" s="3"/>
      <c r="F709" s="3" t="s">
        <v>1446</v>
      </c>
      <c r="G709" s="3" t="s">
        <v>373</v>
      </c>
      <c r="H709" s="3">
        <v>0.5</v>
      </c>
      <c r="I709" s="3">
        <v>0</v>
      </c>
      <c r="J709" s="3" t="s">
        <v>18</v>
      </c>
      <c r="K709" s="5">
        <v>0.05</v>
      </c>
      <c r="L709" s="6">
        <v>0</v>
      </c>
      <c r="M709" s="7" t="s">
        <v>1711</v>
      </c>
      <c r="N709" s="8">
        <f>VLOOKUP(B709,'[1]новый без картинок'!$A$5:$F$2672,6,0)</f>
        <v>161</v>
      </c>
    </row>
    <row r="710" spans="1:14" ht="151.15" customHeight="1" x14ac:dyDescent="0.2">
      <c r="A710" s="3">
        <v>708</v>
      </c>
      <c r="B710" s="3">
        <v>192094</v>
      </c>
      <c r="C710" s="4" t="str">
        <f>HYPERLINK("http://optservis.net:5080/photo?tov_code_internet=192094","Увеличить")</f>
        <v>Увеличить</v>
      </c>
      <c r="D710" s="3" t="s">
        <v>1710</v>
      </c>
      <c r="E710" s="3"/>
      <c r="F710" s="3" t="s">
        <v>424</v>
      </c>
      <c r="G710" s="3" t="s">
        <v>373</v>
      </c>
      <c r="H710" s="3">
        <v>0.5</v>
      </c>
      <c r="I710" s="3">
        <v>0</v>
      </c>
      <c r="J710" s="3" t="s">
        <v>18</v>
      </c>
      <c r="K710" s="5">
        <v>0.05</v>
      </c>
      <c r="L710" s="6">
        <v>0</v>
      </c>
      <c r="M710" s="7" t="s">
        <v>1712</v>
      </c>
      <c r="N710" s="8">
        <f>VLOOKUP(B710,'[1]новый без картинок'!$A$5:$F$2672,6,0)</f>
        <v>160</v>
      </c>
    </row>
    <row r="711" spans="1:14" ht="151.15" customHeight="1" x14ac:dyDescent="0.2">
      <c r="A711" s="3">
        <v>709</v>
      </c>
      <c r="B711" s="3">
        <v>192099</v>
      </c>
      <c r="C711" s="4" t="str">
        <f>HYPERLINK("http://optservis.net:5080/photo?tov_code_internet=192099","Увеличить")</f>
        <v>Увеличить</v>
      </c>
      <c r="D711" s="3" t="s">
        <v>1710</v>
      </c>
      <c r="E711" s="3"/>
      <c r="F711" s="3" t="s">
        <v>1322</v>
      </c>
      <c r="G711" s="3" t="s">
        <v>373</v>
      </c>
      <c r="H711" s="3">
        <v>0.5</v>
      </c>
      <c r="I711" s="3">
        <v>0</v>
      </c>
      <c r="J711" s="3" t="s">
        <v>18</v>
      </c>
      <c r="K711" s="5">
        <v>0.05</v>
      </c>
      <c r="L711" s="6">
        <v>0</v>
      </c>
      <c r="M711" s="7" t="s">
        <v>1712</v>
      </c>
      <c r="N711" s="8">
        <f>VLOOKUP(B711,'[1]новый без картинок'!$A$5:$F$2672,6,0)</f>
        <v>160</v>
      </c>
    </row>
    <row r="712" spans="1:14" ht="151.15" customHeight="1" x14ac:dyDescent="0.2">
      <c r="A712" s="3">
        <v>710</v>
      </c>
      <c r="B712" s="3">
        <v>192100</v>
      </c>
      <c r="C712" s="4" t="str">
        <f>HYPERLINK("http://optservis.net:5080/photo?tov_code_internet=192100","Увеличить")</f>
        <v>Увеличить</v>
      </c>
      <c r="D712" s="3" t="s">
        <v>1710</v>
      </c>
      <c r="E712" s="3"/>
      <c r="F712" s="3" t="s">
        <v>1671</v>
      </c>
      <c r="G712" s="3" t="s">
        <v>373</v>
      </c>
      <c r="H712" s="3">
        <v>0.5</v>
      </c>
      <c r="I712" s="3">
        <v>0</v>
      </c>
      <c r="J712" s="3" t="s">
        <v>18</v>
      </c>
      <c r="K712" s="5">
        <v>0.05</v>
      </c>
      <c r="L712" s="6">
        <v>0</v>
      </c>
      <c r="M712" s="7" t="s">
        <v>1712</v>
      </c>
      <c r="N712" s="8">
        <f>VLOOKUP(B712,'[1]новый без картинок'!$A$5:$F$2672,6,0)</f>
        <v>160</v>
      </c>
    </row>
    <row r="713" spans="1:14" ht="151.15" customHeight="1" x14ac:dyDescent="0.2">
      <c r="A713" s="3">
        <v>711</v>
      </c>
      <c r="B713" s="3">
        <v>199212</v>
      </c>
      <c r="C713" s="4" t="str">
        <f>HYPERLINK("http://optservis.net:5080/photo?tov_code_internet=199212","Увеличить")</f>
        <v>Увеличить</v>
      </c>
      <c r="D713" s="3" t="s">
        <v>1710</v>
      </c>
      <c r="E713" s="3"/>
      <c r="F713" s="3" t="s">
        <v>1449</v>
      </c>
      <c r="G713" s="3" t="s">
        <v>373</v>
      </c>
      <c r="H713" s="3">
        <v>0.5</v>
      </c>
      <c r="I713" s="3">
        <v>0</v>
      </c>
      <c r="J713" s="3" t="s">
        <v>18</v>
      </c>
      <c r="K713" s="5">
        <v>0.05</v>
      </c>
      <c r="L713" s="6">
        <v>0</v>
      </c>
      <c r="M713" s="7" t="s">
        <v>1711</v>
      </c>
      <c r="N713" s="8">
        <f>VLOOKUP(B713,'[1]новый без картинок'!$A$5:$F$2672,6,0)</f>
        <v>161</v>
      </c>
    </row>
    <row r="714" spans="1:14" ht="151.15" customHeight="1" x14ac:dyDescent="0.2">
      <c r="A714" s="3">
        <v>712</v>
      </c>
      <c r="B714" s="3">
        <v>192085</v>
      </c>
      <c r="C714" s="4" t="str">
        <f>HYPERLINK("http://optservis.net:5080/photo?tov_code_internet=192085","Увеличить")</f>
        <v>Увеличить</v>
      </c>
      <c r="D714" s="3" t="s">
        <v>1710</v>
      </c>
      <c r="E714" s="3" t="s">
        <v>1713</v>
      </c>
      <c r="F714" s="3" t="s">
        <v>414</v>
      </c>
      <c r="G714" s="3" t="s">
        <v>373</v>
      </c>
      <c r="H714" s="3">
        <v>0.5</v>
      </c>
      <c r="I714" s="3">
        <v>0</v>
      </c>
      <c r="J714" s="3" t="s">
        <v>18</v>
      </c>
      <c r="K714" s="5">
        <v>0.05</v>
      </c>
      <c r="L714" s="6">
        <v>4690654019259</v>
      </c>
      <c r="M714" s="7" t="s">
        <v>1712</v>
      </c>
      <c r="N714" s="8">
        <f>VLOOKUP(B714,'[1]новый без картинок'!$A$5:$F$2672,6,0)</f>
        <v>160</v>
      </c>
    </row>
    <row r="715" spans="1:14" ht="151.15" customHeight="1" x14ac:dyDescent="0.2">
      <c r="A715" s="3">
        <v>713</v>
      </c>
      <c r="B715" s="3">
        <v>199210</v>
      </c>
      <c r="C715" s="4" t="str">
        <f>HYPERLINK("http://optservis.net:5080/photo?tov_code_internet=199210","Увеличить")</f>
        <v>Увеличить</v>
      </c>
      <c r="D715" s="3" t="s">
        <v>1710</v>
      </c>
      <c r="E715" s="3" t="s">
        <v>1713</v>
      </c>
      <c r="F715" s="3" t="s">
        <v>1448</v>
      </c>
      <c r="G715" s="3" t="s">
        <v>373</v>
      </c>
      <c r="H715" s="3">
        <v>0.5</v>
      </c>
      <c r="I715" s="3">
        <v>0</v>
      </c>
      <c r="J715" s="3" t="s">
        <v>18</v>
      </c>
      <c r="K715" s="5">
        <v>0.05</v>
      </c>
      <c r="L715" s="6">
        <v>4690654019389</v>
      </c>
      <c r="M715" s="7" t="s">
        <v>1711</v>
      </c>
      <c r="N715" s="8">
        <f>VLOOKUP(B715,'[1]новый без картинок'!$A$5:$F$2672,6,0)</f>
        <v>161</v>
      </c>
    </row>
    <row r="716" spans="1:14" ht="151.15" customHeight="1" x14ac:dyDescent="0.2">
      <c r="A716" s="3">
        <v>714</v>
      </c>
      <c r="B716" s="3">
        <v>192090</v>
      </c>
      <c r="C716" s="4" t="str">
        <f>HYPERLINK("http://optservis.net:5080/photo?tov_code_internet=192090","Увеличить")</f>
        <v>Увеличить</v>
      </c>
      <c r="D716" s="3" t="s">
        <v>1710</v>
      </c>
      <c r="E716" s="3" t="s">
        <v>1713</v>
      </c>
      <c r="F716" s="3" t="s">
        <v>1411</v>
      </c>
      <c r="G716" s="3" t="s">
        <v>373</v>
      </c>
      <c r="H716" s="3">
        <v>0.5</v>
      </c>
      <c r="I716" s="3">
        <v>0</v>
      </c>
      <c r="J716" s="3" t="s">
        <v>18</v>
      </c>
      <c r="K716" s="5">
        <v>0.05</v>
      </c>
      <c r="L716" s="6">
        <v>4690654018627</v>
      </c>
      <c r="M716" s="7" t="s">
        <v>1712</v>
      </c>
      <c r="N716" s="8">
        <f>VLOOKUP(B716,'[1]новый без картинок'!$A$5:$F$2672,6,0)</f>
        <v>160</v>
      </c>
    </row>
    <row r="717" spans="1:14" ht="151.15" customHeight="1" x14ac:dyDescent="0.2">
      <c r="A717" s="3">
        <v>715</v>
      </c>
      <c r="B717" s="3">
        <v>192097</v>
      </c>
      <c r="C717" s="4" t="str">
        <f>HYPERLINK("http://optservis.net:5080/photo?tov_code_internet=192097","Увеличить")</f>
        <v>Увеличить</v>
      </c>
      <c r="D717" s="3" t="s">
        <v>1710</v>
      </c>
      <c r="E717" s="3" t="s">
        <v>1713</v>
      </c>
      <c r="F717" s="3" t="s">
        <v>254</v>
      </c>
      <c r="G717" s="3" t="s">
        <v>373</v>
      </c>
      <c r="H717" s="3">
        <v>0.5</v>
      </c>
      <c r="I717" s="3">
        <v>0</v>
      </c>
      <c r="J717" s="3" t="s">
        <v>18</v>
      </c>
      <c r="K717" s="5">
        <v>0.05</v>
      </c>
      <c r="L717" s="6">
        <v>4690654017651</v>
      </c>
      <c r="M717" s="7" t="s">
        <v>1712</v>
      </c>
      <c r="N717" s="8">
        <f>VLOOKUP(B717,'[1]новый без картинок'!$A$5:$F$2672,6,0)</f>
        <v>160</v>
      </c>
    </row>
    <row r="718" spans="1:14" ht="151.15" customHeight="1" x14ac:dyDescent="0.2">
      <c r="A718" s="3">
        <v>716</v>
      </c>
      <c r="B718" s="3">
        <v>192103</v>
      </c>
      <c r="C718" s="4" t="str">
        <f>HYPERLINK("http://optservis.net:5080/photo?tov_code_internet=192103","Увеличить")</f>
        <v>Увеличить</v>
      </c>
      <c r="D718" s="3" t="s">
        <v>1710</v>
      </c>
      <c r="E718" s="3" t="s">
        <v>1713</v>
      </c>
      <c r="F718" s="3" t="s">
        <v>1714</v>
      </c>
      <c r="G718" s="3" t="s">
        <v>373</v>
      </c>
      <c r="H718" s="3">
        <v>0.5</v>
      </c>
      <c r="I718" s="3">
        <v>0</v>
      </c>
      <c r="J718" s="3" t="s">
        <v>18</v>
      </c>
      <c r="K718" s="5">
        <v>0.05</v>
      </c>
      <c r="L718" s="6">
        <v>4690654015961</v>
      </c>
      <c r="M718" s="7" t="s">
        <v>1712</v>
      </c>
      <c r="N718" s="8">
        <f>VLOOKUP(B718,'[1]новый без картинок'!$A$5:$F$2672,6,0)</f>
        <v>164</v>
      </c>
    </row>
    <row r="719" spans="1:14" ht="138.6" customHeight="1" x14ac:dyDescent="0.2">
      <c r="A719" s="3">
        <v>717</v>
      </c>
      <c r="B719" s="3">
        <v>170543</v>
      </c>
      <c r="C719" s="4" t="str">
        <f>HYPERLINK("http://optservis.net:5080/photo?tov_code_internet=170543","Увеличить")</f>
        <v>Увеличить</v>
      </c>
      <c r="D719" s="3" t="s">
        <v>1715</v>
      </c>
      <c r="E719" s="3"/>
      <c r="F719" s="3" t="s">
        <v>837</v>
      </c>
      <c r="G719" s="3" t="s">
        <v>373</v>
      </c>
      <c r="H719" s="3">
        <v>0.5</v>
      </c>
      <c r="I719" s="3">
        <v>0</v>
      </c>
      <c r="J719" s="3" t="s">
        <v>18</v>
      </c>
      <c r="K719" s="5">
        <v>0.08</v>
      </c>
      <c r="L719" s="6">
        <v>0</v>
      </c>
      <c r="M719" s="7" t="s">
        <v>1716</v>
      </c>
      <c r="N719" s="8">
        <f>VLOOKUP(B719,'[1]новый без картинок'!$A$5:$F$2672,6,0)</f>
        <v>202</v>
      </c>
    </row>
    <row r="720" spans="1:14" ht="151.15" customHeight="1" x14ac:dyDescent="0.2">
      <c r="A720" s="3">
        <v>718</v>
      </c>
      <c r="B720" s="3">
        <v>149610</v>
      </c>
      <c r="C720" s="4" t="str">
        <f>HYPERLINK("http://optservis.net:5080/photo?tov_code_internet=149610","Увеличить")</f>
        <v>Увеличить</v>
      </c>
      <c r="D720" s="3" t="s">
        <v>1715</v>
      </c>
      <c r="E720" s="3"/>
      <c r="F720" s="3" t="s">
        <v>377</v>
      </c>
      <c r="G720" s="3" t="s">
        <v>373</v>
      </c>
      <c r="H720" s="3">
        <v>0.5</v>
      </c>
      <c r="I720" s="3">
        <v>0</v>
      </c>
      <c r="J720" s="3" t="s">
        <v>18</v>
      </c>
      <c r="K720" s="5">
        <v>0.08</v>
      </c>
      <c r="L720" s="6">
        <v>0</v>
      </c>
      <c r="M720" s="7" t="s">
        <v>1716</v>
      </c>
      <c r="N720" s="8">
        <f>VLOOKUP(B720,'[1]новый без картинок'!$A$5:$F$2672,6,0)</f>
        <v>202</v>
      </c>
    </row>
    <row r="721" spans="1:14" ht="151.15" customHeight="1" x14ac:dyDescent="0.2">
      <c r="A721" s="3">
        <v>719</v>
      </c>
      <c r="B721" s="3">
        <v>157565</v>
      </c>
      <c r="C721" s="4" t="str">
        <f>HYPERLINK("http://optservis.net:5080/photo?tov_code_internet=157565","Увеличить")</f>
        <v>Увеличить</v>
      </c>
      <c r="D721" s="3" t="s">
        <v>1717</v>
      </c>
      <c r="E721" s="3"/>
      <c r="F721" s="3" t="s">
        <v>1502</v>
      </c>
      <c r="G721" s="3" t="s">
        <v>430</v>
      </c>
      <c r="H721" s="3">
        <v>0.5</v>
      </c>
      <c r="I721" s="3">
        <v>0</v>
      </c>
      <c r="J721" s="3" t="s">
        <v>18</v>
      </c>
      <c r="K721" s="5">
        <v>0.06</v>
      </c>
      <c r="L721" s="6">
        <v>0</v>
      </c>
      <c r="M721" s="7" t="s">
        <v>1718</v>
      </c>
      <c r="N721" s="8">
        <f>VLOOKUP(B721,'[1]новый без картинок'!$A$5:$F$2672,6,0)</f>
        <v>277</v>
      </c>
    </row>
    <row r="722" spans="1:14" ht="151.15" customHeight="1" x14ac:dyDescent="0.2">
      <c r="A722" s="3">
        <v>720</v>
      </c>
      <c r="B722" s="3">
        <v>151998</v>
      </c>
      <c r="C722" s="4" t="str">
        <f>HYPERLINK("http://optservis.net:5080/photo?tov_code_internet=151998","Увеличить")</f>
        <v>Увеличить</v>
      </c>
      <c r="D722" s="3" t="s">
        <v>1719</v>
      </c>
      <c r="E722" s="3"/>
      <c r="F722" s="3" t="s">
        <v>1475</v>
      </c>
      <c r="G722" s="3" t="s">
        <v>1101</v>
      </c>
      <c r="H722" s="3">
        <v>0.5</v>
      </c>
      <c r="I722" s="3">
        <v>0</v>
      </c>
      <c r="J722" s="3" t="s">
        <v>18</v>
      </c>
      <c r="K722" s="5">
        <v>0.06</v>
      </c>
      <c r="L722" s="6">
        <v>0</v>
      </c>
      <c r="M722" s="7" t="s">
        <v>1720</v>
      </c>
      <c r="N722" s="8">
        <f>VLOOKUP(B722,'[1]новый без картинок'!$A$5:$F$2672,6,0)</f>
        <v>189</v>
      </c>
    </row>
    <row r="723" spans="1:14" ht="151.15" customHeight="1" x14ac:dyDescent="0.2">
      <c r="A723" s="3">
        <v>721</v>
      </c>
      <c r="B723" s="3">
        <v>151584</v>
      </c>
      <c r="C723" s="4" t="str">
        <f>HYPERLINK("http://optservis.net:5080/photo?tov_code_internet=151584","Увеличить")</f>
        <v>Увеличить</v>
      </c>
      <c r="D723" s="3" t="s">
        <v>1721</v>
      </c>
      <c r="E723" s="3" t="s">
        <v>1722</v>
      </c>
      <c r="F723" s="3" t="s">
        <v>1524</v>
      </c>
      <c r="G723" s="3" t="s">
        <v>430</v>
      </c>
      <c r="H723" s="3">
        <v>0.5</v>
      </c>
      <c r="I723" s="3">
        <v>0</v>
      </c>
      <c r="J723" s="3" t="s">
        <v>18</v>
      </c>
      <c r="K723" s="5">
        <v>0.05</v>
      </c>
      <c r="L723" s="6">
        <v>4690654006587</v>
      </c>
      <c r="M723" s="7" t="s">
        <v>1723</v>
      </c>
      <c r="N723" s="8">
        <f>VLOOKUP(B723,'[1]новый без картинок'!$A$5:$F$2672,6,0)</f>
        <v>203</v>
      </c>
    </row>
    <row r="724" spans="1:14" ht="138.6" customHeight="1" x14ac:dyDescent="0.2">
      <c r="A724" s="3">
        <v>722</v>
      </c>
      <c r="B724" s="3">
        <v>151310</v>
      </c>
      <c r="C724" s="4" t="str">
        <f>HYPERLINK("http://optservis.net:5080/photo?tov_code_internet=151310","Увеличить")</f>
        <v>Увеличить</v>
      </c>
      <c r="D724" s="3" t="s">
        <v>1721</v>
      </c>
      <c r="E724" s="3" t="s">
        <v>1722</v>
      </c>
      <c r="F724" s="3" t="s">
        <v>1502</v>
      </c>
      <c r="G724" s="3" t="s">
        <v>430</v>
      </c>
      <c r="H724" s="3">
        <v>0.5</v>
      </c>
      <c r="I724" s="3">
        <v>0</v>
      </c>
      <c r="J724" s="3" t="s">
        <v>18</v>
      </c>
      <c r="K724" s="5">
        <v>0.05</v>
      </c>
      <c r="L724" s="6">
        <v>4690654010041</v>
      </c>
      <c r="M724" s="7" t="s">
        <v>1724</v>
      </c>
      <c r="N724" s="8">
        <f>VLOOKUP(B724,'[1]новый без картинок'!$A$5:$F$2672,6,0)</f>
        <v>203</v>
      </c>
    </row>
    <row r="725" spans="1:14" ht="151.15" customHeight="1" x14ac:dyDescent="0.2">
      <c r="A725" s="3">
        <v>723</v>
      </c>
      <c r="B725" s="3">
        <v>151817</v>
      </c>
      <c r="C725" s="4" t="str">
        <f>HYPERLINK("http://optservis.net:5080/photo?tov_code_internet=151817","Увеличить")</f>
        <v>Увеличить</v>
      </c>
      <c r="D725" s="3" t="s">
        <v>1721</v>
      </c>
      <c r="E725" s="3" t="s">
        <v>1722</v>
      </c>
      <c r="F725" s="3" t="s">
        <v>1475</v>
      </c>
      <c r="G725" s="3" t="s">
        <v>1101</v>
      </c>
      <c r="H725" s="3">
        <v>0.5</v>
      </c>
      <c r="I725" s="3">
        <v>0</v>
      </c>
      <c r="J725" s="3" t="s">
        <v>18</v>
      </c>
      <c r="K725" s="5">
        <v>0.05</v>
      </c>
      <c r="L725" s="6">
        <v>4690654006594</v>
      </c>
      <c r="M725" s="7" t="s">
        <v>1725</v>
      </c>
      <c r="N725" s="8">
        <f>VLOOKUP(B725,'[1]новый без картинок'!$A$5:$F$2672,6,0)</f>
        <v>191</v>
      </c>
    </row>
    <row r="726" spans="1:14" ht="151.15" customHeight="1" x14ac:dyDescent="0.2">
      <c r="A726" s="3">
        <v>724</v>
      </c>
      <c r="B726" s="3">
        <v>199215</v>
      </c>
      <c r="C726" s="4" t="str">
        <f>HYPERLINK("http://optservis.net:5080/photo?tov_code_internet=199215","Увеличить")</f>
        <v>Увеличить</v>
      </c>
      <c r="D726" s="3" t="s">
        <v>1726</v>
      </c>
      <c r="E726" s="3"/>
      <c r="F726" s="3" t="s">
        <v>1727</v>
      </c>
      <c r="G726" s="3" t="s">
        <v>430</v>
      </c>
      <c r="H726" s="3">
        <v>0.5</v>
      </c>
      <c r="I726" s="3">
        <v>0</v>
      </c>
      <c r="J726" s="3" t="s">
        <v>18</v>
      </c>
      <c r="K726" s="5">
        <v>0.06</v>
      </c>
      <c r="L726" s="6">
        <v>0</v>
      </c>
      <c r="M726" s="7" t="s">
        <v>1728</v>
      </c>
      <c r="N726" s="8">
        <f>VLOOKUP(B726,'[1]новый без картинок'!$A$5:$F$2672,6,0)</f>
        <v>229</v>
      </c>
    </row>
    <row r="727" spans="1:14" ht="151.15" customHeight="1" x14ac:dyDescent="0.2">
      <c r="A727" s="3">
        <v>725</v>
      </c>
      <c r="B727" s="3">
        <v>192151</v>
      </c>
      <c r="C727" s="4" t="str">
        <f>HYPERLINK("http://optservis.net:5080/photo?tov_code_internet=192151","Увеличить")</f>
        <v>Увеличить</v>
      </c>
      <c r="D727" s="3" t="s">
        <v>1726</v>
      </c>
      <c r="E727" s="3"/>
      <c r="F727" s="3" t="s">
        <v>1524</v>
      </c>
      <c r="G727" s="3" t="s">
        <v>430</v>
      </c>
      <c r="H727" s="3">
        <v>0.5</v>
      </c>
      <c r="I727" s="3">
        <v>0</v>
      </c>
      <c r="J727" s="3" t="s">
        <v>18</v>
      </c>
      <c r="K727" s="5">
        <v>0.06</v>
      </c>
      <c r="L727" s="6">
        <v>0</v>
      </c>
      <c r="M727" s="7" t="s">
        <v>1729</v>
      </c>
      <c r="N727" s="8">
        <f>VLOOKUP(B727,'[1]новый без картинок'!$A$5:$F$2672,6,0)</f>
        <v>228</v>
      </c>
    </row>
    <row r="728" spans="1:14" ht="151.15" customHeight="1" x14ac:dyDescent="0.2">
      <c r="A728" s="3">
        <v>726</v>
      </c>
      <c r="B728" s="3">
        <v>192153</v>
      </c>
      <c r="C728" s="4" t="str">
        <f>HYPERLINK("http://optservis.net:5080/photo?tov_code_internet=192153","Увеличить")</f>
        <v>Увеличить</v>
      </c>
      <c r="D728" s="3" t="s">
        <v>1726</v>
      </c>
      <c r="E728" s="3"/>
      <c r="F728" s="3" t="s">
        <v>1502</v>
      </c>
      <c r="G728" s="3" t="s">
        <v>430</v>
      </c>
      <c r="H728" s="3">
        <v>0.5</v>
      </c>
      <c r="I728" s="3">
        <v>0</v>
      </c>
      <c r="J728" s="3" t="s">
        <v>18</v>
      </c>
      <c r="K728" s="5">
        <v>0.06</v>
      </c>
      <c r="L728" s="6">
        <v>0</v>
      </c>
      <c r="M728" s="7" t="s">
        <v>1729</v>
      </c>
      <c r="N728" s="8">
        <f>VLOOKUP(B728,'[1]новый без картинок'!$A$5:$F$2672,6,0)</f>
        <v>228</v>
      </c>
    </row>
    <row r="729" spans="1:14" ht="151.15" customHeight="1" x14ac:dyDescent="0.2">
      <c r="A729" s="3">
        <v>727</v>
      </c>
      <c r="B729" s="3">
        <v>192152</v>
      </c>
      <c r="C729" s="4" t="str">
        <f>HYPERLINK("http://optservis.net:5080/photo?tov_code_internet=192152","Увеличить")</f>
        <v>Увеличить</v>
      </c>
      <c r="D729" s="3" t="s">
        <v>1726</v>
      </c>
      <c r="E729" s="3"/>
      <c r="F729" s="3" t="s">
        <v>1730</v>
      </c>
      <c r="G729" s="3" t="s">
        <v>430</v>
      </c>
      <c r="H729" s="3">
        <v>0.5</v>
      </c>
      <c r="I729" s="3">
        <v>0</v>
      </c>
      <c r="J729" s="3" t="s">
        <v>18</v>
      </c>
      <c r="K729" s="5">
        <v>0.06</v>
      </c>
      <c r="L729" s="6">
        <v>0</v>
      </c>
      <c r="M729" s="7" t="s">
        <v>1729</v>
      </c>
      <c r="N729" s="8">
        <f>VLOOKUP(B729,'[1]новый без картинок'!$A$5:$F$2672,6,0)</f>
        <v>230</v>
      </c>
    </row>
    <row r="730" spans="1:14" ht="151.15" customHeight="1" x14ac:dyDescent="0.2">
      <c r="A730" s="3">
        <v>728</v>
      </c>
      <c r="B730" s="3">
        <v>192154</v>
      </c>
      <c r="C730" s="4" t="str">
        <f>HYPERLINK("http://optservis.net:5080/photo?tov_code_internet=192154","Увеличить")</f>
        <v>Увеличить</v>
      </c>
      <c r="D730" s="3" t="s">
        <v>1726</v>
      </c>
      <c r="E730" s="3"/>
      <c r="F730" s="3" t="s">
        <v>1475</v>
      </c>
      <c r="G730" s="3" t="s">
        <v>1101</v>
      </c>
      <c r="H730" s="3">
        <v>0.5</v>
      </c>
      <c r="I730" s="3">
        <v>0</v>
      </c>
      <c r="J730" s="3" t="s">
        <v>18</v>
      </c>
      <c r="K730" s="5">
        <v>0.06</v>
      </c>
      <c r="L730" s="6">
        <v>0</v>
      </c>
      <c r="M730" s="7" t="s">
        <v>1731</v>
      </c>
      <c r="N730" s="8">
        <f>VLOOKUP(B730,'[1]новый без картинок'!$A$5:$F$2672,6,0)</f>
        <v>216</v>
      </c>
    </row>
    <row r="731" spans="1:14" ht="151.15" customHeight="1" x14ac:dyDescent="0.2">
      <c r="A731" s="3">
        <v>729</v>
      </c>
      <c r="B731" s="3">
        <v>990955</v>
      </c>
      <c r="C731" s="4" t="str">
        <f>HYPERLINK("http://optservis.net:5080/photo?tov_code_internet=990955","Увеличить")</f>
        <v>Увеличить</v>
      </c>
      <c r="D731" s="3" t="s">
        <v>1732</v>
      </c>
      <c r="E731" s="3"/>
      <c r="F731" s="3" t="s">
        <v>1508</v>
      </c>
      <c r="G731" s="3" t="s">
        <v>430</v>
      </c>
      <c r="H731" s="3">
        <v>0.5</v>
      </c>
      <c r="I731" s="3">
        <v>0</v>
      </c>
      <c r="J731" s="3" t="s">
        <v>18</v>
      </c>
      <c r="K731" s="5">
        <v>0.1</v>
      </c>
      <c r="L731" s="6">
        <v>0</v>
      </c>
      <c r="M731" s="7" t="s">
        <v>1545</v>
      </c>
      <c r="N731" s="8">
        <f>VLOOKUP(B731,'[1]новый без картинок'!$A$5:$F$2672,6,0)</f>
        <v>268</v>
      </c>
    </row>
    <row r="732" spans="1:14" ht="151.15" customHeight="1" x14ac:dyDescent="0.2">
      <c r="A732" s="3">
        <v>730</v>
      </c>
      <c r="B732" s="3">
        <v>163688</v>
      </c>
      <c r="C732" s="4" t="str">
        <f>HYPERLINK("http://optservis.net:5080/photo?tov_code_internet=163688","Увеличить")</f>
        <v>Увеличить</v>
      </c>
      <c r="D732" s="3" t="s">
        <v>1733</v>
      </c>
      <c r="E732" s="3"/>
      <c r="F732" s="3" t="s">
        <v>1556</v>
      </c>
      <c r="G732" s="3" t="s">
        <v>430</v>
      </c>
      <c r="H732" s="3">
        <v>0.5</v>
      </c>
      <c r="I732" s="3">
        <v>0</v>
      </c>
      <c r="J732" s="3" t="s">
        <v>18</v>
      </c>
      <c r="K732" s="5">
        <v>0.06</v>
      </c>
      <c r="L732" s="6">
        <v>0</v>
      </c>
      <c r="M732" s="7" t="s">
        <v>1734</v>
      </c>
      <c r="N732" s="8">
        <f>VLOOKUP(B732,'[1]новый без картинок'!$A$5:$F$2672,6,0)</f>
        <v>277</v>
      </c>
    </row>
    <row r="733" spans="1:14" ht="151.15" customHeight="1" x14ac:dyDescent="0.2">
      <c r="A733" s="3">
        <v>731</v>
      </c>
      <c r="B733" s="3">
        <v>202981</v>
      </c>
      <c r="C733" s="4" t="str">
        <f>HYPERLINK("http://optservis.net:5080/photo?tov_code_internet=202981","Увеличить")</f>
        <v>Увеличить</v>
      </c>
      <c r="D733" s="3" t="s">
        <v>1735</v>
      </c>
      <c r="E733" s="3"/>
      <c r="F733" s="3" t="s">
        <v>1558</v>
      </c>
      <c r="G733" s="3" t="s">
        <v>430</v>
      </c>
      <c r="H733" s="3">
        <v>0.5</v>
      </c>
      <c r="I733" s="3">
        <v>0</v>
      </c>
      <c r="J733" s="3" t="s">
        <v>18</v>
      </c>
      <c r="K733" s="5">
        <v>0.05</v>
      </c>
      <c r="L733" s="6">
        <v>0</v>
      </c>
      <c r="M733" s="7" t="s">
        <v>1736</v>
      </c>
      <c r="N733" s="8">
        <f>VLOOKUP(B733,'[1]новый без картинок'!$A$5:$F$2672,6,0)</f>
        <v>203</v>
      </c>
    </row>
    <row r="734" spans="1:14" ht="151.15" customHeight="1" x14ac:dyDescent="0.2">
      <c r="A734" s="3">
        <v>732</v>
      </c>
      <c r="B734" s="3">
        <v>155634</v>
      </c>
      <c r="C734" s="4" t="str">
        <f>HYPERLINK("http://optservis.net:5080/photo?tov_code_internet=155634","Увеличить")</f>
        <v>Увеличить</v>
      </c>
      <c r="D734" s="3" t="s">
        <v>1737</v>
      </c>
      <c r="E734" s="3" t="s">
        <v>1738</v>
      </c>
      <c r="F734" s="3" t="s">
        <v>1739</v>
      </c>
      <c r="G734" s="3" t="s">
        <v>1469</v>
      </c>
      <c r="H734" s="3">
        <v>0.5</v>
      </c>
      <c r="I734" s="3">
        <v>0</v>
      </c>
      <c r="J734" s="3" t="s">
        <v>18</v>
      </c>
      <c r="K734" s="5">
        <v>0.04</v>
      </c>
      <c r="L734" s="6">
        <v>4690654012007</v>
      </c>
      <c r="M734" s="7" t="s">
        <v>1740</v>
      </c>
      <c r="N734" s="8">
        <f>VLOOKUP(B734,'[1]новый без картинок'!$A$5:$F$2672,6,0)</f>
        <v>316</v>
      </c>
    </row>
    <row r="735" spans="1:14" ht="151.15" customHeight="1" x14ac:dyDescent="0.2">
      <c r="A735" s="3">
        <v>733</v>
      </c>
      <c r="B735" s="3">
        <v>192134</v>
      </c>
      <c r="C735" s="4" t="str">
        <f>HYPERLINK("http://optservis.net:5080/photo?tov_code_internet=192134","Увеличить")</f>
        <v>Увеличить</v>
      </c>
      <c r="D735" s="3" t="s">
        <v>1741</v>
      </c>
      <c r="E735" s="3"/>
      <c r="F735" s="3" t="s">
        <v>1558</v>
      </c>
      <c r="G735" s="3" t="s">
        <v>430</v>
      </c>
      <c r="H735" s="3">
        <v>0.5</v>
      </c>
      <c r="I735" s="3">
        <v>0</v>
      </c>
      <c r="J735" s="3" t="s">
        <v>18</v>
      </c>
      <c r="K735" s="5">
        <v>7.0000000000000007E-2</v>
      </c>
      <c r="L735" s="6">
        <v>0</v>
      </c>
      <c r="M735" s="7" t="s">
        <v>1729</v>
      </c>
      <c r="N735" s="8">
        <f>VLOOKUP(B735,'[1]новый без картинок'!$A$5:$F$2672,6,0)</f>
        <v>221</v>
      </c>
    </row>
    <row r="736" spans="1:14" ht="151.15" customHeight="1" x14ac:dyDescent="0.2">
      <c r="A736" s="3">
        <v>734</v>
      </c>
      <c r="B736" s="3">
        <v>192140</v>
      </c>
      <c r="C736" s="4" t="str">
        <f>HYPERLINK("http://optservis.net:5080/photo?tov_code_internet=192140","Увеличить")</f>
        <v>Увеличить</v>
      </c>
      <c r="D736" s="3" t="s">
        <v>1741</v>
      </c>
      <c r="E736" s="3"/>
      <c r="F736" s="3" t="s">
        <v>1550</v>
      </c>
      <c r="G736" s="3" t="s">
        <v>430</v>
      </c>
      <c r="H736" s="3">
        <v>0.5</v>
      </c>
      <c r="I736" s="3">
        <v>0</v>
      </c>
      <c r="J736" s="3" t="s">
        <v>18</v>
      </c>
      <c r="K736" s="5">
        <v>0.06</v>
      </c>
      <c r="L736" s="6">
        <v>0</v>
      </c>
      <c r="M736" s="7" t="s">
        <v>1729</v>
      </c>
      <c r="N736" s="8">
        <f>VLOOKUP(B736,'[1]новый без картинок'!$A$5:$F$2672,6,0)</f>
        <v>221</v>
      </c>
    </row>
    <row r="737" spans="1:14" ht="151.15" customHeight="1" x14ac:dyDescent="0.2">
      <c r="A737" s="3">
        <v>735</v>
      </c>
      <c r="B737" s="3">
        <v>192136</v>
      </c>
      <c r="C737" s="4" t="str">
        <f>HYPERLINK("http://optservis.net:5080/photo?tov_code_internet=192136","Увеличить")</f>
        <v>Увеличить</v>
      </c>
      <c r="D737" s="3" t="s">
        <v>1741</v>
      </c>
      <c r="E737" s="3"/>
      <c r="F737" s="3" t="s">
        <v>1742</v>
      </c>
      <c r="G737" s="3" t="s">
        <v>430</v>
      </c>
      <c r="H737" s="3">
        <v>0.5</v>
      </c>
      <c r="I737" s="3">
        <v>0</v>
      </c>
      <c r="J737" s="3" t="s">
        <v>18</v>
      </c>
      <c r="K737" s="5">
        <v>0.06</v>
      </c>
      <c r="L737" s="6">
        <v>0</v>
      </c>
      <c r="M737" s="7" t="s">
        <v>1729</v>
      </c>
      <c r="N737" s="8">
        <f>VLOOKUP(B737,'[1]новый без картинок'!$A$5:$F$2672,6,0)</f>
        <v>225</v>
      </c>
    </row>
    <row r="738" spans="1:14" ht="151.15" customHeight="1" x14ac:dyDescent="0.2">
      <c r="A738" s="3">
        <v>736</v>
      </c>
      <c r="B738" s="3">
        <v>199216</v>
      </c>
      <c r="C738" s="4" t="str">
        <f>HYPERLINK("http://optservis.net:5080/photo?tov_code_internet=199216","Увеличить")</f>
        <v>Увеличить</v>
      </c>
      <c r="D738" s="3" t="s">
        <v>1741</v>
      </c>
      <c r="E738" s="3"/>
      <c r="F738" s="3" t="s">
        <v>1743</v>
      </c>
      <c r="G738" s="3" t="s">
        <v>430</v>
      </c>
      <c r="H738" s="3">
        <v>0.5</v>
      </c>
      <c r="I738" s="3">
        <v>0</v>
      </c>
      <c r="J738" s="3" t="s">
        <v>18</v>
      </c>
      <c r="K738" s="5">
        <v>0.06</v>
      </c>
      <c r="L738" s="6">
        <v>0</v>
      </c>
      <c r="M738" s="7" t="s">
        <v>1744</v>
      </c>
      <c r="N738" s="8">
        <f>VLOOKUP(B738,'[1]новый без картинок'!$A$5:$F$2672,6,0)</f>
        <v>224</v>
      </c>
    </row>
    <row r="739" spans="1:14" ht="151.15" customHeight="1" x14ac:dyDescent="0.2">
      <c r="A739" s="3">
        <v>737</v>
      </c>
      <c r="B739" s="3">
        <v>192141</v>
      </c>
      <c r="C739" s="4" t="str">
        <f>HYPERLINK("http://optservis.net:5080/photo?tov_code_internet=192141","Увеличить")</f>
        <v>Увеличить</v>
      </c>
      <c r="D739" s="3" t="s">
        <v>1741</v>
      </c>
      <c r="E739" s="3"/>
      <c r="F739" s="3" t="s">
        <v>1547</v>
      </c>
      <c r="G739" s="3" t="s">
        <v>430</v>
      </c>
      <c r="H739" s="3">
        <v>0.5</v>
      </c>
      <c r="I739" s="3">
        <v>0</v>
      </c>
      <c r="J739" s="3" t="s">
        <v>18</v>
      </c>
      <c r="K739" s="5">
        <v>0.06</v>
      </c>
      <c r="L739" s="6">
        <v>0</v>
      </c>
      <c r="M739" s="7" t="s">
        <v>1729</v>
      </c>
      <c r="N739" s="8">
        <f>VLOOKUP(B739,'[1]новый без картинок'!$A$5:$F$2672,6,0)</f>
        <v>222</v>
      </c>
    </row>
    <row r="740" spans="1:14" ht="151.15" customHeight="1" x14ac:dyDescent="0.2">
      <c r="A740" s="3">
        <v>738</v>
      </c>
      <c r="B740" s="3">
        <v>188816</v>
      </c>
      <c r="C740" s="4" t="str">
        <f>HYPERLINK("http://optservis.net:5080/photo?tov_code_internet=188816","Увеличить")</f>
        <v>Увеличить</v>
      </c>
      <c r="D740" s="3" t="s">
        <v>1745</v>
      </c>
      <c r="E740" s="3"/>
      <c r="F740" s="3" t="s">
        <v>1746</v>
      </c>
      <c r="G740" s="3" t="s">
        <v>430</v>
      </c>
      <c r="H740" s="3">
        <v>0.5</v>
      </c>
      <c r="I740" s="3">
        <v>0</v>
      </c>
      <c r="J740" s="3" t="s">
        <v>18</v>
      </c>
      <c r="K740" s="5">
        <v>0.06</v>
      </c>
      <c r="L740" s="6">
        <v>0</v>
      </c>
      <c r="M740" s="7" t="s">
        <v>1747</v>
      </c>
      <c r="N740" s="8">
        <f>VLOOKUP(B740,'[1]новый без картинок'!$A$5:$F$2672,6,0)</f>
        <v>212</v>
      </c>
    </row>
    <row r="741" spans="1:14" ht="151.15" customHeight="1" x14ac:dyDescent="0.2">
      <c r="A741" s="3">
        <v>739</v>
      </c>
      <c r="B741" s="3">
        <v>168734</v>
      </c>
      <c r="C741" s="4" t="str">
        <f>HYPERLINK("http://optservis.net:5080/photo?tov_code_internet=168734","Увеличить")</f>
        <v>Увеличить</v>
      </c>
      <c r="D741" s="3" t="s">
        <v>1745</v>
      </c>
      <c r="E741" s="3" t="s">
        <v>1748</v>
      </c>
      <c r="F741" s="3" t="s">
        <v>1749</v>
      </c>
      <c r="G741" s="3" t="s">
        <v>430</v>
      </c>
      <c r="H741" s="3">
        <v>0.5</v>
      </c>
      <c r="I741" s="3">
        <v>0</v>
      </c>
      <c r="J741" s="3" t="s">
        <v>18</v>
      </c>
      <c r="K741" s="5">
        <v>0.06</v>
      </c>
      <c r="L741" s="6">
        <v>4690654013301</v>
      </c>
      <c r="M741" s="7" t="s">
        <v>1750</v>
      </c>
      <c r="N741" s="8">
        <f>VLOOKUP(B741,'[1]новый без картинок'!$A$5:$F$2672,6,0)</f>
        <v>212</v>
      </c>
    </row>
    <row r="742" spans="1:14" ht="151.15" customHeight="1" x14ac:dyDescent="0.2">
      <c r="A742" s="3">
        <v>740</v>
      </c>
      <c r="B742" s="3">
        <v>168732</v>
      </c>
      <c r="C742" s="4" t="str">
        <f>HYPERLINK("http://optservis.net:5080/photo?tov_code_internet=168732","Увеличить")</f>
        <v>Увеличить</v>
      </c>
      <c r="D742" s="3" t="s">
        <v>1751</v>
      </c>
      <c r="E742" s="3"/>
      <c r="F742" s="3" t="s">
        <v>1752</v>
      </c>
      <c r="G742" s="3" t="s">
        <v>1469</v>
      </c>
      <c r="H742" s="3">
        <v>0.5</v>
      </c>
      <c r="I742" s="3">
        <v>0</v>
      </c>
      <c r="J742" s="3" t="s">
        <v>18</v>
      </c>
      <c r="K742" s="5">
        <v>0.04</v>
      </c>
      <c r="L742" s="6">
        <v>0</v>
      </c>
      <c r="M742" s="7" t="s">
        <v>1753</v>
      </c>
      <c r="N742" s="8">
        <f>VLOOKUP(B742,'[1]новый без картинок'!$A$5:$F$2672,6,0)</f>
        <v>252</v>
      </c>
    </row>
    <row r="743" spans="1:14" ht="151.15" customHeight="1" x14ac:dyDescent="0.2">
      <c r="A743" s="3">
        <v>741</v>
      </c>
      <c r="B743" s="3">
        <v>971827</v>
      </c>
      <c r="C743" s="4" t="str">
        <f>HYPERLINK("http://optservis.net:5080/photo?tov_code_internet=971827","Увеличить")</f>
        <v>Увеличить</v>
      </c>
      <c r="D743" s="3" t="s">
        <v>1754</v>
      </c>
      <c r="E743" s="3" t="s">
        <v>1755</v>
      </c>
      <c r="F743" s="3" t="s">
        <v>1566</v>
      </c>
      <c r="G743" s="3" t="s">
        <v>430</v>
      </c>
      <c r="H743" s="3">
        <v>0.5</v>
      </c>
      <c r="I743" s="3">
        <v>0</v>
      </c>
      <c r="J743" s="3" t="s">
        <v>18</v>
      </c>
      <c r="K743" s="5">
        <v>0.06</v>
      </c>
      <c r="L743" s="6">
        <v>4690654020385</v>
      </c>
      <c r="M743" s="7" t="s">
        <v>1525</v>
      </c>
      <c r="N743" s="8">
        <f>VLOOKUP(B743,'[1]новый без картинок'!$A$5:$F$2672,6,0)</f>
        <v>217</v>
      </c>
    </row>
    <row r="744" spans="1:14" ht="151.15" customHeight="1" x14ac:dyDescent="0.2">
      <c r="A744" s="3">
        <v>742</v>
      </c>
      <c r="B744" s="3">
        <v>192155</v>
      </c>
      <c r="C744" s="4" t="str">
        <f>HYPERLINK("http://optservis.net:5080/photo?tov_code_internet=192155","Увеличить")</f>
        <v>Увеличить</v>
      </c>
      <c r="D744" s="3" t="s">
        <v>1756</v>
      </c>
      <c r="E744" s="3"/>
      <c r="F744" s="3" t="s">
        <v>1566</v>
      </c>
      <c r="G744" s="3" t="s">
        <v>430</v>
      </c>
      <c r="H744" s="3">
        <v>0.5</v>
      </c>
      <c r="I744" s="3">
        <v>0</v>
      </c>
      <c r="J744" s="3" t="s">
        <v>18</v>
      </c>
      <c r="K744" s="5">
        <v>0.06</v>
      </c>
      <c r="L744" s="6">
        <v>0</v>
      </c>
      <c r="M744" s="7" t="s">
        <v>1757</v>
      </c>
      <c r="N744" s="8">
        <f>VLOOKUP(B744,'[1]новый без картинок'!$A$5:$F$2672,6,0)</f>
        <v>228</v>
      </c>
    </row>
    <row r="745" spans="1:14" ht="151.15" customHeight="1" x14ac:dyDescent="0.2">
      <c r="A745" s="3">
        <v>743</v>
      </c>
      <c r="B745" s="3">
        <v>192209</v>
      </c>
      <c r="C745" s="4" t="str">
        <f>HYPERLINK("http://optservis.net:5080/photo?tov_code_internet=192209","Увеличить")</f>
        <v>Увеличить</v>
      </c>
      <c r="D745" s="3" t="s">
        <v>1756</v>
      </c>
      <c r="E745" s="3"/>
      <c r="F745" s="3" t="s">
        <v>1758</v>
      </c>
      <c r="G745" s="3" t="s">
        <v>430</v>
      </c>
      <c r="H745" s="3">
        <v>0.5</v>
      </c>
      <c r="I745" s="3">
        <v>0</v>
      </c>
      <c r="J745" s="3" t="s">
        <v>18</v>
      </c>
      <c r="K745" s="5">
        <v>0.06</v>
      </c>
      <c r="L745" s="6">
        <v>0</v>
      </c>
      <c r="M745" s="7" t="s">
        <v>1757</v>
      </c>
      <c r="N745" s="8">
        <f>VLOOKUP(B745,'[1]новый без картинок'!$A$5:$F$2672,6,0)</f>
        <v>230</v>
      </c>
    </row>
    <row r="746" spans="1:14" ht="151.15" customHeight="1" x14ac:dyDescent="0.2">
      <c r="A746" s="3">
        <v>744</v>
      </c>
      <c r="B746" s="3">
        <v>188817</v>
      </c>
      <c r="C746" s="4" t="str">
        <f>HYPERLINK("http://optservis.net:5080/photo?tov_code_internet=188817","Увеличить")</f>
        <v>Увеличить</v>
      </c>
      <c r="D746" s="3" t="s">
        <v>1759</v>
      </c>
      <c r="E746" s="3"/>
      <c r="F746" s="3" t="s">
        <v>1760</v>
      </c>
      <c r="G746" s="3" t="s">
        <v>430</v>
      </c>
      <c r="H746" s="3">
        <v>1</v>
      </c>
      <c r="I746" s="3">
        <v>1</v>
      </c>
      <c r="J746" s="3" t="s">
        <v>18</v>
      </c>
      <c r="K746" s="5">
        <v>0.09</v>
      </c>
      <c r="L746" s="6">
        <v>0</v>
      </c>
      <c r="M746" s="7" t="s">
        <v>1761</v>
      </c>
      <c r="N746" s="8">
        <f>VLOOKUP(B746,'[1]новый без картинок'!$A$5:$F$2672,6,0)</f>
        <v>205</v>
      </c>
    </row>
    <row r="747" spans="1:14" ht="138.6" customHeight="1" x14ac:dyDescent="0.2">
      <c r="A747" s="3">
        <v>745</v>
      </c>
      <c r="B747" s="3">
        <v>151295</v>
      </c>
      <c r="C747" s="4" t="str">
        <f>HYPERLINK("http://optservis.net:5080/photo?tov_code_internet=151295","Увеличить")</f>
        <v>Увеличить</v>
      </c>
      <c r="D747" s="3" t="s">
        <v>1759</v>
      </c>
      <c r="E747" s="3" t="s">
        <v>1762</v>
      </c>
      <c r="F747" s="3" t="s">
        <v>1595</v>
      </c>
      <c r="G747" s="3" t="s">
        <v>430</v>
      </c>
      <c r="H747" s="3">
        <v>1</v>
      </c>
      <c r="I747" s="3">
        <v>1</v>
      </c>
      <c r="J747" s="3" t="s">
        <v>18</v>
      </c>
      <c r="K747" s="5">
        <v>0.09</v>
      </c>
      <c r="L747" s="6">
        <v>4690654012861</v>
      </c>
      <c r="M747" s="7" t="s">
        <v>1763</v>
      </c>
      <c r="N747" s="8">
        <f>VLOOKUP(B747,'[1]новый без картинок'!$A$5:$F$2672,6,0)</f>
        <v>198</v>
      </c>
    </row>
    <row r="748" spans="1:14" ht="151.15" customHeight="1" x14ac:dyDescent="0.2">
      <c r="A748" s="3">
        <v>746</v>
      </c>
      <c r="B748" s="3">
        <v>199218</v>
      </c>
      <c r="C748" s="4" t="str">
        <f>HYPERLINK("http://optservis.net:5080/photo?tov_code_internet=199218","Увеличить")</f>
        <v>Увеличить</v>
      </c>
      <c r="D748" s="3" t="s">
        <v>1764</v>
      </c>
      <c r="E748" s="3"/>
      <c r="F748" s="3" t="s">
        <v>1765</v>
      </c>
      <c r="G748" s="3" t="s">
        <v>430</v>
      </c>
      <c r="H748" s="3">
        <v>0.5</v>
      </c>
      <c r="I748" s="3">
        <v>0</v>
      </c>
      <c r="J748" s="3" t="s">
        <v>18</v>
      </c>
      <c r="K748" s="5">
        <v>0.06</v>
      </c>
      <c r="L748" s="6">
        <v>0</v>
      </c>
      <c r="M748" s="7" t="s">
        <v>1744</v>
      </c>
      <c r="N748" s="8">
        <f>VLOOKUP(B748,'[1]новый без картинок'!$A$5:$F$2672,6,0)</f>
        <v>224</v>
      </c>
    </row>
    <row r="749" spans="1:14" ht="151.15" customHeight="1" x14ac:dyDescent="0.2">
      <c r="A749" s="3">
        <v>747</v>
      </c>
      <c r="B749" s="3">
        <v>192146</v>
      </c>
      <c r="C749" s="4" t="str">
        <f>HYPERLINK("http://optservis.net:5080/photo?tov_code_internet=192146","Увеличить")</f>
        <v>Увеличить</v>
      </c>
      <c r="D749" s="3" t="s">
        <v>1764</v>
      </c>
      <c r="E749" s="3"/>
      <c r="F749" s="3" t="s">
        <v>1595</v>
      </c>
      <c r="G749" s="3" t="s">
        <v>430</v>
      </c>
      <c r="H749" s="3">
        <v>0.5</v>
      </c>
      <c r="I749" s="3">
        <v>0</v>
      </c>
      <c r="J749" s="3" t="s">
        <v>18</v>
      </c>
      <c r="K749" s="5">
        <v>0.06</v>
      </c>
      <c r="L749" s="6">
        <v>0</v>
      </c>
      <c r="M749" s="7" t="s">
        <v>1729</v>
      </c>
      <c r="N749" s="8">
        <f>VLOOKUP(B749,'[1]новый без картинок'!$A$5:$F$2672,6,0)</f>
        <v>222</v>
      </c>
    </row>
    <row r="750" spans="1:14" ht="151.15" customHeight="1" x14ac:dyDescent="0.2">
      <c r="A750" s="3">
        <v>748</v>
      </c>
      <c r="B750" s="3">
        <v>192143</v>
      </c>
      <c r="C750" s="4" t="str">
        <f>HYPERLINK("http://optservis.net:5080/photo?tov_code_internet=192143","Увеличить")</f>
        <v>Увеличить</v>
      </c>
      <c r="D750" s="3" t="s">
        <v>1764</v>
      </c>
      <c r="E750" s="3"/>
      <c r="F750" s="3" t="s">
        <v>1766</v>
      </c>
      <c r="G750" s="3" t="s">
        <v>430</v>
      </c>
      <c r="H750" s="3">
        <v>0.5</v>
      </c>
      <c r="I750" s="3">
        <v>0</v>
      </c>
      <c r="J750" s="3" t="s">
        <v>18</v>
      </c>
      <c r="K750" s="5">
        <v>0.06</v>
      </c>
      <c r="L750" s="6">
        <v>0</v>
      </c>
      <c r="M750" s="7" t="s">
        <v>1729</v>
      </c>
      <c r="N750" s="8">
        <f>VLOOKUP(B750,'[1]новый без картинок'!$A$5:$F$2672,6,0)</f>
        <v>225</v>
      </c>
    </row>
    <row r="751" spans="1:14" ht="151.15" customHeight="1" x14ac:dyDescent="0.2">
      <c r="A751" s="3">
        <v>749</v>
      </c>
      <c r="B751" s="3">
        <v>152197</v>
      </c>
      <c r="C751" s="4" t="str">
        <f>HYPERLINK("http://optservis.net:5080/photo?tov_code_internet=152197","Увеличить")</f>
        <v>Увеличить</v>
      </c>
      <c r="D751" s="3" t="s">
        <v>1767</v>
      </c>
      <c r="E751" s="3" t="s">
        <v>1614</v>
      </c>
      <c r="F751" s="3" t="s">
        <v>1624</v>
      </c>
      <c r="G751" s="3" t="s">
        <v>1101</v>
      </c>
      <c r="H751" s="3">
        <v>0.5</v>
      </c>
      <c r="I751" s="3">
        <v>0</v>
      </c>
      <c r="J751" s="3" t="s">
        <v>18</v>
      </c>
      <c r="K751" s="5">
        <v>0.05</v>
      </c>
      <c r="L751" s="6">
        <v>4690654009311</v>
      </c>
      <c r="M751" s="7" t="s">
        <v>1768</v>
      </c>
      <c r="N751" s="8">
        <f>VLOOKUP(B751,'[1]новый без картинок'!$A$5:$F$2672,6,0)</f>
        <v>202</v>
      </c>
    </row>
    <row r="752" spans="1:14" ht="151.15" customHeight="1" x14ac:dyDescent="0.2">
      <c r="A752" s="3">
        <v>750</v>
      </c>
      <c r="B752" s="3">
        <v>155823</v>
      </c>
      <c r="C752" s="4" t="str">
        <f>HYPERLINK("http://optservis.net:5080/photo?tov_code_internet=155823","Увеличить")</f>
        <v>Увеличить</v>
      </c>
      <c r="D752" s="3" t="s">
        <v>1767</v>
      </c>
      <c r="E752" s="3" t="s">
        <v>1614</v>
      </c>
      <c r="F752" s="3" t="s">
        <v>1620</v>
      </c>
      <c r="G752" s="3" t="s">
        <v>1101</v>
      </c>
      <c r="H752" s="3">
        <v>0.5</v>
      </c>
      <c r="I752" s="3">
        <v>0</v>
      </c>
      <c r="J752" s="3" t="s">
        <v>18</v>
      </c>
      <c r="K752" s="5">
        <v>0.05</v>
      </c>
      <c r="L752" s="6">
        <v>4690654008192</v>
      </c>
      <c r="M752" s="7" t="s">
        <v>1768</v>
      </c>
      <c r="N752" s="8">
        <f>VLOOKUP(B752,'[1]новый без картинок'!$A$5:$F$2672,6,0)</f>
        <v>194</v>
      </c>
    </row>
    <row r="753" spans="1:14" ht="151.15" customHeight="1" x14ac:dyDescent="0.2">
      <c r="A753" s="3">
        <v>751</v>
      </c>
      <c r="B753" s="3">
        <v>202982</v>
      </c>
      <c r="C753" s="4" t="str">
        <f>HYPERLINK("http://optservis.net:5080/photo?tov_code_internet=202982","Увеличить")</f>
        <v>Увеличить</v>
      </c>
      <c r="D753" s="3" t="s">
        <v>1769</v>
      </c>
      <c r="E753" s="3"/>
      <c r="F753" s="3" t="s">
        <v>1620</v>
      </c>
      <c r="G753" s="3" t="s">
        <v>1101</v>
      </c>
      <c r="H753" s="3">
        <v>0.5</v>
      </c>
      <c r="I753" s="3">
        <v>0</v>
      </c>
      <c r="J753" s="3" t="s">
        <v>18</v>
      </c>
      <c r="K753" s="5">
        <v>0.05</v>
      </c>
      <c r="L753" s="6">
        <v>0</v>
      </c>
      <c r="M753" s="7" t="s">
        <v>1770</v>
      </c>
      <c r="N753" s="8">
        <f>VLOOKUP(B753,'[1]новый без картинок'!$A$5:$F$2672,6,0)</f>
        <v>190</v>
      </c>
    </row>
    <row r="754" spans="1:14" ht="151.15" customHeight="1" x14ac:dyDescent="0.2">
      <c r="A754" s="3">
        <v>752</v>
      </c>
      <c r="B754" s="3">
        <v>155633</v>
      </c>
      <c r="C754" s="4" t="str">
        <f>HYPERLINK("http://optservis.net:5080/photo?tov_code_internet=155633","Увеличить")</f>
        <v>Увеличить</v>
      </c>
      <c r="D754" s="3" t="s">
        <v>1771</v>
      </c>
      <c r="E754" s="3"/>
      <c r="F754" s="3" t="s">
        <v>1772</v>
      </c>
      <c r="G754" s="3" t="s">
        <v>1469</v>
      </c>
      <c r="H754" s="3">
        <v>0.5</v>
      </c>
      <c r="I754" s="3">
        <v>0</v>
      </c>
      <c r="J754" s="3" t="s">
        <v>18</v>
      </c>
      <c r="K754" s="5">
        <v>0.04</v>
      </c>
      <c r="L754" s="6">
        <v>0</v>
      </c>
      <c r="M754" s="7" t="s">
        <v>1773</v>
      </c>
      <c r="N754" s="8">
        <f>VLOOKUP(B754,'[1]новый без картинок'!$A$5:$F$2672,6,0)</f>
        <v>315</v>
      </c>
    </row>
    <row r="755" spans="1:14" ht="151.15" customHeight="1" x14ac:dyDescent="0.2">
      <c r="A755" s="3">
        <v>753</v>
      </c>
      <c r="B755" s="3">
        <v>165587</v>
      </c>
      <c r="C755" s="4" t="str">
        <f>HYPERLINK("http://optservis.net:5080/photo?tov_code_internet=165587","Увеличить")</f>
        <v>Увеличить</v>
      </c>
      <c r="D755" s="3" t="s">
        <v>1771</v>
      </c>
      <c r="E755" s="3" t="s">
        <v>1774</v>
      </c>
      <c r="F755" s="3" t="s">
        <v>1775</v>
      </c>
      <c r="G755" s="3" t="s">
        <v>1469</v>
      </c>
      <c r="H755" s="3">
        <v>0.5</v>
      </c>
      <c r="I755" s="3">
        <v>0</v>
      </c>
      <c r="J755" s="3" t="s">
        <v>18</v>
      </c>
      <c r="K755" s="5">
        <v>0.04</v>
      </c>
      <c r="L755" s="6">
        <v>4690654018399</v>
      </c>
      <c r="M755" s="7" t="s">
        <v>1773</v>
      </c>
      <c r="N755" s="8">
        <f>VLOOKUP(B755,'[1]новый без картинок'!$A$5:$F$2672,6,0)</f>
        <v>306</v>
      </c>
    </row>
    <row r="756" spans="1:14" ht="151.15" customHeight="1" x14ac:dyDescent="0.2">
      <c r="A756" s="3">
        <v>754</v>
      </c>
      <c r="B756" s="3">
        <v>199217</v>
      </c>
      <c r="C756" s="4" t="str">
        <f>HYPERLINK("http://optservis.net:5080/photo?tov_code_internet=199217","Увеличить")</f>
        <v>Увеличить</v>
      </c>
      <c r="D756" s="3" t="s">
        <v>1776</v>
      </c>
      <c r="E756" s="3"/>
      <c r="F756" s="3" t="s">
        <v>1777</v>
      </c>
      <c r="G756" s="3" t="s">
        <v>430</v>
      </c>
      <c r="H756" s="3">
        <v>0.5</v>
      </c>
      <c r="I756" s="3">
        <v>0</v>
      </c>
      <c r="J756" s="3" t="s">
        <v>18</v>
      </c>
      <c r="K756" s="5">
        <v>7.0000000000000007E-2</v>
      </c>
      <c r="L756" s="6">
        <v>0</v>
      </c>
      <c r="M756" s="7" t="s">
        <v>1744</v>
      </c>
      <c r="N756" s="8">
        <f>VLOOKUP(B756,'[1]новый без картинок'!$A$5:$F$2672,6,0)</f>
        <v>222</v>
      </c>
    </row>
    <row r="757" spans="1:14" ht="151.15" customHeight="1" x14ac:dyDescent="0.2">
      <c r="A757" s="3">
        <v>755</v>
      </c>
      <c r="B757" s="3">
        <v>192119</v>
      </c>
      <c r="C757" s="4" t="str">
        <f>HYPERLINK("http://optservis.net:5080/photo?tov_code_internet=192119","Увеличить")</f>
        <v>Увеличить</v>
      </c>
      <c r="D757" s="3" t="s">
        <v>1776</v>
      </c>
      <c r="E757" s="3"/>
      <c r="F757" s="3" t="s">
        <v>1618</v>
      </c>
      <c r="G757" s="3" t="s">
        <v>430</v>
      </c>
      <c r="H757" s="3">
        <v>0.5</v>
      </c>
      <c r="I757" s="3">
        <v>0</v>
      </c>
      <c r="J757" s="3" t="s">
        <v>18</v>
      </c>
      <c r="K757" s="5">
        <v>7.0000000000000007E-2</v>
      </c>
      <c r="L757" s="6">
        <v>0</v>
      </c>
      <c r="M757" s="7" t="s">
        <v>1778</v>
      </c>
      <c r="N757" s="8">
        <f>VLOOKUP(B757,'[1]новый без картинок'!$A$5:$F$2672,6,0)</f>
        <v>221</v>
      </c>
    </row>
    <row r="758" spans="1:14" ht="151.15" customHeight="1" x14ac:dyDescent="0.2">
      <c r="A758" s="3">
        <v>756</v>
      </c>
      <c r="B758" s="3">
        <v>192128</v>
      </c>
      <c r="C758" s="4" t="str">
        <f>HYPERLINK("http://optservis.net:5080/photo?tov_code_internet=192128","Увеличить")</f>
        <v>Увеличить</v>
      </c>
      <c r="D758" s="3" t="s">
        <v>1776</v>
      </c>
      <c r="E758" s="3"/>
      <c r="F758" s="3" t="s">
        <v>1620</v>
      </c>
      <c r="G758" s="3" t="s">
        <v>1101</v>
      </c>
      <c r="H758" s="3">
        <v>0.5</v>
      </c>
      <c r="I758" s="3">
        <v>0</v>
      </c>
      <c r="J758" s="3" t="s">
        <v>18</v>
      </c>
      <c r="K758" s="5">
        <v>0.06</v>
      </c>
      <c r="L758" s="6">
        <v>0</v>
      </c>
      <c r="M758" s="7" t="s">
        <v>1779</v>
      </c>
      <c r="N758" s="8">
        <f>VLOOKUP(B758,'[1]новый без картинок'!$A$5:$F$2672,6,0)</f>
        <v>208</v>
      </c>
    </row>
    <row r="759" spans="1:14" ht="151.15" customHeight="1" x14ac:dyDescent="0.2">
      <c r="A759" s="3">
        <v>757</v>
      </c>
      <c r="B759" s="3">
        <v>192129</v>
      </c>
      <c r="C759" s="4" t="str">
        <f>HYPERLINK("http://optservis.net:5080/photo?tov_code_internet=192129","Увеличить")</f>
        <v>Увеличить</v>
      </c>
      <c r="D759" s="3" t="s">
        <v>1776</v>
      </c>
      <c r="E759" s="3" t="s">
        <v>1780</v>
      </c>
      <c r="F759" s="3" t="s">
        <v>1781</v>
      </c>
      <c r="G759" s="3" t="s">
        <v>430</v>
      </c>
      <c r="H759" s="3">
        <v>0.5</v>
      </c>
      <c r="I759" s="3">
        <v>0</v>
      </c>
      <c r="J759" s="3" t="s">
        <v>18</v>
      </c>
      <c r="K759" s="5">
        <v>0.06</v>
      </c>
      <c r="L759" s="6">
        <v>4690654017248</v>
      </c>
      <c r="M759" s="7" t="s">
        <v>1729</v>
      </c>
      <c r="N759" s="8">
        <f>VLOOKUP(B759,'[1]новый без картинок'!$A$5:$F$2672,6,0)</f>
        <v>225</v>
      </c>
    </row>
    <row r="760" spans="1:14" ht="151.15" customHeight="1" x14ac:dyDescent="0.2">
      <c r="A760" s="3">
        <v>758</v>
      </c>
      <c r="B760" s="3">
        <v>202980</v>
      </c>
      <c r="C760" s="4" t="str">
        <f>HYPERLINK("http://optservis.net:5080/photo?tov_code_internet=202980","Увеличить")</f>
        <v>Увеличить</v>
      </c>
      <c r="D760" s="3" t="s">
        <v>1782</v>
      </c>
      <c r="E760" s="3"/>
      <c r="F760" s="3" t="s">
        <v>1620</v>
      </c>
      <c r="G760" s="3" t="s">
        <v>1101</v>
      </c>
      <c r="H760" s="3">
        <v>0.5</v>
      </c>
      <c r="I760" s="3">
        <v>0</v>
      </c>
      <c r="J760" s="3" t="s">
        <v>18</v>
      </c>
      <c r="K760" s="5">
        <v>0.06</v>
      </c>
      <c r="L760" s="6">
        <v>0</v>
      </c>
      <c r="M760" s="7" t="s">
        <v>1783</v>
      </c>
      <c r="N760" s="8">
        <f>VLOOKUP(B760,'[1]новый без картинок'!$A$5:$F$2672,6,0)</f>
        <v>283</v>
      </c>
    </row>
    <row r="761" spans="1:14" ht="151.15" customHeight="1" x14ac:dyDescent="0.2">
      <c r="A761" s="3">
        <v>759</v>
      </c>
      <c r="B761" s="3">
        <v>155755</v>
      </c>
      <c r="C761" s="4" t="str">
        <f>HYPERLINK("http://optservis.net:5080/photo?tov_code_internet=155755","Увеличить")</f>
        <v>Увеличить</v>
      </c>
      <c r="D761" s="3" t="s">
        <v>1784</v>
      </c>
      <c r="E761" s="3" t="s">
        <v>1785</v>
      </c>
      <c r="F761" s="3" t="s">
        <v>1786</v>
      </c>
      <c r="G761" s="3" t="s">
        <v>430</v>
      </c>
      <c r="H761" s="3">
        <v>0.5</v>
      </c>
      <c r="I761" s="3">
        <v>0</v>
      </c>
      <c r="J761" s="3" t="s">
        <v>18</v>
      </c>
      <c r="K761" s="5">
        <v>0.05</v>
      </c>
      <c r="L761" s="6">
        <v>4690654009618</v>
      </c>
      <c r="M761" s="7" t="s">
        <v>1787</v>
      </c>
      <c r="N761" s="8">
        <f>VLOOKUP(B761,'[1]новый без картинок'!$A$5:$F$2672,6,0)</f>
        <v>296</v>
      </c>
    </row>
    <row r="762" spans="1:14" ht="151.15" customHeight="1" x14ac:dyDescent="0.2">
      <c r="A762" s="3">
        <v>760</v>
      </c>
      <c r="B762" s="3">
        <v>178715</v>
      </c>
      <c r="C762" s="4" t="str">
        <f>HYPERLINK("http://optservis.net:5080/photo?tov_code_internet=178715","Увеличить")</f>
        <v>Увеличить</v>
      </c>
      <c r="D762" s="3" t="s">
        <v>1788</v>
      </c>
      <c r="E762" s="3"/>
      <c r="F762" s="3" t="s">
        <v>1620</v>
      </c>
      <c r="G762" s="3" t="s">
        <v>1101</v>
      </c>
      <c r="H762" s="3">
        <v>0.5</v>
      </c>
      <c r="I762" s="3">
        <v>0</v>
      </c>
      <c r="J762" s="3" t="s">
        <v>18</v>
      </c>
      <c r="K762" s="5">
        <v>0.09</v>
      </c>
      <c r="L762" s="6">
        <v>0</v>
      </c>
      <c r="M762" s="7" t="s">
        <v>1789</v>
      </c>
      <c r="N762" s="8">
        <f>VLOOKUP(B762,'[1]новый без картинок'!$A$5:$F$2672,6,0)</f>
        <v>381</v>
      </c>
    </row>
    <row r="763" spans="1:14" ht="138.6" customHeight="1" x14ac:dyDescent="0.2">
      <c r="A763" s="3">
        <v>761</v>
      </c>
      <c r="B763" s="3">
        <v>154483</v>
      </c>
      <c r="C763" s="4" t="str">
        <f>HYPERLINK("http://optservis.net:5080/photo?tov_code_internet=154483","Увеличить")</f>
        <v>Увеличить</v>
      </c>
      <c r="D763" s="3" t="s">
        <v>1790</v>
      </c>
      <c r="E763" s="3" t="s">
        <v>1791</v>
      </c>
      <c r="F763" s="3" t="s">
        <v>1792</v>
      </c>
      <c r="G763" s="3" t="s">
        <v>1515</v>
      </c>
      <c r="H763" s="3">
        <v>0.5</v>
      </c>
      <c r="I763" s="3">
        <v>0</v>
      </c>
      <c r="J763" s="3" t="s">
        <v>18</v>
      </c>
      <c r="K763" s="5">
        <v>0.06</v>
      </c>
      <c r="L763" s="6">
        <v>4690654007720</v>
      </c>
      <c r="M763" s="7" t="s">
        <v>1793</v>
      </c>
      <c r="N763" s="8">
        <f>VLOOKUP(B763,'[1]новый без картинок'!$A$5:$F$2672,6,0)</f>
        <v>395</v>
      </c>
    </row>
    <row r="764" spans="1:14" ht="151.15" customHeight="1" x14ac:dyDescent="0.2">
      <c r="A764" s="3">
        <v>762</v>
      </c>
      <c r="B764" s="3">
        <v>149701</v>
      </c>
      <c r="C764" s="4" t="str">
        <f>HYPERLINK("http://optservis.net:5080/photo?tov_code_internet=149701","Увеличить")</f>
        <v>Увеличить</v>
      </c>
      <c r="D764" s="3" t="s">
        <v>1794</v>
      </c>
      <c r="E764" s="3"/>
      <c r="F764" s="3" t="s">
        <v>1786</v>
      </c>
      <c r="G764" s="3" t="s">
        <v>430</v>
      </c>
      <c r="H764" s="3">
        <v>0.5</v>
      </c>
      <c r="I764" s="3">
        <v>0</v>
      </c>
      <c r="J764" s="3" t="s">
        <v>18</v>
      </c>
      <c r="K764" s="5">
        <v>0.06</v>
      </c>
      <c r="L764" s="6">
        <v>0</v>
      </c>
      <c r="M764" s="7" t="s">
        <v>1795</v>
      </c>
      <c r="N764" s="8">
        <f>VLOOKUP(B764,'[1]новый без картинок'!$A$5:$F$2672,6,0)</f>
        <v>300</v>
      </c>
    </row>
    <row r="765" spans="1:14" ht="151.15" customHeight="1" x14ac:dyDescent="0.2">
      <c r="A765" s="3">
        <v>763</v>
      </c>
      <c r="B765" s="3">
        <v>149744</v>
      </c>
      <c r="C765" s="4" t="str">
        <f>HYPERLINK("http://optservis.net:5080/photo?tov_code_internet=149744","Увеличить")</f>
        <v>Увеличить</v>
      </c>
      <c r="D765" s="3" t="s">
        <v>1794</v>
      </c>
      <c r="E765" s="3"/>
      <c r="F765" s="3" t="s">
        <v>1620</v>
      </c>
      <c r="G765" s="3" t="s">
        <v>1101</v>
      </c>
      <c r="H765" s="3">
        <v>0.5</v>
      </c>
      <c r="I765" s="3">
        <v>0</v>
      </c>
      <c r="J765" s="3" t="s">
        <v>18</v>
      </c>
      <c r="K765" s="5">
        <v>0.08</v>
      </c>
      <c r="L765" s="6">
        <v>0</v>
      </c>
      <c r="M765" s="7" t="s">
        <v>1795</v>
      </c>
      <c r="N765" s="8">
        <f>VLOOKUP(B765,'[1]новый без картинок'!$A$5:$F$2672,6,0)</f>
        <v>291</v>
      </c>
    </row>
    <row r="766" spans="1:14" ht="151.15" customHeight="1" x14ac:dyDescent="0.2">
      <c r="A766" s="3">
        <v>764</v>
      </c>
      <c r="B766" s="3">
        <v>153267</v>
      </c>
      <c r="C766" s="4" t="str">
        <f>HYPERLINK("http://optservis.net:5080/photo?tov_code_internet=153267","Увеличить")</f>
        <v>Увеличить</v>
      </c>
      <c r="D766" s="3" t="s">
        <v>1796</v>
      </c>
      <c r="E766" s="3"/>
      <c r="F766" s="3" t="s">
        <v>1797</v>
      </c>
      <c r="G766" s="3" t="s">
        <v>1101</v>
      </c>
      <c r="H766" s="3">
        <v>0.5</v>
      </c>
      <c r="I766" s="3">
        <v>0</v>
      </c>
      <c r="J766" s="3" t="s">
        <v>18</v>
      </c>
      <c r="K766" s="5">
        <v>0.1</v>
      </c>
      <c r="L766" s="6">
        <v>0</v>
      </c>
      <c r="M766" s="7" t="s">
        <v>1798</v>
      </c>
      <c r="N766" s="8">
        <f>VLOOKUP(B766,'[1]новый без картинок'!$A$5:$F$2672,6,0)</f>
        <v>586</v>
      </c>
    </row>
    <row r="767" spans="1:14" ht="151.15" customHeight="1" x14ac:dyDescent="0.2">
      <c r="A767" s="3">
        <v>765</v>
      </c>
      <c r="B767" s="3">
        <v>154410</v>
      </c>
      <c r="C767" s="4" t="str">
        <f>HYPERLINK("http://optservis.net:5080/photo?tov_code_internet=154410","Увеличить")</f>
        <v>Увеличить</v>
      </c>
      <c r="D767" s="3" t="s">
        <v>1799</v>
      </c>
      <c r="E767" s="3" t="s">
        <v>1800</v>
      </c>
      <c r="F767" s="3" t="s">
        <v>1558</v>
      </c>
      <c r="G767" s="3" t="s">
        <v>430</v>
      </c>
      <c r="H767" s="3">
        <v>0.5</v>
      </c>
      <c r="I767" s="3">
        <v>0</v>
      </c>
      <c r="J767" s="3" t="s">
        <v>18</v>
      </c>
      <c r="K767" s="5">
        <v>0.06</v>
      </c>
      <c r="L767" s="6">
        <v>4690654008031</v>
      </c>
      <c r="M767" s="7" t="s">
        <v>1801</v>
      </c>
      <c r="N767" s="8">
        <f>VLOOKUP(B767,'[1]новый без картинок'!$A$5:$F$2672,6,0)</f>
        <v>302</v>
      </c>
    </row>
    <row r="768" spans="1:14" ht="151.15" customHeight="1" x14ac:dyDescent="0.2">
      <c r="A768" s="3">
        <v>766</v>
      </c>
      <c r="B768" s="3">
        <v>185843</v>
      </c>
      <c r="C768" s="4" t="str">
        <f>HYPERLINK("http://optservis.net:5080/photo?tov_code_internet=185843","Увеличить")</f>
        <v>Увеличить</v>
      </c>
      <c r="D768" s="3" t="s">
        <v>1802</v>
      </c>
      <c r="E768" s="3" t="s">
        <v>1803</v>
      </c>
      <c r="F768" s="3" t="s">
        <v>1804</v>
      </c>
      <c r="G768" s="3" t="s">
        <v>430</v>
      </c>
      <c r="H768" s="3">
        <v>0.5</v>
      </c>
      <c r="I768" s="3">
        <v>0</v>
      </c>
      <c r="J768" s="3" t="s">
        <v>18</v>
      </c>
      <c r="K768" s="5">
        <v>0.06</v>
      </c>
      <c r="L768" s="6">
        <v>4690654013066</v>
      </c>
      <c r="M768" s="7" t="s">
        <v>1805</v>
      </c>
      <c r="N768" s="8">
        <f>VLOOKUP(B768,'[1]новый без картинок'!$A$5:$F$2672,6,0)</f>
        <v>355</v>
      </c>
    </row>
    <row r="769" spans="1:14" ht="151.15" customHeight="1" x14ac:dyDescent="0.2">
      <c r="A769" s="3">
        <v>767</v>
      </c>
      <c r="B769" s="3">
        <v>149662</v>
      </c>
      <c r="C769" s="4" t="str">
        <f>HYPERLINK("http://optservis.net:5080/photo?tov_code_internet=149662","Увеличить")</f>
        <v>Увеличить</v>
      </c>
      <c r="D769" s="3" t="s">
        <v>1806</v>
      </c>
      <c r="E769" s="3"/>
      <c r="F769" s="3" t="s">
        <v>1804</v>
      </c>
      <c r="G769" s="3" t="s">
        <v>430</v>
      </c>
      <c r="H769" s="3">
        <v>0.5</v>
      </c>
      <c r="I769" s="3">
        <v>0</v>
      </c>
      <c r="J769" s="3" t="s">
        <v>18</v>
      </c>
      <c r="K769" s="5">
        <v>0.08</v>
      </c>
      <c r="L769" s="6">
        <v>0</v>
      </c>
      <c r="M769" s="7" t="s">
        <v>1795</v>
      </c>
      <c r="N769" s="8">
        <f>VLOOKUP(B769,'[1]новый без картинок'!$A$5:$F$2672,6,0)</f>
        <v>306</v>
      </c>
    </row>
    <row r="770" spans="1:14" ht="151.15" customHeight="1" x14ac:dyDescent="0.2">
      <c r="A770" s="3">
        <v>768</v>
      </c>
      <c r="B770" s="3">
        <v>155822</v>
      </c>
      <c r="C770" s="4" t="str">
        <f>HYPERLINK("http://optservis.net:5080/photo?tov_code_internet=155822","Увеличить")</f>
        <v>Увеличить</v>
      </c>
      <c r="D770" s="3" t="s">
        <v>1807</v>
      </c>
      <c r="E770" s="3" t="s">
        <v>1808</v>
      </c>
      <c r="F770" s="3" t="s">
        <v>414</v>
      </c>
      <c r="G770" s="3" t="s">
        <v>373</v>
      </c>
      <c r="H770" s="3">
        <v>0.5</v>
      </c>
      <c r="I770" s="3">
        <v>0</v>
      </c>
      <c r="J770" s="3" t="s">
        <v>18</v>
      </c>
      <c r="K770" s="5">
        <v>0.04</v>
      </c>
      <c r="L770" s="6">
        <v>4690654009816</v>
      </c>
      <c r="M770" s="7" t="s">
        <v>1809</v>
      </c>
      <c r="N770" s="8">
        <f>VLOOKUP(B770,'[1]новый без картинок'!$A$5:$F$2672,6,0)</f>
        <v>174</v>
      </c>
    </row>
    <row r="771" spans="1:14" ht="151.15" customHeight="1" x14ac:dyDescent="0.2">
      <c r="A771" s="3">
        <v>769</v>
      </c>
      <c r="B771" s="3">
        <v>155544</v>
      </c>
      <c r="C771" s="4" t="str">
        <f>HYPERLINK("http://optservis.net:5080/photo?tov_code_internet=155544","Увеличить")</f>
        <v>Увеличить</v>
      </c>
      <c r="D771" s="3" t="s">
        <v>1807</v>
      </c>
      <c r="E771" s="3" t="s">
        <v>1808</v>
      </c>
      <c r="F771" s="3" t="s">
        <v>837</v>
      </c>
      <c r="G771" s="3" t="s">
        <v>373</v>
      </c>
      <c r="H771" s="3">
        <v>0.5</v>
      </c>
      <c r="I771" s="3">
        <v>0</v>
      </c>
      <c r="J771" s="3" t="s">
        <v>18</v>
      </c>
      <c r="K771" s="5">
        <v>0.05</v>
      </c>
      <c r="L771" s="6">
        <v>4690654009823</v>
      </c>
      <c r="M771" s="7" t="s">
        <v>1809</v>
      </c>
      <c r="N771" s="8">
        <f>VLOOKUP(B771,'[1]новый без картинок'!$A$5:$F$2672,6,0)</f>
        <v>181</v>
      </c>
    </row>
    <row r="772" spans="1:14" ht="151.15" customHeight="1" x14ac:dyDescent="0.2">
      <c r="A772" s="3">
        <v>770</v>
      </c>
      <c r="B772" s="3">
        <v>157754</v>
      </c>
      <c r="C772" s="4" t="str">
        <f>HYPERLINK("http://optservis.net:5080/photo?tov_code_internet=157754","Увеличить")</f>
        <v>Увеличить</v>
      </c>
      <c r="D772" s="3" t="s">
        <v>1810</v>
      </c>
      <c r="E772" s="3"/>
      <c r="F772" s="3" t="s">
        <v>837</v>
      </c>
      <c r="G772" s="3" t="s">
        <v>373</v>
      </c>
      <c r="H772" s="3">
        <v>0.5</v>
      </c>
      <c r="I772" s="3">
        <v>0</v>
      </c>
      <c r="J772" s="3" t="s">
        <v>18</v>
      </c>
      <c r="K772" s="5">
        <v>0.06</v>
      </c>
      <c r="L772" s="6">
        <v>0</v>
      </c>
      <c r="M772" s="7" t="s">
        <v>1811</v>
      </c>
      <c r="N772" s="8">
        <f>VLOOKUP(B772,'[1]новый без картинок'!$A$5:$F$2672,6,0)</f>
        <v>243</v>
      </c>
    </row>
    <row r="773" spans="1:14" ht="151.15" customHeight="1" x14ac:dyDescent="0.2">
      <c r="A773" s="3">
        <v>771</v>
      </c>
      <c r="B773" s="3">
        <v>162281</v>
      </c>
      <c r="C773" s="4" t="str">
        <f>HYPERLINK("http://optservis.net:5080/photo?tov_code_internet=162281","Увеличить")</f>
        <v>Увеличить</v>
      </c>
      <c r="D773" s="3" t="s">
        <v>1812</v>
      </c>
      <c r="E773" s="3"/>
      <c r="F773" s="3" t="s">
        <v>1813</v>
      </c>
      <c r="G773" s="3" t="s">
        <v>373</v>
      </c>
      <c r="H773" s="3">
        <v>0.5</v>
      </c>
      <c r="I773" s="3">
        <v>0</v>
      </c>
      <c r="J773" s="3" t="s">
        <v>18</v>
      </c>
      <c r="K773" s="5">
        <v>0.05</v>
      </c>
      <c r="L773" s="6">
        <v>0</v>
      </c>
      <c r="M773" s="7" t="s">
        <v>1814</v>
      </c>
      <c r="N773" s="8">
        <f>VLOOKUP(B773,'[1]новый без картинок'!$A$5:$F$2672,6,0)</f>
        <v>186</v>
      </c>
    </row>
    <row r="774" spans="1:14" ht="151.15" customHeight="1" x14ac:dyDescent="0.2">
      <c r="A774" s="3">
        <v>772</v>
      </c>
      <c r="B774" s="3">
        <v>188809</v>
      </c>
      <c r="C774" s="4" t="str">
        <f>HYPERLINK("http://optservis.net:5080/photo?tov_code_internet=188809","Увеличить")</f>
        <v>Увеличить</v>
      </c>
      <c r="D774" s="3" t="s">
        <v>1815</v>
      </c>
      <c r="E774" s="3" t="s">
        <v>1816</v>
      </c>
      <c r="F774" s="3" t="s">
        <v>1817</v>
      </c>
      <c r="G774" s="3" t="s">
        <v>373</v>
      </c>
      <c r="H774" s="3">
        <v>0.5</v>
      </c>
      <c r="I774" s="3">
        <v>0</v>
      </c>
      <c r="J774" s="3" t="s">
        <v>18</v>
      </c>
      <c r="K774" s="5">
        <v>0.05</v>
      </c>
      <c r="L774" s="6">
        <v>4690654016951</v>
      </c>
      <c r="M774" s="7" t="s">
        <v>1818</v>
      </c>
      <c r="N774" s="8">
        <f>VLOOKUP(B774,'[1]новый без картинок'!$A$5:$F$2672,6,0)</f>
        <v>172</v>
      </c>
    </row>
    <row r="775" spans="1:14" ht="151.15" customHeight="1" x14ac:dyDescent="0.2">
      <c r="A775" s="3">
        <v>773</v>
      </c>
      <c r="B775" s="3">
        <v>149319</v>
      </c>
      <c r="C775" s="4" t="str">
        <f>HYPERLINK("http://optservis.net:5080/photo?tov_code_internet=149319","Увеличить")</f>
        <v>Увеличить</v>
      </c>
      <c r="D775" s="3" t="s">
        <v>1815</v>
      </c>
      <c r="E775" s="3" t="s">
        <v>1816</v>
      </c>
      <c r="F775" s="3" t="s">
        <v>1634</v>
      </c>
      <c r="G775" s="3" t="s">
        <v>373</v>
      </c>
      <c r="H775" s="3">
        <v>0.5</v>
      </c>
      <c r="I775" s="3">
        <v>0</v>
      </c>
      <c r="J775" s="3" t="s">
        <v>18</v>
      </c>
      <c r="K775" s="5">
        <v>0.05</v>
      </c>
      <c r="L775" s="6">
        <v>4690654009144</v>
      </c>
      <c r="M775" s="7" t="s">
        <v>1819</v>
      </c>
      <c r="N775" s="8">
        <f>VLOOKUP(B775,'[1]новый без картинок'!$A$5:$F$2672,6,0)</f>
        <v>164</v>
      </c>
    </row>
    <row r="776" spans="1:14" ht="151.15" customHeight="1" x14ac:dyDescent="0.2">
      <c r="A776" s="3">
        <v>774</v>
      </c>
      <c r="B776" s="3">
        <v>149344</v>
      </c>
      <c r="C776" s="4" t="str">
        <f>HYPERLINK("http://optservis.net:5080/photo?tov_code_internet=149344","Увеличить")</f>
        <v>Увеличить</v>
      </c>
      <c r="D776" s="3" t="s">
        <v>1820</v>
      </c>
      <c r="E776" s="3" t="s">
        <v>1821</v>
      </c>
      <c r="F776" s="3" t="s">
        <v>1822</v>
      </c>
      <c r="G776" s="3" t="s">
        <v>1429</v>
      </c>
      <c r="H776" s="3">
        <v>0.5</v>
      </c>
      <c r="I776" s="3">
        <v>0</v>
      </c>
      <c r="J776" s="3" t="s">
        <v>18</v>
      </c>
      <c r="K776" s="5">
        <v>0.04</v>
      </c>
      <c r="L776" s="6">
        <v>4690654009793</v>
      </c>
      <c r="M776" s="7" t="s">
        <v>1823</v>
      </c>
      <c r="N776" s="8">
        <f>VLOOKUP(B776,'[1]новый без картинок'!$A$5:$F$2672,6,0)</f>
        <v>283</v>
      </c>
    </row>
    <row r="777" spans="1:14" ht="151.15" customHeight="1" x14ac:dyDescent="0.2">
      <c r="A777" s="3">
        <v>775</v>
      </c>
      <c r="B777" s="3">
        <v>149343</v>
      </c>
      <c r="C777" s="4" t="str">
        <f>HYPERLINK("http://optservis.net:5080/photo?tov_code_internet=149343","Увеличить")</f>
        <v>Увеличить</v>
      </c>
      <c r="D777" s="3" t="s">
        <v>1820</v>
      </c>
      <c r="E777" s="3" t="s">
        <v>1821</v>
      </c>
      <c r="F777" s="3" t="s">
        <v>1824</v>
      </c>
      <c r="G777" s="3" t="s">
        <v>1429</v>
      </c>
      <c r="H777" s="3">
        <v>0.5</v>
      </c>
      <c r="I777" s="3">
        <v>0</v>
      </c>
      <c r="J777" s="3" t="s">
        <v>18</v>
      </c>
      <c r="K777" s="5">
        <v>0.04</v>
      </c>
      <c r="L777" s="6">
        <v>4690654009809</v>
      </c>
      <c r="M777" s="7" t="s">
        <v>1825</v>
      </c>
      <c r="N777" s="8">
        <f>VLOOKUP(B777,'[1]новый без картинок'!$A$5:$F$2672,6,0)</f>
        <v>272</v>
      </c>
    </row>
    <row r="778" spans="1:14" ht="151.15" customHeight="1" x14ac:dyDescent="0.2">
      <c r="A778" s="3">
        <v>776</v>
      </c>
      <c r="B778" s="3">
        <v>149335</v>
      </c>
      <c r="C778" s="4" t="str">
        <f>HYPERLINK("http://optservis.net:5080/photo?tov_code_internet=149335","Увеличить")</f>
        <v>Увеличить</v>
      </c>
      <c r="D778" s="3" t="s">
        <v>1826</v>
      </c>
      <c r="E778" s="3"/>
      <c r="F778" s="3" t="s">
        <v>1813</v>
      </c>
      <c r="G778" s="3" t="s">
        <v>373</v>
      </c>
      <c r="H778" s="3">
        <v>0.5</v>
      </c>
      <c r="I778" s="3">
        <v>0</v>
      </c>
      <c r="J778" s="3" t="s">
        <v>18</v>
      </c>
      <c r="K778" s="5">
        <v>0.06</v>
      </c>
      <c r="L778" s="6">
        <v>0</v>
      </c>
      <c r="M778" s="7" t="s">
        <v>1827</v>
      </c>
      <c r="N778" s="8">
        <f>VLOOKUP(B778,'[1]новый без картинок'!$A$5:$F$2672,6,0)</f>
        <v>186</v>
      </c>
    </row>
    <row r="779" spans="1:14" ht="151.15" customHeight="1" x14ac:dyDescent="0.2">
      <c r="A779" s="3">
        <v>777</v>
      </c>
      <c r="B779" s="3">
        <v>207816</v>
      </c>
      <c r="C779" s="4" t="str">
        <f>HYPERLINK("http://optservis.net:5080/photo?tov_code_internet=207816","Увеличить")</f>
        <v>Увеличить</v>
      </c>
      <c r="D779" s="3" t="s">
        <v>1826</v>
      </c>
      <c r="E779" s="3"/>
      <c r="F779" s="3" t="s">
        <v>1411</v>
      </c>
      <c r="G779" s="3" t="s">
        <v>373</v>
      </c>
      <c r="H779" s="3">
        <v>0.5</v>
      </c>
      <c r="I779" s="3">
        <v>0</v>
      </c>
      <c r="J779" s="3" t="s">
        <v>18</v>
      </c>
      <c r="K779" s="5">
        <v>7.0000000000000007E-2</v>
      </c>
      <c r="L779" s="6">
        <v>0</v>
      </c>
      <c r="M779" s="7" t="s">
        <v>1828</v>
      </c>
      <c r="N779" s="8">
        <f>VLOOKUP(B779,'[1]новый без картинок'!$A$5:$F$2672,6,0)</f>
        <v>178</v>
      </c>
    </row>
    <row r="780" spans="1:14" ht="151.15" customHeight="1" x14ac:dyDescent="0.2">
      <c r="A780" s="3">
        <v>778</v>
      </c>
      <c r="B780" s="3">
        <v>203539</v>
      </c>
      <c r="C780" s="4" t="str">
        <f>HYPERLINK("http://optservis.net:5080/photo?tov_code_internet=203539","Увеличить")</f>
        <v>Увеличить</v>
      </c>
      <c r="D780" s="3" t="s">
        <v>1826</v>
      </c>
      <c r="E780" s="3"/>
      <c r="F780" s="3" t="s">
        <v>1322</v>
      </c>
      <c r="G780" s="3" t="s">
        <v>373</v>
      </c>
      <c r="H780" s="3">
        <v>0.5</v>
      </c>
      <c r="I780" s="3">
        <v>0</v>
      </c>
      <c r="J780" s="3" t="s">
        <v>18</v>
      </c>
      <c r="K780" s="5">
        <v>7.0000000000000007E-2</v>
      </c>
      <c r="L780" s="6">
        <v>0</v>
      </c>
      <c r="M780" s="7" t="s">
        <v>1829</v>
      </c>
      <c r="N780" s="8">
        <f>VLOOKUP(B780,'[1]новый без картинок'!$A$5:$F$2672,6,0)</f>
        <v>178</v>
      </c>
    </row>
    <row r="781" spans="1:14" ht="151.15" customHeight="1" x14ac:dyDescent="0.2">
      <c r="A781" s="3">
        <v>779</v>
      </c>
      <c r="B781" s="3">
        <v>207818</v>
      </c>
      <c r="C781" s="4" t="str">
        <f>HYPERLINK("http://optservis.net:5080/photo?tov_code_internet=207818","Увеличить")</f>
        <v>Увеличить</v>
      </c>
      <c r="D781" s="3" t="s">
        <v>1826</v>
      </c>
      <c r="E781" s="3"/>
      <c r="F781" s="3" t="s">
        <v>752</v>
      </c>
      <c r="G781" s="3" t="s">
        <v>373</v>
      </c>
      <c r="H781" s="3">
        <v>0.5</v>
      </c>
      <c r="I781" s="3">
        <v>0</v>
      </c>
      <c r="J781" s="3" t="s">
        <v>18</v>
      </c>
      <c r="K781" s="5">
        <v>7.0000000000000007E-2</v>
      </c>
      <c r="L781" s="6">
        <v>0</v>
      </c>
      <c r="M781" s="7" t="s">
        <v>1828</v>
      </c>
      <c r="N781" s="8">
        <f>VLOOKUP(B781,'[1]новый без картинок'!$A$5:$F$2672,6,0)</f>
        <v>179</v>
      </c>
    </row>
    <row r="782" spans="1:14" ht="151.15" customHeight="1" x14ac:dyDescent="0.2">
      <c r="A782" s="3">
        <v>780</v>
      </c>
      <c r="B782" s="3">
        <v>207817</v>
      </c>
      <c r="C782" s="4" t="str">
        <f>HYPERLINK("http://optservis.net:5080/photo?tov_code_internet=207817","Увеличить")</f>
        <v>Увеличить</v>
      </c>
      <c r="D782" s="3" t="s">
        <v>1826</v>
      </c>
      <c r="E782" s="3" t="s">
        <v>1830</v>
      </c>
      <c r="F782" s="3" t="s">
        <v>837</v>
      </c>
      <c r="G782" s="3" t="s">
        <v>373</v>
      </c>
      <c r="H782" s="3">
        <v>0.5</v>
      </c>
      <c r="I782" s="3">
        <v>0</v>
      </c>
      <c r="J782" s="3" t="s">
        <v>18</v>
      </c>
      <c r="K782" s="5">
        <v>0.06</v>
      </c>
      <c r="L782" s="6">
        <v>4690654018917</v>
      </c>
      <c r="M782" s="7" t="s">
        <v>1828</v>
      </c>
      <c r="N782" s="8">
        <f>VLOOKUP(B782,'[1]новый без картинок'!$A$5:$F$2672,6,0)</f>
        <v>186</v>
      </c>
    </row>
    <row r="783" spans="1:14" ht="151.15" customHeight="1" x14ac:dyDescent="0.2">
      <c r="A783" s="3">
        <v>781</v>
      </c>
      <c r="B783" s="3">
        <v>149342</v>
      </c>
      <c r="C783" s="4" t="str">
        <f>HYPERLINK("http://optservis.net:5080/photo?tov_code_internet=149342","Увеличить")</f>
        <v>Увеличить</v>
      </c>
      <c r="D783" s="3" t="s">
        <v>1831</v>
      </c>
      <c r="E783" s="3"/>
      <c r="F783" s="3" t="s">
        <v>1832</v>
      </c>
      <c r="G783" s="3" t="s">
        <v>1697</v>
      </c>
      <c r="H783" s="3">
        <v>0.5</v>
      </c>
      <c r="I783" s="3">
        <v>0</v>
      </c>
      <c r="J783" s="3" t="s">
        <v>18</v>
      </c>
      <c r="K783" s="5">
        <v>0.03</v>
      </c>
      <c r="L783" s="6">
        <v>0</v>
      </c>
      <c r="M783" s="7" t="s">
        <v>1833</v>
      </c>
      <c r="N783" s="8">
        <f>VLOOKUP(B783,'[1]новый без картинок'!$A$5:$F$2672,6,0)</f>
        <v>289</v>
      </c>
    </row>
    <row r="784" spans="1:14" ht="151.15" customHeight="1" x14ac:dyDescent="0.2">
      <c r="A784" s="3">
        <v>782</v>
      </c>
      <c r="B784" s="3">
        <v>192104</v>
      </c>
      <c r="C784" s="4" t="str">
        <f>HYPERLINK("http://optservis.net:5080/photo?tov_code_internet=192104","Увеличить")</f>
        <v>Увеличить</v>
      </c>
      <c r="D784" s="3" t="s">
        <v>1834</v>
      </c>
      <c r="E784" s="3"/>
      <c r="F784" s="3" t="s">
        <v>1411</v>
      </c>
      <c r="G784" s="3" t="s">
        <v>373</v>
      </c>
      <c r="H784" s="3">
        <v>0.5</v>
      </c>
      <c r="I784" s="3">
        <v>0</v>
      </c>
      <c r="J784" s="3" t="s">
        <v>18</v>
      </c>
      <c r="K784" s="5">
        <v>7.0000000000000007E-2</v>
      </c>
      <c r="L784" s="6">
        <v>0</v>
      </c>
      <c r="M784" s="7" t="s">
        <v>1835</v>
      </c>
      <c r="N784" s="8">
        <f>VLOOKUP(B784,'[1]новый без картинок'!$A$5:$F$2672,6,0)</f>
        <v>189</v>
      </c>
    </row>
    <row r="785" spans="1:14" ht="151.15" customHeight="1" x14ac:dyDescent="0.2">
      <c r="A785" s="3">
        <v>783</v>
      </c>
      <c r="B785" s="3">
        <v>192105</v>
      </c>
      <c r="C785" s="4" t="str">
        <f>HYPERLINK("http://optservis.net:5080/photo?tov_code_internet=192105","Увеличить")</f>
        <v>Увеличить</v>
      </c>
      <c r="D785" s="3" t="s">
        <v>1834</v>
      </c>
      <c r="E785" s="3"/>
      <c r="F785" s="3" t="s">
        <v>1322</v>
      </c>
      <c r="G785" s="3" t="s">
        <v>373</v>
      </c>
      <c r="H785" s="3">
        <v>0.5</v>
      </c>
      <c r="I785" s="3">
        <v>0</v>
      </c>
      <c r="J785" s="3" t="s">
        <v>18</v>
      </c>
      <c r="K785" s="5">
        <v>7.0000000000000007E-2</v>
      </c>
      <c r="L785" s="6">
        <v>0</v>
      </c>
      <c r="M785" s="7" t="s">
        <v>1835</v>
      </c>
      <c r="N785" s="8">
        <f>VLOOKUP(B785,'[1]новый без картинок'!$A$5:$F$2672,6,0)</f>
        <v>189</v>
      </c>
    </row>
    <row r="786" spans="1:14" ht="151.15" customHeight="1" x14ac:dyDescent="0.2">
      <c r="A786" s="3">
        <v>784</v>
      </c>
      <c r="B786" s="3">
        <v>199214</v>
      </c>
      <c r="C786" s="4" t="str">
        <f>HYPERLINK("http://optservis.net:5080/photo?tov_code_internet=199214","Увеличить")</f>
        <v>Увеличить</v>
      </c>
      <c r="D786" s="3" t="s">
        <v>1834</v>
      </c>
      <c r="E786" s="3"/>
      <c r="F786" s="3" t="s">
        <v>1449</v>
      </c>
      <c r="G786" s="3" t="s">
        <v>373</v>
      </c>
      <c r="H786" s="3">
        <v>0.5</v>
      </c>
      <c r="I786" s="3">
        <v>0</v>
      </c>
      <c r="J786" s="3" t="s">
        <v>18</v>
      </c>
      <c r="K786" s="5">
        <v>7.0000000000000007E-2</v>
      </c>
      <c r="L786" s="6">
        <v>0</v>
      </c>
      <c r="M786" s="7" t="s">
        <v>1836</v>
      </c>
      <c r="N786" s="8">
        <f>VLOOKUP(B786,'[1]новый без картинок'!$A$5:$F$2672,6,0)</f>
        <v>191</v>
      </c>
    </row>
    <row r="787" spans="1:14" ht="151.15" customHeight="1" x14ac:dyDescent="0.2">
      <c r="A787" s="3">
        <v>785</v>
      </c>
      <c r="B787" s="3">
        <v>192106</v>
      </c>
      <c r="C787" s="4" t="str">
        <f>HYPERLINK("http://optservis.net:5080/photo?tov_code_internet=192106","Увеличить")</f>
        <v>Увеличить</v>
      </c>
      <c r="D787" s="3" t="s">
        <v>1834</v>
      </c>
      <c r="E787" s="3"/>
      <c r="F787" s="3" t="s">
        <v>1714</v>
      </c>
      <c r="G787" s="3" t="s">
        <v>373</v>
      </c>
      <c r="H787" s="3">
        <v>0.5</v>
      </c>
      <c r="I787" s="3">
        <v>0</v>
      </c>
      <c r="J787" s="3" t="s">
        <v>18</v>
      </c>
      <c r="K787" s="5">
        <v>0.06</v>
      </c>
      <c r="L787" s="6">
        <v>0</v>
      </c>
      <c r="M787" s="7" t="s">
        <v>1835</v>
      </c>
      <c r="N787" s="8">
        <f>VLOOKUP(B787,'[1]новый без картинок'!$A$5:$F$2672,6,0)</f>
        <v>192</v>
      </c>
    </row>
    <row r="788" spans="1:14" ht="151.15" customHeight="1" x14ac:dyDescent="0.2">
      <c r="A788" s="3">
        <v>786</v>
      </c>
      <c r="B788" s="3">
        <v>199213</v>
      </c>
      <c r="C788" s="4" t="str">
        <f>HYPERLINK("http://optservis.net:5080/photo?tov_code_internet=199213","Увеличить")</f>
        <v>Увеличить</v>
      </c>
      <c r="D788" s="3" t="s">
        <v>1834</v>
      </c>
      <c r="E788" s="3" t="s">
        <v>1837</v>
      </c>
      <c r="F788" s="3" t="s">
        <v>1448</v>
      </c>
      <c r="G788" s="3" t="s">
        <v>373</v>
      </c>
      <c r="H788" s="3">
        <v>0.5</v>
      </c>
      <c r="I788" s="3">
        <v>0</v>
      </c>
      <c r="J788" s="3" t="s">
        <v>18</v>
      </c>
      <c r="K788" s="5">
        <v>7.0000000000000007E-2</v>
      </c>
      <c r="L788" s="6">
        <v>4690654016487</v>
      </c>
      <c r="M788" s="7" t="s">
        <v>1836</v>
      </c>
      <c r="N788" s="8">
        <f>VLOOKUP(B788,'[1]новый без картинок'!$A$5:$F$2672,6,0)</f>
        <v>190</v>
      </c>
    </row>
    <row r="789" spans="1:14" ht="138.6" customHeight="1" x14ac:dyDescent="0.2">
      <c r="A789" s="3">
        <v>787</v>
      </c>
      <c r="B789" s="3">
        <v>154478</v>
      </c>
      <c r="C789" s="4" t="str">
        <f>HYPERLINK("http://optservis.net:5080/photo?tov_code_internet=154478","Увеличить")</f>
        <v>Увеличить</v>
      </c>
      <c r="D789" s="3" t="s">
        <v>1838</v>
      </c>
      <c r="E789" s="3" t="s">
        <v>1791</v>
      </c>
      <c r="F789" s="3" t="s">
        <v>1839</v>
      </c>
      <c r="G789" s="3" t="s">
        <v>1469</v>
      </c>
      <c r="H789" s="3">
        <v>0.5</v>
      </c>
      <c r="I789" s="3">
        <v>0</v>
      </c>
      <c r="J789" s="3" t="s">
        <v>18</v>
      </c>
      <c r="K789" s="5">
        <v>0.04</v>
      </c>
      <c r="L789" s="6">
        <v>4690654007553</v>
      </c>
      <c r="M789" s="7" t="s">
        <v>1840</v>
      </c>
      <c r="N789" s="8">
        <f>VLOOKUP(B789,'[1]новый без картинок'!$A$5:$F$2672,6,0)</f>
        <v>334</v>
      </c>
    </row>
    <row r="790" spans="1:14" ht="151.15" customHeight="1" x14ac:dyDescent="0.2">
      <c r="A790" s="3">
        <v>788</v>
      </c>
      <c r="B790" s="3">
        <v>199581</v>
      </c>
      <c r="C790" s="4" t="str">
        <f>HYPERLINK("http://optservis.net:5080/photo?tov_code_internet=199581","Увеличить")</f>
        <v>Увеличить</v>
      </c>
      <c r="D790" s="3" t="s">
        <v>1841</v>
      </c>
      <c r="E790" s="3"/>
      <c r="F790" s="3" t="s">
        <v>1842</v>
      </c>
      <c r="G790" s="3" t="s">
        <v>430</v>
      </c>
      <c r="H790" s="3">
        <v>0.5</v>
      </c>
      <c r="I790" s="3">
        <v>0</v>
      </c>
      <c r="J790" s="3" t="s">
        <v>18</v>
      </c>
      <c r="K790" s="5">
        <v>0.06</v>
      </c>
      <c r="L790" s="6">
        <v>0</v>
      </c>
      <c r="M790" s="7" t="s">
        <v>1843</v>
      </c>
      <c r="N790" s="8">
        <f>VLOOKUP(B790,'[1]новый без картинок'!$A$5:$F$2672,6,0)</f>
        <v>312</v>
      </c>
    </row>
    <row r="791" spans="1:14" ht="151.15" customHeight="1" x14ac:dyDescent="0.2">
      <c r="A791" s="3">
        <v>789</v>
      </c>
      <c r="B791" s="3">
        <v>192112</v>
      </c>
      <c r="C791" s="4" t="str">
        <f>HYPERLINK("http://optservis.net:5080/photo?tov_code_internet=192112","Увеличить")</f>
        <v>Увеличить</v>
      </c>
      <c r="D791" s="3" t="s">
        <v>1841</v>
      </c>
      <c r="E791" s="3" t="s">
        <v>1844</v>
      </c>
      <c r="F791" s="3" t="s">
        <v>1786</v>
      </c>
      <c r="G791" s="3" t="s">
        <v>430</v>
      </c>
      <c r="H791" s="3">
        <v>0.5</v>
      </c>
      <c r="I791" s="3">
        <v>0</v>
      </c>
      <c r="J791" s="3" t="s">
        <v>18</v>
      </c>
      <c r="K791" s="5">
        <v>0.06</v>
      </c>
      <c r="L791" s="6">
        <v>4690654018108</v>
      </c>
      <c r="M791" s="7" t="s">
        <v>1845</v>
      </c>
      <c r="N791" s="8">
        <f>VLOOKUP(B791,'[1]новый без картинок'!$A$5:$F$2672,6,0)</f>
        <v>311</v>
      </c>
    </row>
    <row r="792" spans="1:14" ht="151.15" customHeight="1" x14ac:dyDescent="0.2">
      <c r="A792" s="3">
        <v>790</v>
      </c>
      <c r="B792" s="3">
        <v>165641</v>
      </c>
      <c r="C792" s="4" t="str">
        <f>HYPERLINK("http://optservis.net:5080/photo?tov_code_internet=165641","Увеличить")</f>
        <v>Увеличить</v>
      </c>
      <c r="D792" s="3" t="s">
        <v>1846</v>
      </c>
      <c r="E792" s="3"/>
      <c r="F792" s="3" t="s">
        <v>1804</v>
      </c>
      <c r="G792" s="3" t="s">
        <v>430</v>
      </c>
      <c r="H792" s="3">
        <v>0.5</v>
      </c>
      <c r="I792" s="3">
        <v>0</v>
      </c>
      <c r="J792" s="3" t="s">
        <v>18</v>
      </c>
      <c r="K792" s="5">
        <v>0.08</v>
      </c>
      <c r="L792" s="6">
        <v>0</v>
      </c>
      <c r="M792" s="7" t="s">
        <v>1847</v>
      </c>
      <c r="N792" s="8">
        <f>VLOOKUP(B792,'[1]новый без картинок'!$A$5:$F$2672,6,0)</f>
        <v>365</v>
      </c>
    </row>
    <row r="793" spans="1:14" ht="151.15" customHeight="1" x14ac:dyDescent="0.2">
      <c r="A793" s="3">
        <v>791</v>
      </c>
      <c r="B793" s="3">
        <v>162283</v>
      </c>
      <c r="C793" s="4" t="str">
        <f>HYPERLINK("http://optservis.net:5080/photo?tov_code_internet=162283","Увеличить")</f>
        <v>Увеличить</v>
      </c>
      <c r="D793" s="3" t="s">
        <v>1848</v>
      </c>
      <c r="E793" s="3" t="s">
        <v>1849</v>
      </c>
      <c r="F793" s="3" t="s">
        <v>1338</v>
      </c>
      <c r="G793" s="3" t="s">
        <v>430</v>
      </c>
      <c r="H793" s="3">
        <v>0.5</v>
      </c>
      <c r="I793" s="3">
        <v>0</v>
      </c>
      <c r="J793" s="3" t="s">
        <v>18</v>
      </c>
      <c r="K793" s="5">
        <v>7.0000000000000007E-2</v>
      </c>
      <c r="L793" s="6">
        <v>4690654009625</v>
      </c>
      <c r="M793" s="7" t="s">
        <v>1850</v>
      </c>
      <c r="N793" s="8">
        <f>VLOOKUP(B793,'[1]новый без картинок'!$A$5:$F$2672,6,0)</f>
        <v>315</v>
      </c>
    </row>
    <row r="794" spans="1:14" ht="151.15" customHeight="1" x14ac:dyDescent="0.2">
      <c r="A794" s="3">
        <v>792</v>
      </c>
      <c r="B794" s="3">
        <v>188808</v>
      </c>
      <c r="C794" s="4" t="str">
        <f>HYPERLINK("http://optservis.net:5080/photo?tov_code_internet=188808","Увеличить")</f>
        <v>Увеличить</v>
      </c>
      <c r="D794" s="3" t="s">
        <v>1851</v>
      </c>
      <c r="E794" s="3" t="s">
        <v>1852</v>
      </c>
      <c r="F794" s="3" t="s">
        <v>1853</v>
      </c>
      <c r="G794" s="3" t="s">
        <v>430</v>
      </c>
      <c r="H794" s="3">
        <v>0.5</v>
      </c>
      <c r="I794" s="3">
        <v>0</v>
      </c>
      <c r="J794" s="3" t="s">
        <v>18</v>
      </c>
      <c r="K794" s="5">
        <v>7.0000000000000007E-2</v>
      </c>
      <c r="L794" s="6">
        <v>0</v>
      </c>
      <c r="M794" s="7" t="s">
        <v>1854</v>
      </c>
      <c r="N794" s="8">
        <f>VLOOKUP(B794,'[1]новый без картинок'!$A$5:$F$2672,6,0)</f>
        <v>299</v>
      </c>
    </row>
    <row r="795" spans="1:14" ht="151.15" customHeight="1" x14ac:dyDescent="0.2">
      <c r="A795" s="3">
        <v>793</v>
      </c>
      <c r="B795" s="3">
        <v>168822</v>
      </c>
      <c r="C795" s="4" t="str">
        <f>HYPERLINK("http://optservis.net:5080/photo?tov_code_internet=168822","Увеличить")</f>
        <v>Увеличить</v>
      </c>
      <c r="D795" s="3" t="s">
        <v>1851</v>
      </c>
      <c r="E795" s="3" t="s">
        <v>1852</v>
      </c>
      <c r="F795" s="3" t="s">
        <v>1855</v>
      </c>
      <c r="G795" s="3" t="s">
        <v>430</v>
      </c>
      <c r="H795" s="3">
        <v>0.5</v>
      </c>
      <c r="I795" s="3">
        <v>0</v>
      </c>
      <c r="J795" s="3" t="s">
        <v>18</v>
      </c>
      <c r="K795" s="5">
        <v>7.0000000000000007E-2</v>
      </c>
      <c r="L795" s="6">
        <v>4690654009632</v>
      </c>
      <c r="M795" s="7" t="s">
        <v>1856</v>
      </c>
      <c r="N795" s="8">
        <f>VLOOKUP(B795,'[1]новый без картинок'!$A$5:$F$2672,6,0)</f>
        <v>299</v>
      </c>
    </row>
    <row r="796" spans="1:14" ht="151.15" customHeight="1" x14ac:dyDescent="0.2">
      <c r="A796" s="3">
        <v>794</v>
      </c>
      <c r="B796" s="3">
        <v>165640</v>
      </c>
      <c r="C796" s="4" t="str">
        <f>HYPERLINK("http://optservis.net:5080/photo?tov_code_internet=165640","Увеличить")</f>
        <v>Увеличить</v>
      </c>
      <c r="D796" s="3" t="s">
        <v>1857</v>
      </c>
      <c r="E796" s="3"/>
      <c r="F796" s="3" t="s">
        <v>1858</v>
      </c>
      <c r="G796" s="3" t="s">
        <v>1469</v>
      </c>
      <c r="H796" s="3">
        <v>0.5</v>
      </c>
      <c r="I796" s="3">
        <v>0</v>
      </c>
      <c r="J796" s="3" t="s">
        <v>18</v>
      </c>
      <c r="K796" s="5">
        <v>0.06</v>
      </c>
      <c r="L796" s="6">
        <v>0</v>
      </c>
      <c r="M796" s="7" t="s">
        <v>1859</v>
      </c>
      <c r="N796" s="8">
        <f>VLOOKUP(B796,'[1]новый без картинок'!$A$5:$F$2672,6,0)</f>
        <v>439</v>
      </c>
    </row>
    <row r="797" spans="1:14" ht="138.6" customHeight="1" x14ac:dyDescent="0.2">
      <c r="A797" s="3">
        <v>795</v>
      </c>
      <c r="B797" s="3">
        <v>154397</v>
      </c>
      <c r="C797" s="4" t="str">
        <f>HYPERLINK("http://optservis.net:5080/photo?tov_code_internet=154397","Увеличить")</f>
        <v>Увеличить</v>
      </c>
      <c r="D797" s="3" t="s">
        <v>1857</v>
      </c>
      <c r="E797" s="3" t="s">
        <v>1860</v>
      </c>
      <c r="F797" s="3" t="s">
        <v>1861</v>
      </c>
      <c r="G797" s="3" t="s">
        <v>1469</v>
      </c>
      <c r="H797" s="3">
        <v>0.5</v>
      </c>
      <c r="I797" s="3">
        <v>0</v>
      </c>
      <c r="J797" s="3" t="s">
        <v>18</v>
      </c>
      <c r="K797" s="5">
        <v>0.06</v>
      </c>
      <c r="L797" s="6">
        <v>4690654013370</v>
      </c>
      <c r="M797" s="7" t="s">
        <v>1862</v>
      </c>
      <c r="N797" s="8">
        <f>VLOOKUP(B797,'[1]новый без картинок'!$A$5:$F$2672,6,0)</f>
        <v>411</v>
      </c>
    </row>
    <row r="798" spans="1:14" ht="138.6" customHeight="1" x14ac:dyDescent="0.2">
      <c r="A798" s="3">
        <v>796</v>
      </c>
      <c r="B798" s="3">
        <v>154409</v>
      </c>
      <c r="C798" s="4" t="str">
        <f>HYPERLINK("http://optservis.net:5080/photo?tov_code_internet=154409","Увеличить")</f>
        <v>Увеличить</v>
      </c>
      <c r="D798" s="3" t="s">
        <v>1857</v>
      </c>
      <c r="E798" s="3" t="s">
        <v>1860</v>
      </c>
      <c r="F798" s="3" t="s">
        <v>1863</v>
      </c>
      <c r="G798" s="3" t="s">
        <v>1469</v>
      </c>
      <c r="H798" s="3">
        <v>0.5</v>
      </c>
      <c r="I798" s="3">
        <v>0</v>
      </c>
      <c r="J798" s="3" t="s">
        <v>18</v>
      </c>
      <c r="K798" s="5">
        <v>0.06</v>
      </c>
      <c r="L798" s="6">
        <v>4690654007560</v>
      </c>
      <c r="M798" s="7" t="s">
        <v>1862</v>
      </c>
      <c r="N798" s="8">
        <f>VLOOKUP(B798,'[1]новый без картинок'!$A$5:$F$2672,6,0)</f>
        <v>410</v>
      </c>
    </row>
    <row r="799" spans="1:14" ht="151.15" customHeight="1" x14ac:dyDescent="0.2">
      <c r="A799" s="3">
        <v>797</v>
      </c>
      <c r="B799" s="3">
        <v>199580</v>
      </c>
      <c r="C799" s="4" t="str">
        <f>HYPERLINK("http://optservis.net:5080/photo?tov_code_internet=199580","Увеличить")</f>
        <v>Увеличить</v>
      </c>
      <c r="D799" s="3" t="s">
        <v>1864</v>
      </c>
      <c r="E799" s="3"/>
      <c r="F799" s="3" t="s">
        <v>1865</v>
      </c>
      <c r="G799" s="3" t="s">
        <v>430</v>
      </c>
      <c r="H799" s="3">
        <v>0.5</v>
      </c>
      <c r="I799" s="3">
        <v>0</v>
      </c>
      <c r="J799" s="3" t="s">
        <v>18</v>
      </c>
      <c r="K799" s="5">
        <v>0.08</v>
      </c>
      <c r="L799" s="6">
        <v>0</v>
      </c>
      <c r="M799" s="7" t="s">
        <v>1866</v>
      </c>
      <c r="N799" s="8">
        <f>VLOOKUP(B799,'[1]новый без картинок'!$A$5:$F$2672,6,0)</f>
        <v>316</v>
      </c>
    </row>
    <row r="800" spans="1:14" ht="151.15" customHeight="1" x14ac:dyDescent="0.2">
      <c r="A800" s="3">
        <v>798</v>
      </c>
      <c r="B800" s="3">
        <v>192117</v>
      </c>
      <c r="C800" s="4" t="str">
        <f>HYPERLINK("http://optservis.net:5080/photo?tov_code_internet=192117","Увеличить")</f>
        <v>Увеличить</v>
      </c>
      <c r="D800" s="3" t="s">
        <v>1864</v>
      </c>
      <c r="E800" s="3"/>
      <c r="F800" s="3" t="s">
        <v>1867</v>
      </c>
      <c r="G800" s="3" t="s">
        <v>430</v>
      </c>
      <c r="H800" s="3">
        <v>0.5</v>
      </c>
      <c r="I800" s="3">
        <v>0</v>
      </c>
      <c r="J800" s="3" t="s">
        <v>18</v>
      </c>
      <c r="K800" s="5">
        <v>0.08</v>
      </c>
      <c r="L800" s="6">
        <v>0</v>
      </c>
      <c r="M800" s="7" t="s">
        <v>1845</v>
      </c>
      <c r="N800" s="8">
        <f>VLOOKUP(B800,'[1]новый без картинок'!$A$5:$F$2672,6,0)</f>
        <v>317</v>
      </c>
    </row>
    <row r="801" spans="1:14" ht="151.15" customHeight="1" x14ac:dyDescent="0.2">
      <c r="A801" s="3">
        <v>799</v>
      </c>
      <c r="B801" s="3">
        <v>192118</v>
      </c>
      <c r="C801" s="4" t="str">
        <f>HYPERLINK("http://optservis.net:5080/photo?tov_code_internet=192118","Увеличить")</f>
        <v>Увеличить</v>
      </c>
      <c r="D801" s="3" t="s">
        <v>1864</v>
      </c>
      <c r="E801" s="3"/>
      <c r="F801" s="3" t="s">
        <v>1558</v>
      </c>
      <c r="G801" s="3" t="s">
        <v>430</v>
      </c>
      <c r="H801" s="3">
        <v>0.5</v>
      </c>
      <c r="I801" s="3">
        <v>0</v>
      </c>
      <c r="J801" s="3" t="s">
        <v>18</v>
      </c>
      <c r="K801" s="5">
        <v>0.08</v>
      </c>
      <c r="L801" s="6">
        <v>0</v>
      </c>
      <c r="M801" s="7" t="s">
        <v>1845</v>
      </c>
      <c r="N801" s="8">
        <f>VLOOKUP(B801,'[1]новый без картинок'!$A$5:$F$2672,6,0)</f>
        <v>316</v>
      </c>
    </row>
    <row r="802" spans="1:14" ht="151.15" customHeight="1" x14ac:dyDescent="0.2">
      <c r="A802" s="3">
        <v>800</v>
      </c>
      <c r="B802" s="3">
        <v>192115</v>
      </c>
      <c r="C802" s="4" t="str">
        <f>HYPERLINK("http://optservis.net:5080/photo?tov_code_internet=192115","Увеличить")</f>
        <v>Увеличить</v>
      </c>
      <c r="D802" s="3" t="s">
        <v>1864</v>
      </c>
      <c r="E802" s="3" t="s">
        <v>1868</v>
      </c>
      <c r="F802" s="3" t="s">
        <v>1869</v>
      </c>
      <c r="G802" s="3" t="s">
        <v>430</v>
      </c>
      <c r="H802" s="3">
        <v>0.5</v>
      </c>
      <c r="I802" s="3">
        <v>0</v>
      </c>
      <c r="J802" s="3" t="s">
        <v>18</v>
      </c>
      <c r="K802" s="5">
        <v>0.08</v>
      </c>
      <c r="L802" s="6">
        <v>4690654020095</v>
      </c>
      <c r="M802" s="7" t="s">
        <v>1845</v>
      </c>
      <c r="N802" s="8">
        <f>VLOOKUP(B802,'[1]новый без картинок'!$A$5:$F$2672,6,0)</f>
        <v>319</v>
      </c>
    </row>
    <row r="803" spans="1:14" ht="151.15" customHeight="1" x14ac:dyDescent="0.2">
      <c r="A803" s="3">
        <v>801</v>
      </c>
      <c r="B803" s="3">
        <v>199579</v>
      </c>
      <c r="C803" s="4" t="str">
        <f>HYPERLINK("http://optservis.net:5080/photo?tov_code_internet=199579","Увеличить")</f>
        <v>Увеличить</v>
      </c>
      <c r="D803" s="3" t="s">
        <v>1870</v>
      </c>
      <c r="E803" s="3"/>
      <c r="F803" s="3" t="s">
        <v>1871</v>
      </c>
      <c r="G803" s="3" t="s">
        <v>430</v>
      </c>
      <c r="H803" s="3">
        <v>0.5</v>
      </c>
      <c r="I803" s="3">
        <v>0</v>
      </c>
      <c r="J803" s="3" t="s">
        <v>18</v>
      </c>
      <c r="K803" s="5">
        <v>0.08</v>
      </c>
      <c r="L803" s="6">
        <v>0</v>
      </c>
      <c r="M803" s="7" t="s">
        <v>1872</v>
      </c>
      <c r="N803" s="8">
        <f>VLOOKUP(B803,'[1]новый без картинок'!$A$5:$F$2672,6,0)</f>
        <v>317</v>
      </c>
    </row>
    <row r="804" spans="1:14" ht="151.15" customHeight="1" x14ac:dyDescent="0.2">
      <c r="A804" s="3">
        <v>802</v>
      </c>
      <c r="B804" s="3">
        <v>206779</v>
      </c>
      <c r="C804" s="4" t="str">
        <f>HYPERLINK("http://optservis.net:5080/photo?tov_code_internet=206779","Увеличить")</f>
        <v>Увеличить</v>
      </c>
      <c r="D804" s="3" t="s">
        <v>1873</v>
      </c>
      <c r="E804" s="3"/>
      <c r="F804" s="3" t="s">
        <v>1874</v>
      </c>
      <c r="G804" s="3" t="s">
        <v>430</v>
      </c>
      <c r="H804" s="3">
        <v>0.5</v>
      </c>
      <c r="I804" s="3">
        <v>0</v>
      </c>
      <c r="J804" s="3" t="s">
        <v>18</v>
      </c>
      <c r="K804" s="5">
        <v>0.08</v>
      </c>
      <c r="L804" s="6">
        <v>0</v>
      </c>
      <c r="M804" s="7" t="s">
        <v>1875</v>
      </c>
      <c r="N804" s="8">
        <f>VLOOKUP(B804,'[1]новый без картинок'!$A$5:$F$2672,6,0)</f>
        <v>391</v>
      </c>
    </row>
    <row r="805" spans="1:14" ht="151.15" customHeight="1" x14ac:dyDescent="0.2">
      <c r="A805" s="3">
        <v>803</v>
      </c>
      <c r="B805" s="3">
        <v>206777</v>
      </c>
      <c r="C805" s="4" t="str">
        <f>HYPERLINK("http://optservis.net:5080/photo?tov_code_internet=206777","Увеличить")</f>
        <v>Увеличить</v>
      </c>
      <c r="D805" s="3" t="s">
        <v>1876</v>
      </c>
      <c r="E805" s="3" t="s">
        <v>1877</v>
      </c>
      <c r="F805" s="3" t="s">
        <v>1874</v>
      </c>
      <c r="G805" s="3" t="s">
        <v>430</v>
      </c>
      <c r="H805" s="3">
        <v>0.5</v>
      </c>
      <c r="I805" s="3">
        <v>0</v>
      </c>
      <c r="J805" s="3" t="s">
        <v>18</v>
      </c>
      <c r="K805" s="5">
        <v>0.1</v>
      </c>
      <c r="L805" s="6">
        <v>4690654018160</v>
      </c>
      <c r="M805" s="7" t="s">
        <v>1875</v>
      </c>
      <c r="N805" s="8">
        <f>VLOOKUP(B805,'[1]новый без картинок'!$A$5:$F$2672,6,0)</f>
        <v>455</v>
      </c>
    </row>
    <row r="806" spans="1:14" ht="151.15" customHeight="1" x14ac:dyDescent="0.2">
      <c r="A806" s="3">
        <v>804</v>
      </c>
      <c r="B806" s="3">
        <v>206778</v>
      </c>
      <c r="C806" s="4" t="str">
        <f>HYPERLINK("http://optservis.net:5080/photo?tov_code_internet=206778","Увеличить")</f>
        <v>Увеличить</v>
      </c>
      <c r="D806" s="3" t="s">
        <v>1878</v>
      </c>
      <c r="E806" s="3"/>
      <c r="F806" s="3" t="s">
        <v>1874</v>
      </c>
      <c r="G806" s="3" t="s">
        <v>430</v>
      </c>
      <c r="H806" s="3">
        <v>0.5</v>
      </c>
      <c r="I806" s="3">
        <v>0</v>
      </c>
      <c r="J806" s="3" t="s">
        <v>18</v>
      </c>
      <c r="K806" s="5">
        <v>0.1</v>
      </c>
      <c r="L806" s="6">
        <v>0</v>
      </c>
      <c r="M806" s="7" t="s">
        <v>1879</v>
      </c>
      <c r="N806" s="8">
        <f>VLOOKUP(B806,'[1]новый без картинок'!$A$5:$F$2672,6,0)</f>
        <v>484</v>
      </c>
    </row>
    <row r="807" spans="1:14" ht="151.15" customHeight="1" x14ac:dyDescent="0.2">
      <c r="A807" s="3">
        <v>805</v>
      </c>
      <c r="B807" s="3">
        <v>206780</v>
      </c>
      <c r="C807" s="4" t="str">
        <f>HYPERLINK("http://optservis.net:5080/photo?tov_code_internet=206780","Увеличить")</f>
        <v>Увеличить</v>
      </c>
      <c r="D807" s="3" t="s">
        <v>1880</v>
      </c>
      <c r="E807" s="3"/>
      <c r="F807" s="3" t="s">
        <v>1881</v>
      </c>
      <c r="G807" s="3" t="s">
        <v>1479</v>
      </c>
      <c r="H807" s="3">
        <v>0.5</v>
      </c>
      <c r="I807" s="3">
        <v>0</v>
      </c>
      <c r="J807" s="3" t="s">
        <v>18</v>
      </c>
      <c r="K807" s="5">
        <v>7.0000000000000007E-2</v>
      </c>
      <c r="L807" s="6">
        <v>0</v>
      </c>
      <c r="M807" s="7" t="s">
        <v>1882</v>
      </c>
      <c r="N807" s="8">
        <f>VLOOKUP(B807,'[1]новый без картинок'!$A$5:$F$2672,6,0)</f>
        <v>584</v>
      </c>
    </row>
    <row r="808" spans="1:14" ht="151.15" customHeight="1" x14ac:dyDescent="0.2">
      <c r="A808" s="3">
        <v>806</v>
      </c>
      <c r="B808" s="3">
        <v>210790</v>
      </c>
      <c r="C808" s="4" t="str">
        <f>HYPERLINK("http://optservis.net:5080/photo?tov_code_internet=210790","Увеличить")</f>
        <v>Увеличить</v>
      </c>
      <c r="D808" s="3" t="s">
        <v>1883</v>
      </c>
      <c r="E808" s="3"/>
      <c r="F808" s="3" t="s">
        <v>1884</v>
      </c>
      <c r="G808" s="3" t="s">
        <v>430</v>
      </c>
      <c r="H808" s="3">
        <v>0.5</v>
      </c>
      <c r="I808" s="3">
        <v>0</v>
      </c>
      <c r="J808" s="3" t="s">
        <v>18</v>
      </c>
      <c r="K808" s="5">
        <v>0.06</v>
      </c>
      <c r="L808" s="6">
        <v>0</v>
      </c>
      <c r="M808" s="7" t="s">
        <v>1885</v>
      </c>
      <c r="N808" s="8">
        <f>VLOOKUP(B808,'[1]новый без картинок'!$A$5:$F$2672,6,0)</f>
        <v>462</v>
      </c>
    </row>
    <row r="809" spans="1:14" ht="151.15" customHeight="1" x14ac:dyDescent="0.2">
      <c r="A809" s="3">
        <v>807</v>
      </c>
      <c r="B809" s="3">
        <v>206572</v>
      </c>
      <c r="C809" s="4" t="str">
        <f>HYPERLINK("http://optservis.net:5080/photo?tov_code_internet=206572","Увеличить")</f>
        <v>Увеличить</v>
      </c>
      <c r="D809" s="3" t="s">
        <v>1883</v>
      </c>
      <c r="E809" s="3"/>
      <c r="F809" s="3" t="s">
        <v>1874</v>
      </c>
      <c r="G809" s="3" t="s">
        <v>430</v>
      </c>
      <c r="H809" s="3">
        <v>0.5</v>
      </c>
      <c r="I809" s="3">
        <v>0</v>
      </c>
      <c r="J809" s="3" t="s">
        <v>18</v>
      </c>
      <c r="K809" s="5">
        <v>0.06</v>
      </c>
      <c r="L809" s="6">
        <v>0</v>
      </c>
      <c r="M809" s="7" t="s">
        <v>1886</v>
      </c>
      <c r="N809" s="8">
        <f>VLOOKUP(B809,'[1]новый без картинок'!$A$5:$F$2672,6,0)</f>
        <v>393</v>
      </c>
    </row>
    <row r="810" spans="1:14" ht="151.15" customHeight="1" x14ac:dyDescent="0.2">
      <c r="A810" s="3">
        <v>808</v>
      </c>
      <c r="B810" s="3">
        <v>206768</v>
      </c>
      <c r="C810" s="4" t="str">
        <f>HYPERLINK("http://optservis.net:5080/photo?tov_code_internet=206768","Увеличить")</f>
        <v>Увеличить</v>
      </c>
      <c r="D810" s="3" t="s">
        <v>1887</v>
      </c>
      <c r="E810" s="3"/>
      <c r="F810" s="3" t="s">
        <v>1888</v>
      </c>
      <c r="G810" s="3" t="s">
        <v>430</v>
      </c>
      <c r="H810" s="3">
        <v>0.5</v>
      </c>
      <c r="I810" s="3">
        <v>0</v>
      </c>
      <c r="J810" s="3" t="s">
        <v>18</v>
      </c>
      <c r="K810" s="5">
        <v>0.09</v>
      </c>
      <c r="L810" s="6">
        <v>0</v>
      </c>
      <c r="M810" s="7" t="s">
        <v>1889</v>
      </c>
      <c r="N810" s="8">
        <f>VLOOKUP(B810,'[1]новый без картинок'!$A$5:$F$2672,6,0)</f>
        <v>389</v>
      </c>
    </row>
    <row r="811" spans="1:14" ht="151.15" customHeight="1" x14ac:dyDescent="0.2">
      <c r="A811" s="3">
        <v>809</v>
      </c>
      <c r="B811" s="3">
        <v>206769</v>
      </c>
      <c r="C811" s="4" t="str">
        <f>HYPERLINK("http://optservis.net:5080/photo?tov_code_internet=206769","Увеличить")</f>
        <v>Увеличить</v>
      </c>
      <c r="D811" s="3" t="s">
        <v>1887</v>
      </c>
      <c r="E811" s="3"/>
      <c r="F811" s="3" t="s">
        <v>1890</v>
      </c>
      <c r="G811" s="3" t="s">
        <v>430</v>
      </c>
      <c r="H811" s="3">
        <v>0.5</v>
      </c>
      <c r="I811" s="3">
        <v>0</v>
      </c>
      <c r="J811" s="3" t="s">
        <v>18</v>
      </c>
      <c r="K811" s="5">
        <v>0.09</v>
      </c>
      <c r="L811" s="6">
        <v>0</v>
      </c>
      <c r="M811" s="7" t="s">
        <v>1891</v>
      </c>
      <c r="N811" s="8">
        <f>VLOOKUP(B811,'[1]новый без картинок'!$A$5:$F$2672,6,0)</f>
        <v>381</v>
      </c>
    </row>
    <row r="812" spans="1:14" ht="151.15" customHeight="1" x14ac:dyDescent="0.2">
      <c r="A812" s="3">
        <v>810</v>
      </c>
      <c r="B812" s="3">
        <v>206767</v>
      </c>
      <c r="C812" s="4" t="str">
        <f>HYPERLINK("http://optservis.net:5080/photo?tov_code_internet=206767","Увеличить")</f>
        <v>Увеличить</v>
      </c>
      <c r="D812" s="3" t="s">
        <v>1887</v>
      </c>
      <c r="E812" s="3"/>
      <c r="F812" s="3" t="s">
        <v>1874</v>
      </c>
      <c r="G812" s="3" t="s">
        <v>430</v>
      </c>
      <c r="H812" s="3">
        <v>0.5</v>
      </c>
      <c r="I812" s="3">
        <v>0</v>
      </c>
      <c r="J812" s="3" t="s">
        <v>18</v>
      </c>
      <c r="K812" s="5">
        <v>0.09</v>
      </c>
      <c r="L812" s="6">
        <v>0</v>
      </c>
      <c r="M812" s="7" t="s">
        <v>1891</v>
      </c>
      <c r="N812" s="8">
        <f>VLOOKUP(B812,'[1]новый без картинок'!$A$5:$F$2672,6,0)</f>
        <v>381</v>
      </c>
    </row>
    <row r="813" spans="1:14" ht="151.15" customHeight="1" x14ac:dyDescent="0.2">
      <c r="A813" s="3">
        <v>811</v>
      </c>
      <c r="B813" s="3">
        <v>206770</v>
      </c>
      <c r="C813" s="4" t="str">
        <f>HYPERLINK("http://optservis.net:5080/photo?tov_code_internet=206770","Увеличить")</f>
        <v>Увеличить</v>
      </c>
      <c r="D813" s="3" t="s">
        <v>1892</v>
      </c>
      <c r="E813" s="3"/>
      <c r="F813" s="3" t="s">
        <v>1874</v>
      </c>
      <c r="G813" s="3" t="s">
        <v>430</v>
      </c>
      <c r="H813" s="3">
        <v>0.5</v>
      </c>
      <c r="I813" s="3">
        <v>0</v>
      </c>
      <c r="J813" s="3" t="s">
        <v>18</v>
      </c>
      <c r="K813" s="5">
        <v>0.08</v>
      </c>
      <c r="L813" s="6">
        <v>0</v>
      </c>
      <c r="M813" s="7" t="s">
        <v>1875</v>
      </c>
      <c r="N813" s="8">
        <f>VLOOKUP(B813,'[1]новый без картинок'!$A$5:$F$2672,6,0)</f>
        <v>391</v>
      </c>
    </row>
    <row r="814" spans="1:14" ht="151.15" customHeight="1" x14ac:dyDescent="0.2">
      <c r="A814" s="3">
        <v>812</v>
      </c>
      <c r="B814" s="3">
        <v>206773</v>
      </c>
      <c r="C814" s="4" t="str">
        <f>HYPERLINK("http://optservis.net:5080/photo?tov_code_internet=206773","Увеличить")</f>
        <v>Увеличить</v>
      </c>
      <c r="D814" s="3" t="s">
        <v>1893</v>
      </c>
      <c r="E814" s="3"/>
      <c r="F814" s="3" t="s">
        <v>1894</v>
      </c>
      <c r="G814" s="3" t="s">
        <v>1469</v>
      </c>
      <c r="H814" s="3">
        <v>0.5</v>
      </c>
      <c r="I814" s="3">
        <v>0</v>
      </c>
      <c r="J814" s="3" t="s">
        <v>18</v>
      </c>
      <c r="K814" s="5">
        <v>0.08</v>
      </c>
      <c r="L814" s="6">
        <v>0</v>
      </c>
      <c r="M814" s="7" t="s">
        <v>1895</v>
      </c>
      <c r="N814" s="8">
        <f>VLOOKUP(B814,'[1]новый без картинок'!$A$5:$F$2672,6,0)</f>
        <v>499</v>
      </c>
    </row>
    <row r="815" spans="1:14" ht="151.15" customHeight="1" x14ac:dyDescent="0.2">
      <c r="A815" s="3">
        <v>813</v>
      </c>
      <c r="B815" s="3">
        <v>206772</v>
      </c>
      <c r="C815" s="4" t="str">
        <f>HYPERLINK("http://optservis.net:5080/photo?tov_code_internet=206772","Увеличить")</f>
        <v>Увеличить</v>
      </c>
      <c r="D815" s="3" t="s">
        <v>1893</v>
      </c>
      <c r="E815" s="3"/>
      <c r="F815" s="3" t="s">
        <v>1896</v>
      </c>
      <c r="G815" s="3" t="s">
        <v>1469</v>
      </c>
      <c r="H815" s="3">
        <v>0.5</v>
      </c>
      <c r="I815" s="3">
        <v>0</v>
      </c>
      <c r="J815" s="3" t="s">
        <v>18</v>
      </c>
      <c r="K815" s="5">
        <v>7.0000000000000007E-2</v>
      </c>
      <c r="L815" s="6">
        <v>0</v>
      </c>
      <c r="M815" s="7" t="s">
        <v>1895</v>
      </c>
      <c r="N815" s="8">
        <f>VLOOKUP(B815,'[1]новый без картинок'!$A$5:$F$2672,6,0)</f>
        <v>497</v>
      </c>
    </row>
    <row r="816" spans="1:14" ht="151.15" customHeight="1" x14ac:dyDescent="0.2">
      <c r="A816" s="3">
        <v>814</v>
      </c>
      <c r="B816" s="3">
        <v>206771</v>
      </c>
      <c r="C816" s="4" t="str">
        <f>HYPERLINK("http://optservis.net:5080/photo?tov_code_internet=206771","Увеличить")</f>
        <v>Увеличить</v>
      </c>
      <c r="D816" s="3" t="s">
        <v>1893</v>
      </c>
      <c r="E816" s="3"/>
      <c r="F816" s="3" t="s">
        <v>1897</v>
      </c>
      <c r="G816" s="3" t="s">
        <v>1469</v>
      </c>
      <c r="H816" s="3">
        <v>0.5</v>
      </c>
      <c r="I816" s="3">
        <v>0</v>
      </c>
      <c r="J816" s="3" t="s">
        <v>18</v>
      </c>
      <c r="K816" s="5">
        <v>0.08</v>
      </c>
      <c r="L816" s="6">
        <v>0</v>
      </c>
      <c r="M816" s="7" t="s">
        <v>1895</v>
      </c>
      <c r="N816" s="8">
        <f>VLOOKUP(B816,'[1]новый без картинок'!$A$5:$F$2672,6,0)</f>
        <v>499</v>
      </c>
    </row>
    <row r="817" spans="1:14" ht="151.15" customHeight="1" x14ac:dyDescent="0.2">
      <c r="A817" s="3">
        <v>815</v>
      </c>
      <c r="B817" s="3">
        <v>148812</v>
      </c>
      <c r="C817" s="4" t="str">
        <f>HYPERLINK("http://optservis.net:5080/photo?tov_code_internet=148812","Увеличить")</f>
        <v>Увеличить</v>
      </c>
      <c r="D817" s="3" t="s">
        <v>1898</v>
      </c>
      <c r="E817" s="3"/>
      <c r="F817" s="3" t="s">
        <v>1874</v>
      </c>
      <c r="G817" s="3" t="s">
        <v>430</v>
      </c>
      <c r="H817" s="3">
        <v>0.5</v>
      </c>
      <c r="I817" s="3">
        <v>0</v>
      </c>
      <c r="J817" s="3" t="s">
        <v>18</v>
      </c>
      <c r="K817" s="5">
        <v>0.1</v>
      </c>
      <c r="L817" s="6">
        <v>0</v>
      </c>
      <c r="M817" s="7" t="s">
        <v>1899</v>
      </c>
      <c r="N817" s="8">
        <f>VLOOKUP(B817,'[1]новый без картинок'!$A$5:$F$2672,6,0)</f>
        <v>395</v>
      </c>
    </row>
    <row r="818" spans="1:14" ht="151.15" customHeight="1" x14ac:dyDescent="0.2">
      <c r="A818" s="3">
        <v>816</v>
      </c>
      <c r="B818" s="3">
        <v>206774</v>
      </c>
      <c r="C818" s="4" t="str">
        <f>HYPERLINK("http://optservis.net:5080/photo?tov_code_internet=206774","Увеличить")</f>
        <v>Увеличить</v>
      </c>
      <c r="D818" s="3" t="s">
        <v>1900</v>
      </c>
      <c r="E818" s="3"/>
      <c r="F818" s="3" t="s">
        <v>1901</v>
      </c>
      <c r="G818" s="3" t="s">
        <v>1479</v>
      </c>
      <c r="H818" s="3">
        <v>0.5</v>
      </c>
      <c r="I818" s="3">
        <v>0</v>
      </c>
      <c r="J818" s="3" t="s">
        <v>18</v>
      </c>
      <c r="K818" s="5">
        <v>0.06</v>
      </c>
      <c r="L818" s="6">
        <v>0</v>
      </c>
      <c r="M818" s="7" t="s">
        <v>1902</v>
      </c>
      <c r="N818" s="8">
        <f>VLOOKUP(B818,'[1]новый без картинок'!$A$5:$F$2672,6,0)</f>
        <v>506</v>
      </c>
    </row>
    <row r="819" spans="1:14" ht="151.15" customHeight="1" x14ac:dyDescent="0.2">
      <c r="A819" s="3">
        <v>817</v>
      </c>
      <c r="B819" s="3">
        <v>206776</v>
      </c>
      <c r="C819" s="4" t="str">
        <f>HYPERLINK("http://optservis.net:5080/photo?tov_code_internet=206776","Увеличить")</f>
        <v>Увеличить</v>
      </c>
      <c r="D819" s="3" t="s">
        <v>1903</v>
      </c>
      <c r="E819" s="3"/>
      <c r="F819" s="3" t="s">
        <v>1904</v>
      </c>
      <c r="G819" s="3" t="s">
        <v>430</v>
      </c>
      <c r="H819" s="3">
        <v>0.5</v>
      </c>
      <c r="I819" s="3">
        <v>0</v>
      </c>
      <c r="J819" s="3" t="s">
        <v>18</v>
      </c>
      <c r="K819" s="5">
        <v>0.1</v>
      </c>
      <c r="L819" s="6">
        <v>0</v>
      </c>
      <c r="M819" s="7" t="s">
        <v>1905</v>
      </c>
      <c r="N819" s="8">
        <f>VLOOKUP(B819,'[1]новый без картинок'!$A$5:$F$2672,6,0)</f>
        <v>408</v>
      </c>
    </row>
    <row r="820" spans="1:14" ht="151.15" customHeight="1" x14ac:dyDescent="0.2">
      <c r="A820" s="3">
        <v>818</v>
      </c>
      <c r="B820" s="3">
        <v>206731</v>
      </c>
      <c r="C820" s="4" t="str">
        <f>HYPERLINK("http://optservis.net:5080/photo?tov_code_internet=206731","Увеличить")</f>
        <v>Увеличить</v>
      </c>
      <c r="D820" s="3" t="s">
        <v>1906</v>
      </c>
      <c r="E820" s="3"/>
      <c r="F820" s="3" t="s">
        <v>1907</v>
      </c>
      <c r="G820" s="3" t="s">
        <v>430</v>
      </c>
      <c r="H820" s="3">
        <v>0.5</v>
      </c>
      <c r="I820" s="3">
        <v>0</v>
      </c>
      <c r="J820" s="3" t="s">
        <v>18</v>
      </c>
      <c r="K820" s="5">
        <v>0.08</v>
      </c>
      <c r="L820" s="6">
        <v>0</v>
      </c>
      <c r="M820" s="7" t="s">
        <v>1875</v>
      </c>
      <c r="N820" s="8">
        <f>VLOOKUP(B820,'[1]новый без картинок'!$A$5:$F$2672,6,0)</f>
        <v>341</v>
      </c>
    </row>
    <row r="821" spans="1:14" ht="151.15" customHeight="1" x14ac:dyDescent="0.2">
      <c r="A821" s="3">
        <v>819</v>
      </c>
      <c r="B821" s="3">
        <v>206308</v>
      </c>
      <c r="C821" s="4" t="str">
        <f>HYPERLINK("http://optservis.net:5080/photo?tov_code_internet=206308","Увеличить")</f>
        <v>Увеличить</v>
      </c>
      <c r="D821" s="3" t="s">
        <v>1908</v>
      </c>
      <c r="E821" s="3"/>
      <c r="F821" s="3" t="s">
        <v>1909</v>
      </c>
      <c r="G821" s="3" t="s">
        <v>1101</v>
      </c>
      <c r="H821" s="3">
        <v>0.5</v>
      </c>
      <c r="I821" s="3">
        <v>0</v>
      </c>
      <c r="J821" s="3" t="s">
        <v>18</v>
      </c>
      <c r="K821" s="5">
        <v>0.1</v>
      </c>
      <c r="L821" s="6">
        <v>0</v>
      </c>
      <c r="M821" s="7" t="s">
        <v>1910</v>
      </c>
      <c r="N821" s="8">
        <f>VLOOKUP(B821,'[1]новый без картинок'!$A$5:$F$2672,6,0)</f>
        <v>411</v>
      </c>
    </row>
    <row r="822" spans="1:14" ht="151.15" customHeight="1" x14ac:dyDescent="0.2">
      <c r="A822" s="3">
        <v>820</v>
      </c>
      <c r="B822" s="3">
        <v>206732</v>
      </c>
      <c r="C822" s="4" t="str">
        <f>HYPERLINK("http://optservis.net:5080/photo?tov_code_internet=206732","Увеличить")</f>
        <v>Увеличить</v>
      </c>
      <c r="D822" s="3" t="s">
        <v>1908</v>
      </c>
      <c r="E822" s="3" t="s">
        <v>1911</v>
      </c>
      <c r="F822" s="3" t="s">
        <v>1907</v>
      </c>
      <c r="G822" s="3" t="s">
        <v>430</v>
      </c>
      <c r="H822" s="3">
        <v>0.5</v>
      </c>
      <c r="I822" s="3">
        <v>0</v>
      </c>
      <c r="J822" s="3" t="s">
        <v>18</v>
      </c>
      <c r="K822" s="5">
        <v>0.1</v>
      </c>
      <c r="L822" s="6">
        <v>4690654019655</v>
      </c>
      <c r="M822" s="7" t="s">
        <v>1875</v>
      </c>
      <c r="N822" s="8">
        <f>VLOOKUP(B822,'[1]новый без картинок'!$A$5:$F$2672,6,0)</f>
        <v>404</v>
      </c>
    </row>
    <row r="823" spans="1:14" ht="151.15" customHeight="1" x14ac:dyDescent="0.2">
      <c r="A823" s="3">
        <v>821</v>
      </c>
      <c r="B823" s="3">
        <v>206384</v>
      </c>
      <c r="C823" s="4" t="str">
        <f>HYPERLINK("http://optservis.net:5080/photo?tov_code_internet=206384","Увеличить")</f>
        <v>Увеличить</v>
      </c>
      <c r="D823" s="3" t="s">
        <v>1912</v>
      </c>
      <c r="E823" s="3"/>
      <c r="F823" s="3" t="s">
        <v>1913</v>
      </c>
      <c r="G823" s="3" t="s">
        <v>1101</v>
      </c>
      <c r="H823" s="3">
        <v>0.5</v>
      </c>
      <c r="I823" s="3">
        <v>0</v>
      </c>
      <c r="J823" s="3" t="s">
        <v>18</v>
      </c>
      <c r="K823" s="5">
        <v>0.09</v>
      </c>
      <c r="L823" s="6">
        <v>0</v>
      </c>
      <c r="M823" s="7" t="s">
        <v>1910</v>
      </c>
      <c r="N823" s="8">
        <f>VLOOKUP(B823,'[1]новый без картинок'!$A$5:$F$2672,6,0)</f>
        <v>359</v>
      </c>
    </row>
    <row r="824" spans="1:14" ht="151.15" customHeight="1" x14ac:dyDescent="0.2">
      <c r="A824" s="3">
        <v>822</v>
      </c>
      <c r="B824" s="3">
        <v>206380</v>
      </c>
      <c r="C824" s="4" t="str">
        <f>HYPERLINK("http://optservis.net:5080/photo?tov_code_internet=206380","Увеличить")</f>
        <v>Увеличить</v>
      </c>
      <c r="D824" s="3" t="s">
        <v>1914</v>
      </c>
      <c r="E824" s="3"/>
      <c r="F824" s="3" t="s">
        <v>1909</v>
      </c>
      <c r="G824" s="3" t="s">
        <v>1101</v>
      </c>
      <c r="H824" s="3">
        <v>0.5</v>
      </c>
      <c r="I824" s="3">
        <v>0</v>
      </c>
      <c r="J824" s="3" t="s">
        <v>18</v>
      </c>
      <c r="K824" s="5">
        <v>0.1</v>
      </c>
      <c r="L824" s="6">
        <v>0</v>
      </c>
      <c r="M824" s="7" t="s">
        <v>1915</v>
      </c>
      <c r="N824" s="8">
        <f>VLOOKUP(B824,'[1]новый без картинок'!$A$5:$F$2672,6,0)</f>
        <v>439</v>
      </c>
    </row>
    <row r="825" spans="1:14" ht="151.15" customHeight="1" x14ac:dyDescent="0.2">
      <c r="A825" s="3">
        <v>823</v>
      </c>
      <c r="B825" s="3">
        <v>206733</v>
      </c>
      <c r="C825" s="4" t="str">
        <f>HYPERLINK("http://optservis.net:5080/photo?tov_code_internet=206733","Увеличить")</f>
        <v>Увеличить</v>
      </c>
      <c r="D825" s="3" t="s">
        <v>1914</v>
      </c>
      <c r="E825" s="3"/>
      <c r="F825" s="3" t="s">
        <v>1907</v>
      </c>
      <c r="G825" s="3" t="s">
        <v>430</v>
      </c>
      <c r="H825" s="3">
        <v>0.5</v>
      </c>
      <c r="I825" s="3">
        <v>0</v>
      </c>
      <c r="J825" s="3" t="s">
        <v>18</v>
      </c>
      <c r="K825" s="5">
        <v>0.1</v>
      </c>
      <c r="L825" s="6">
        <v>0</v>
      </c>
      <c r="M825" s="7" t="s">
        <v>1879</v>
      </c>
      <c r="N825" s="8">
        <f>VLOOKUP(B825,'[1]новый без картинок'!$A$5:$F$2672,6,0)</f>
        <v>433</v>
      </c>
    </row>
    <row r="826" spans="1:14" ht="151.15" customHeight="1" x14ac:dyDescent="0.2">
      <c r="A826" s="3">
        <v>824</v>
      </c>
      <c r="B826" s="3">
        <v>206382</v>
      </c>
      <c r="C826" s="4" t="str">
        <f>HYPERLINK("http://optservis.net:5080/photo?tov_code_internet=206382","Увеличить")</f>
        <v>Увеличить</v>
      </c>
      <c r="D826" s="3" t="s">
        <v>1916</v>
      </c>
      <c r="E826" s="3"/>
      <c r="F826" s="3" t="s">
        <v>1917</v>
      </c>
      <c r="G826" s="3" t="s">
        <v>1533</v>
      </c>
      <c r="H826" s="3">
        <v>0.5</v>
      </c>
      <c r="I826" s="3">
        <v>0</v>
      </c>
      <c r="J826" s="3" t="s">
        <v>18</v>
      </c>
      <c r="K826" s="5">
        <v>7.0000000000000007E-2</v>
      </c>
      <c r="L826" s="6">
        <v>0</v>
      </c>
      <c r="M826" s="7" t="s">
        <v>1918</v>
      </c>
      <c r="N826" s="8">
        <f>VLOOKUP(B826,'[1]новый без картинок'!$A$5:$F$2672,6,0)</f>
        <v>540</v>
      </c>
    </row>
    <row r="827" spans="1:14" ht="151.15" customHeight="1" x14ac:dyDescent="0.2">
      <c r="A827" s="3">
        <v>825</v>
      </c>
      <c r="B827" s="3">
        <v>206737</v>
      </c>
      <c r="C827" s="4" t="str">
        <f>HYPERLINK("http://optservis.net:5080/photo?tov_code_internet=206737","Увеличить")</f>
        <v>Увеличить</v>
      </c>
      <c r="D827" s="3" t="s">
        <v>1916</v>
      </c>
      <c r="E827" s="3"/>
      <c r="F827" s="3" t="s">
        <v>1919</v>
      </c>
      <c r="G827" s="3" t="s">
        <v>1479</v>
      </c>
      <c r="H827" s="3">
        <v>0.5</v>
      </c>
      <c r="I827" s="3">
        <v>0</v>
      </c>
      <c r="J827" s="3" t="s">
        <v>18</v>
      </c>
      <c r="K827" s="5">
        <v>7.0000000000000007E-2</v>
      </c>
      <c r="L827" s="6">
        <v>0</v>
      </c>
      <c r="M827" s="7" t="s">
        <v>1882</v>
      </c>
      <c r="N827" s="8">
        <f>VLOOKUP(B827,'[1]новый без картинок'!$A$5:$F$2672,6,0)</f>
        <v>533</v>
      </c>
    </row>
    <row r="828" spans="1:14" ht="151.15" customHeight="1" x14ac:dyDescent="0.2">
      <c r="A828" s="3">
        <v>826</v>
      </c>
      <c r="B828" s="3">
        <v>210791</v>
      </c>
      <c r="C828" s="4" t="str">
        <f>HYPERLINK("http://optservis.net:5080/photo?tov_code_internet=210791","Увеличить")</f>
        <v>Увеличить</v>
      </c>
      <c r="D828" s="3" t="s">
        <v>1920</v>
      </c>
      <c r="E828" s="3"/>
      <c r="F828" s="3" t="s">
        <v>1921</v>
      </c>
      <c r="G828" s="3" t="s">
        <v>1101</v>
      </c>
      <c r="H828" s="3">
        <v>0.5</v>
      </c>
      <c r="I828" s="3">
        <v>0</v>
      </c>
      <c r="J828" s="3" t="s">
        <v>18</v>
      </c>
      <c r="K828" s="5">
        <v>0.06</v>
      </c>
      <c r="L828" s="6">
        <v>0</v>
      </c>
      <c r="M828" s="7" t="s">
        <v>1922</v>
      </c>
      <c r="N828" s="8">
        <f>VLOOKUP(B828,'[1]новый без картинок'!$A$5:$F$2672,6,0)</f>
        <v>417</v>
      </c>
    </row>
    <row r="829" spans="1:14" ht="151.15" customHeight="1" x14ac:dyDescent="0.2">
      <c r="A829" s="3">
        <v>827</v>
      </c>
      <c r="B829" s="3">
        <v>206570</v>
      </c>
      <c r="C829" s="4" t="str">
        <f>HYPERLINK("http://optservis.net:5080/photo?tov_code_internet=206570","Увеличить")</f>
        <v>Увеличить</v>
      </c>
      <c r="D829" s="3" t="s">
        <v>1920</v>
      </c>
      <c r="E829" s="3"/>
      <c r="F829" s="3" t="s">
        <v>1909</v>
      </c>
      <c r="G829" s="3" t="s">
        <v>1101</v>
      </c>
      <c r="H829" s="3">
        <v>0.5</v>
      </c>
      <c r="I829" s="3">
        <v>0</v>
      </c>
      <c r="J829" s="3" t="s">
        <v>18</v>
      </c>
      <c r="K829" s="5">
        <v>0.06</v>
      </c>
      <c r="L829" s="6">
        <v>0</v>
      </c>
      <c r="M829" s="7" t="s">
        <v>1886</v>
      </c>
      <c r="N829" s="8">
        <f>VLOOKUP(B829,'[1]новый без картинок'!$A$5:$F$2672,6,0)</f>
        <v>348</v>
      </c>
    </row>
    <row r="830" spans="1:14" ht="151.15" customHeight="1" x14ac:dyDescent="0.2">
      <c r="A830" s="3">
        <v>828</v>
      </c>
      <c r="B830" s="3">
        <v>206571</v>
      </c>
      <c r="C830" s="4" t="str">
        <f>HYPERLINK("http://optservis.net:5080/photo?tov_code_internet=206571","Увеличить")</f>
        <v>Увеличить</v>
      </c>
      <c r="D830" s="3" t="s">
        <v>1920</v>
      </c>
      <c r="E830" s="3"/>
      <c r="F830" s="3" t="s">
        <v>1907</v>
      </c>
      <c r="G830" s="3" t="s">
        <v>430</v>
      </c>
      <c r="H830" s="3">
        <v>0.5</v>
      </c>
      <c r="I830" s="3">
        <v>0</v>
      </c>
      <c r="J830" s="3" t="s">
        <v>18</v>
      </c>
      <c r="K830" s="5">
        <v>0.06</v>
      </c>
      <c r="L830" s="6">
        <v>0</v>
      </c>
      <c r="M830" s="7" t="s">
        <v>1886</v>
      </c>
      <c r="N830" s="8">
        <f>VLOOKUP(B830,'[1]новый без картинок'!$A$5:$F$2672,6,0)</f>
        <v>342</v>
      </c>
    </row>
    <row r="831" spans="1:14" ht="151.15" customHeight="1" x14ac:dyDescent="0.2">
      <c r="A831" s="3">
        <v>829</v>
      </c>
      <c r="B831" s="3">
        <v>210806</v>
      </c>
      <c r="C831" s="4" t="str">
        <f>HYPERLINK("http://optservis.net:5080/photo?tov_code_internet=210806","Увеличить")</f>
        <v>Увеличить</v>
      </c>
      <c r="D831" s="3" t="s">
        <v>1920</v>
      </c>
      <c r="E831" s="3" t="s">
        <v>1923</v>
      </c>
      <c r="F831" s="3" t="s">
        <v>1924</v>
      </c>
      <c r="G831" s="3" t="s">
        <v>430</v>
      </c>
      <c r="H831" s="3">
        <v>0.5</v>
      </c>
      <c r="I831" s="3">
        <v>0</v>
      </c>
      <c r="J831" s="3" t="s">
        <v>18</v>
      </c>
      <c r="K831" s="5">
        <v>7.0000000000000007E-2</v>
      </c>
      <c r="L831" s="6">
        <v>4690654020088</v>
      </c>
      <c r="M831" s="7" t="s">
        <v>1886</v>
      </c>
      <c r="N831" s="8">
        <f>VLOOKUP(B831,'[1]новый без картинок'!$A$5:$F$2672,6,0)</f>
        <v>350</v>
      </c>
    </row>
    <row r="832" spans="1:14" ht="151.15" customHeight="1" x14ac:dyDescent="0.2">
      <c r="A832" s="3">
        <v>830</v>
      </c>
      <c r="B832" s="3">
        <v>206298</v>
      </c>
      <c r="C832" s="4" t="str">
        <f>HYPERLINK("http://optservis.net:5080/photo?tov_code_internet=206298","Увеличить")</f>
        <v>Увеличить</v>
      </c>
      <c r="D832" s="3" t="s">
        <v>1925</v>
      </c>
      <c r="E832" s="3"/>
      <c r="F832" s="3" t="s">
        <v>1926</v>
      </c>
      <c r="G832" s="3" t="s">
        <v>1101</v>
      </c>
      <c r="H832" s="3">
        <v>0.5</v>
      </c>
      <c r="I832" s="3">
        <v>0</v>
      </c>
      <c r="J832" s="3" t="s">
        <v>18</v>
      </c>
      <c r="K832" s="5">
        <v>0.09</v>
      </c>
      <c r="L832" s="6">
        <v>0</v>
      </c>
      <c r="M832" s="7" t="s">
        <v>1910</v>
      </c>
      <c r="N832" s="8">
        <f>VLOOKUP(B832,'[1]новый без картинок'!$A$5:$F$2672,6,0)</f>
        <v>337</v>
      </c>
    </row>
    <row r="833" spans="1:14" ht="151.15" customHeight="1" x14ac:dyDescent="0.2">
      <c r="A833" s="3">
        <v>831</v>
      </c>
      <c r="B833" s="3">
        <v>206299</v>
      </c>
      <c r="C833" s="4" t="str">
        <f>HYPERLINK("http://optservis.net:5080/photo?tov_code_internet=206299","Увеличить")</f>
        <v>Увеличить</v>
      </c>
      <c r="D833" s="3" t="s">
        <v>1925</v>
      </c>
      <c r="E833" s="3"/>
      <c r="F833" s="3" t="s">
        <v>1927</v>
      </c>
      <c r="G833" s="3" t="s">
        <v>1101</v>
      </c>
      <c r="H833" s="3">
        <v>0.5</v>
      </c>
      <c r="I833" s="3">
        <v>0</v>
      </c>
      <c r="J833" s="3" t="s">
        <v>18</v>
      </c>
      <c r="K833" s="5">
        <v>0.09</v>
      </c>
      <c r="L833" s="6">
        <v>0</v>
      </c>
      <c r="M833" s="7" t="s">
        <v>1910</v>
      </c>
      <c r="N833" s="8">
        <f>VLOOKUP(B833,'[1]новый без картинок'!$A$5:$F$2672,6,0)</f>
        <v>345</v>
      </c>
    </row>
    <row r="834" spans="1:14" ht="151.15" customHeight="1" x14ac:dyDescent="0.2">
      <c r="A834" s="3">
        <v>832</v>
      </c>
      <c r="B834" s="3">
        <v>206726</v>
      </c>
      <c r="C834" s="4" t="str">
        <f>HYPERLINK("http://optservis.net:5080/photo?tov_code_internet=206726","Увеличить")</f>
        <v>Увеличить</v>
      </c>
      <c r="D834" s="3" t="s">
        <v>1925</v>
      </c>
      <c r="E834" s="3"/>
      <c r="F834" s="3" t="s">
        <v>1928</v>
      </c>
      <c r="G834" s="3" t="s">
        <v>430</v>
      </c>
      <c r="H834" s="3">
        <v>0.5</v>
      </c>
      <c r="I834" s="3">
        <v>0</v>
      </c>
      <c r="J834" s="3" t="s">
        <v>18</v>
      </c>
      <c r="K834" s="5">
        <v>0.09</v>
      </c>
      <c r="L834" s="6">
        <v>0</v>
      </c>
      <c r="M834" s="7" t="s">
        <v>1891</v>
      </c>
      <c r="N834" s="8">
        <f>VLOOKUP(B834,'[1]новый без картинок'!$A$5:$F$2672,6,0)</f>
        <v>330</v>
      </c>
    </row>
    <row r="835" spans="1:14" ht="151.15" customHeight="1" x14ac:dyDescent="0.2">
      <c r="A835" s="3">
        <v>833</v>
      </c>
      <c r="B835" s="3">
        <v>206727</v>
      </c>
      <c r="C835" s="4" t="str">
        <f>HYPERLINK("http://optservis.net:5080/photo?tov_code_internet=206727","Увеличить")</f>
        <v>Увеличить</v>
      </c>
      <c r="D835" s="3" t="s">
        <v>1925</v>
      </c>
      <c r="E835" s="3"/>
      <c r="F835" s="3" t="s">
        <v>1929</v>
      </c>
      <c r="G835" s="3" t="s">
        <v>430</v>
      </c>
      <c r="H835" s="3">
        <v>0.5</v>
      </c>
      <c r="I835" s="3">
        <v>0</v>
      </c>
      <c r="J835" s="3" t="s">
        <v>18</v>
      </c>
      <c r="K835" s="5">
        <v>0.09</v>
      </c>
      <c r="L835" s="6">
        <v>0</v>
      </c>
      <c r="M835" s="7" t="s">
        <v>1891</v>
      </c>
      <c r="N835" s="8">
        <f>VLOOKUP(B835,'[1]новый без картинок'!$A$5:$F$2672,6,0)</f>
        <v>338</v>
      </c>
    </row>
    <row r="836" spans="1:14" ht="151.15" customHeight="1" x14ac:dyDescent="0.2">
      <c r="A836" s="3">
        <v>834</v>
      </c>
      <c r="B836" s="3">
        <v>206297</v>
      </c>
      <c r="C836" s="4" t="str">
        <f>HYPERLINK("http://optservis.net:5080/photo?tov_code_internet=206297","Увеличить")</f>
        <v>Увеличить</v>
      </c>
      <c r="D836" s="3" t="s">
        <v>1925</v>
      </c>
      <c r="E836" s="3" t="s">
        <v>1930</v>
      </c>
      <c r="F836" s="3" t="s">
        <v>1909</v>
      </c>
      <c r="G836" s="3" t="s">
        <v>1101</v>
      </c>
      <c r="H836" s="3">
        <v>0.5</v>
      </c>
      <c r="I836" s="3">
        <v>0</v>
      </c>
      <c r="J836" s="3" t="s">
        <v>18</v>
      </c>
      <c r="K836" s="5">
        <v>0.09</v>
      </c>
      <c r="L836" s="6">
        <v>4690654018870</v>
      </c>
      <c r="M836" s="7" t="s">
        <v>1910</v>
      </c>
      <c r="N836" s="8">
        <f>VLOOKUP(B836,'[1]новый без картинок'!$A$5:$F$2672,6,0)</f>
        <v>337</v>
      </c>
    </row>
    <row r="837" spans="1:14" ht="151.15" customHeight="1" x14ac:dyDescent="0.2">
      <c r="A837" s="3">
        <v>835</v>
      </c>
      <c r="B837" s="3">
        <v>206300</v>
      </c>
      <c r="C837" s="4" t="str">
        <f>HYPERLINK("http://optservis.net:5080/photo?tov_code_internet=206300","Увеличить")</f>
        <v>Увеличить</v>
      </c>
      <c r="D837" s="3" t="s">
        <v>1931</v>
      </c>
      <c r="E837" s="3"/>
      <c r="F837" s="3" t="s">
        <v>1913</v>
      </c>
      <c r="G837" s="3" t="s">
        <v>1101</v>
      </c>
      <c r="H837" s="3">
        <v>0.5</v>
      </c>
      <c r="I837" s="3">
        <v>0</v>
      </c>
      <c r="J837" s="3" t="s">
        <v>18</v>
      </c>
      <c r="K837" s="5">
        <v>0.08</v>
      </c>
      <c r="L837" s="6">
        <v>0</v>
      </c>
      <c r="M837" s="7" t="s">
        <v>1910</v>
      </c>
      <c r="N837" s="8">
        <f>VLOOKUP(B837,'[1]новый без картинок'!$A$5:$F$2672,6,0)</f>
        <v>358</v>
      </c>
    </row>
    <row r="838" spans="1:14" ht="151.15" customHeight="1" x14ac:dyDescent="0.2">
      <c r="A838" s="3">
        <v>836</v>
      </c>
      <c r="B838" s="3">
        <v>206728</v>
      </c>
      <c r="C838" s="4" t="str">
        <f>HYPERLINK("http://optservis.net:5080/photo?tov_code_internet=206728","Увеличить")</f>
        <v>Увеличить</v>
      </c>
      <c r="D838" s="3" t="s">
        <v>1931</v>
      </c>
      <c r="E838" s="3"/>
      <c r="F838" s="3" t="s">
        <v>1907</v>
      </c>
      <c r="G838" s="3" t="s">
        <v>430</v>
      </c>
      <c r="H838" s="3">
        <v>0.5</v>
      </c>
      <c r="I838" s="3">
        <v>0</v>
      </c>
      <c r="J838" s="3" t="s">
        <v>18</v>
      </c>
      <c r="K838" s="5">
        <v>0.08</v>
      </c>
      <c r="L838" s="6">
        <v>0</v>
      </c>
      <c r="M838" s="7" t="s">
        <v>1875</v>
      </c>
      <c r="N838" s="8">
        <f>VLOOKUP(B838,'[1]новый без картинок'!$A$5:$F$2672,6,0)</f>
        <v>342</v>
      </c>
    </row>
    <row r="839" spans="1:14" ht="151.15" customHeight="1" x14ac:dyDescent="0.2">
      <c r="A839" s="3">
        <v>837</v>
      </c>
      <c r="B839" s="3">
        <v>206735</v>
      </c>
      <c r="C839" s="4" t="str">
        <f>HYPERLINK("http://optservis.net:5080/photo?tov_code_internet=206735","Увеличить")</f>
        <v>Увеличить</v>
      </c>
      <c r="D839" s="3" t="s">
        <v>1932</v>
      </c>
      <c r="E839" s="3"/>
      <c r="F839" s="3" t="s">
        <v>1933</v>
      </c>
      <c r="G839" s="3" t="s">
        <v>1469</v>
      </c>
      <c r="H839" s="3">
        <v>0.5</v>
      </c>
      <c r="I839" s="3">
        <v>0</v>
      </c>
      <c r="J839" s="3" t="s">
        <v>18</v>
      </c>
      <c r="K839" s="5">
        <v>7.0000000000000007E-2</v>
      </c>
      <c r="L839" s="6">
        <v>0</v>
      </c>
      <c r="M839" s="7" t="s">
        <v>1895</v>
      </c>
      <c r="N839" s="8">
        <f>VLOOKUP(B839,'[1]новый без картинок'!$A$5:$F$2672,6,0)</f>
        <v>446</v>
      </c>
    </row>
    <row r="840" spans="1:14" ht="151.15" customHeight="1" x14ac:dyDescent="0.2">
      <c r="A840" s="3">
        <v>838</v>
      </c>
      <c r="B840" s="3">
        <v>206734</v>
      </c>
      <c r="C840" s="4" t="str">
        <f>HYPERLINK("http://optservis.net:5080/photo?tov_code_internet=206734","Увеличить")</f>
        <v>Увеличить</v>
      </c>
      <c r="D840" s="3" t="s">
        <v>1932</v>
      </c>
      <c r="E840" s="3"/>
      <c r="F840" s="3" t="s">
        <v>1934</v>
      </c>
      <c r="G840" s="3" t="s">
        <v>1469</v>
      </c>
      <c r="H840" s="3">
        <v>0.5</v>
      </c>
      <c r="I840" s="3">
        <v>0</v>
      </c>
      <c r="J840" s="3" t="s">
        <v>18</v>
      </c>
      <c r="K840" s="5">
        <v>0.08</v>
      </c>
      <c r="L840" s="6">
        <v>0</v>
      </c>
      <c r="M840" s="7" t="s">
        <v>1895</v>
      </c>
      <c r="N840" s="8">
        <f>VLOOKUP(B840,'[1]новый без картинок'!$A$5:$F$2672,6,0)</f>
        <v>449</v>
      </c>
    </row>
    <row r="841" spans="1:14" ht="151.15" customHeight="1" x14ac:dyDescent="0.2">
      <c r="A841" s="3">
        <v>839</v>
      </c>
      <c r="B841" s="3">
        <v>206302</v>
      </c>
      <c r="C841" s="4" t="str">
        <f>HYPERLINK("http://optservis.net:5080/photo?tov_code_internet=206302","Увеличить")</f>
        <v>Увеличить</v>
      </c>
      <c r="D841" s="3" t="s">
        <v>1932</v>
      </c>
      <c r="E841" s="3" t="s">
        <v>1935</v>
      </c>
      <c r="F841" s="3" t="s">
        <v>1936</v>
      </c>
      <c r="G841" s="3" t="s">
        <v>1515</v>
      </c>
      <c r="H841" s="3">
        <v>0.5</v>
      </c>
      <c r="I841" s="3">
        <v>0</v>
      </c>
      <c r="J841" s="3" t="s">
        <v>18</v>
      </c>
      <c r="K841" s="5">
        <v>7.0000000000000007E-2</v>
      </c>
      <c r="L841" s="6">
        <v>4690654018771</v>
      </c>
      <c r="M841" s="7" t="s">
        <v>1937</v>
      </c>
      <c r="N841" s="8">
        <f>VLOOKUP(B841,'[1]новый без картинок'!$A$5:$F$2672,6,0)</f>
        <v>445</v>
      </c>
    </row>
    <row r="842" spans="1:14" ht="151.15" customHeight="1" x14ac:dyDescent="0.2">
      <c r="A842" s="3">
        <v>840</v>
      </c>
      <c r="B842" s="3">
        <v>206301</v>
      </c>
      <c r="C842" s="4" t="str">
        <f>HYPERLINK("http://optservis.net:5080/photo?tov_code_internet=206301","Увеличить")</f>
        <v>Увеличить</v>
      </c>
      <c r="D842" s="3" t="s">
        <v>1932</v>
      </c>
      <c r="E842" s="3" t="s">
        <v>1935</v>
      </c>
      <c r="F842" s="3" t="s">
        <v>1938</v>
      </c>
      <c r="G842" s="3" t="s">
        <v>1515</v>
      </c>
      <c r="H842" s="3">
        <v>0.5</v>
      </c>
      <c r="I842" s="3">
        <v>0</v>
      </c>
      <c r="J842" s="3" t="s">
        <v>18</v>
      </c>
      <c r="K842" s="5">
        <v>0.08</v>
      </c>
      <c r="L842" s="6">
        <v>4690654019631</v>
      </c>
      <c r="M842" s="7" t="s">
        <v>1937</v>
      </c>
      <c r="N842" s="8">
        <f>VLOOKUP(B842,'[1]новый без картинок'!$A$5:$F$2672,6,0)</f>
        <v>455</v>
      </c>
    </row>
    <row r="843" spans="1:14" ht="151.15" customHeight="1" x14ac:dyDescent="0.2">
      <c r="A843" s="3">
        <v>841</v>
      </c>
      <c r="B843" s="3">
        <v>151017</v>
      </c>
      <c r="C843" s="4" t="str">
        <f>HYPERLINK("http://optservis.net:5080/photo?tov_code_internet=151017","Увеличить")</f>
        <v>Увеличить</v>
      </c>
      <c r="D843" s="3" t="s">
        <v>1939</v>
      </c>
      <c r="E843" s="3"/>
      <c r="F843" s="3" t="s">
        <v>1907</v>
      </c>
      <c r="G843" s="3" t="s">
        <v>430</v>
      </c>
      <c r="H843" s="3">
        <v>0.5</v>
      </c>
      <c r="I843" s="3">
        <v>0</v>
      </c>
      <c r="J843" s="3" t="s">
        <v>18</v>
      </c>
      <c r="K843" s="5">
        <v>0.1</v>
      </c>
      <c r="L843" s="6">
        <v>0</v>
      </c>
      <c r="M843" s="7" t="s">
        <v>1940</v>
      </c>
      <c r="N843" s="8">
        <f>VLOOKUP(B843,'[1]новый без картинок'!$A$5:$F$2672,6,0)</f>
        <v>345</v>
      </c>
    </row>
    <row r="844" spans="1:14" ht="151.15" customHeight="1" x14ac:dyDescent="0.2">
      <c r="A844" s="3">
        <v>842</v>
      </c>
      <c r="B844" s="3">
        <v>206304</v>
      </c>
      <c r="C844" s="4" t="str">
        <f>HYPERLINK("http://optservis.net:5080/photo?tov_code_internet=206304","Увеличить")</f>
        <v>Увеличить</v>
      </c>
      <c r="D844" s="3" t="s">
        <v>1939</v>
      </c>
      <c r="E844" s="3" t="s">
        <v>1941</v>
      </c>
      <c r="F844" s="3" t="s">
        <v>1909</v>
      </c>
      <c r="G844" s="3" t="s">
        <v>1101</v>
      </c>
      <c r="H844" s="3">
        <v>0.5</v>
      </c>
      <c r="I844" s="3">
        <v>0</v>
      </c>
      <c r="J844" s="3" t="s">
        <v>18</v>
      </c>
      <c r="K844" s="5">
        <v>0.1</v>
      </c>
      <c r="L844" s="6">
        <v>4690654018450</v>
      </c>
      <c r="M844" s="7" t="s">
        <v>1910</v>
      </c>
      <c r="N844" s="8">
        <f>VLOOKUP(B844,'[1]новый без картинок'!$A$5:$F$2672,6,0)</f>
        <v>351</v>
      </c>
    </row>
    <row r="845" spans="1:14" ht="151.15" customHeight="1" x14ac:dyDescent="0.2">
      <c r="A845" s="3">
        <v>843</v>
      </c>
      <c r="B845" s="3">
        <v>206359</v>
      </c>
      <c r="C845" s="4" t="str">
        <f>HYPERLINK("http://optservis.net:5080/photo?tov_code_internet=206359","Увеличить")</f>
        <v>Увеличить</v>
      </c>
      <c r="D845" s="3" t="s">
        <v>1942</v>
      </c>
      <c r="E845" s="3"/>
      <c r="F845" s="3" t="s">
        <v>1936</v>
      </c>
      <c r="G845" s="3" t="s">
        <v>1533</v>
      </c>
      <c r="H845" s="3">
        <v>0.5</v>
      </c>
      <c r="I845" s="3">
        <v>0</v>
      </c>
      <c r="J845" s="3" t="s">
        <v>18</v>
      </c>
      <c r="K845" s="5">
        <v>0.06</v>
      </c>
      <c r="L845" s="6">
        <v>0</v>
      </c>
      <c r="M845" s="7" t="s">
        <v>1943</v>
      </c>
      <c r="N845" s="8">
        <f>VLOOKUP(B845,'[1]новый без картинок'!$A$5:$F$2672,6,0)</f>
        <v>458</v>
      </c>
    </row>
    <row r="846" spans="1:14" ht="151.15" customHeight="1" x14ac:dyDescent="0.2">
      <c r="A846" s="3">
        <v>844</v>
      </c>
      <c r="B846" s="3">
        <v>206736</v>
      </c>
      <c r="C846" s="4" t="str">
        <f>HYPERLINK("http://optservis.net:5080/photo?tov_code_internet=206736","Увеличить")</f>
        <v>Увеличить</v>
      </c>
      <c r="D846" s="3" t="s">
        <v>1942</v>
      </c>
      <c r="E846" s="3"/>
      <c r="F846" s="3" t="s">
        <v>1944</v>
      </c>
      <c r="G846" s="3" t="s">
        <v>1479</v>
      </c>
      <c r="H846" s="3">
        <v>0.5</v>
      </c>
      <c r="I846" s="3">
        <v>0</v>
      </c>
      <c r="J846" s="3" t="s">
        <v>18</v>
      </c>
      <c r="K846" s="5">
        <v>0.06</v>
      </c>
      <c r="L846" s="6">
        <v>0</v>
      </c>
      <c r="M846" s="7" t="s">
        <v>1902</v>
      </c>
      <c r="N846" s="8">
        <f>VLOOKUP(B846,'[1]новый без картинок'!$A$5:$F$2672,6,0)</f>
        <v>455</v>
      </c>
    </row>
    <row r="847" spans="1:14" ht="151.15" customHeight="1" x14ac:dyDescent="0.2">
      <c r="A847" s="3">
        <v>845</v>
      </c>
      <c r="B847" s="3">
        <v>206360</v>
      </c>
      <c r="C847" s="4" t="str">
        <f>HYPERLINK("http://optservis.net:5080/photo?tov_code_internet=206360","Увеличить")</f>
        <v>Увеличить</v>
      </c>
      <c r="D847" s="3" t="s">
        <v>1945</v>
      </c>
      <c r="E847" s="3"/>
      <c r="F847" s="3" t="s">
        <v>1946</v>
      </c>
      <c r="G847" s="3" t="s">
        <v>1101</v>
      </c>
      <c r="H847" s="3">
        <v>0.5</v>
      </c>
      <c r="I847" s="3">
        <v>0</v>
      </c>
      <c r="J847" s="3" t="s">
        <v>18</v>
      </c>
      <c r="K847" s="5">
        <v>0.1</v>
      </c>
      <c r="L847" s="6">
        <v>0</v>
      </c>
      <c r="M847" s="7" t="s">
        <v>1905</v>
      </c>
      <c r="N847" s="8">
        <f>VLOOKUP(B847,'[1]новый без картинок'!$A$5:$F$2672,6,0)</f>
        <v>363</v>
      </c>
    </row>
    <row r="848" spans="1:14" ht="151.15" customHeight="1" x14ac:dyDescent="0.2">
      <c r="A848" s="3">
        <v>846</v>
      </c>
      <c r="B848" s="3">
        <v>206379</v>
      </c>
      <c r="C848" s="4" t="str">
        <f>HYPERLINK("http://optservis.net:5080/photo?tov_code_internet=206379","Увеличить")</f>
        <v>Увеличить</v>
      </c>
      <c r="D848" s="3" t="s">
        <v>1945</v>
      </c>
      <c r="E848" s="3"/>
      <c r="F848" s="3" t="s">
        <v>1947</v>
      </c>
      <c r="G848" s="3" t="s">
        <v>1101</v>
      </c>
      <c r="H848" s="3">
        <v>0.5</v>
      </c>
      <c r="I848" s="3">
        <v>0</v>
      </c>
      <c r="J848" s="3" t="s">
        <v>18</v>
      </c>
      <c r="K848" s="5">
        <v>0.1</v>
      </c>
      <c r="L848" s="6">
        <v>0</v>
      </c>
      <c r="M848" s="7" t="s">
        <v>1905</v>
      </c>
      <c r="N848" s="8">
        <f>VLOOKUP(B848,'[1]новый без картинок'!$A$5:$F$2672,6,0)</f>
        <v>364</v>
      </c>
    </row>
    <row r="849" spans="1:14" ht="151.15" customHeight="1" x14ac:dyDescent="0.2">
      <c r="A849" s="3">
        <v>847</v>
      </c>
      <c r="B849" s="3">
        <v>206730</v>
      </c>
      <c r="C849" s="4" t="str">
        <f>HYPERLINK("http://optservis.net:5080/photo?tov_code_internet=206730","Увеличить")</f>
        <v>Увеличить</v>
      </c>
      <c r="D849" s="3" t="s">
        <v>1945</v>
      </c>
      <c r="E849" s="3"/>
      <c r="F849" s="3" t="s">
        <v>449</v>
      </c>
      <c r="G849" s="3" t="s">
        <v>430</v>
      </c>
      <c r="H849" s="3">
        <v>0.5</v>
      </c>
      <c r="I849" s="3">
        <v>0</v>
      </c>
      <c r="J849" s="3" t="s">
        <v>18</v>
      </c>
      <c r="K849" s="5">
        <v>0.1</v>
      </c>
      <c r="L849" s="6">
        <v>0</v>
      </c>
      <c r="M849" s="7" t="s">
        <v>1948</v>
      </c>
      <c r="N849" s="8">
        <f>VLOOKUP(B849,'[1]новый без картинок'!$A$5:$F$2672,6,0)</f>
        <v>356</v>
      </c>
    </row>
    <row r="850" spans="1:14" ht="151.15" customHeight="1" x14ac:dyDescent="0.2">
      <c r="A850" s="3">
        <v>848</v>
      </c>
      <c r="B850" s="3">
        <v>194078</v>
      </c>
      <c r="C850" s="4" t="str">
        <f>HYPERLINK("http://optservis.net:5080/photo?tov_code_internet=194078","Увеличить")</f>
        <v>Увеличить</v>
      </c>
      <c r="D850" s="3" t="s">
        <v>1949</v>
      </c>
      <c r="E850" s="3"/>
      <c r="F850" s="3" t="s">
        <v>1950</v>
      </c>
      <c r="G850" s="3" t="s">
        <v>430</v>
      </c>
      <c r="H850" s="3">
        <v>0.5</v>
      </c>
      <c r="I850" s="3">
        <v>0</v>
      </c>
      <c r="J850" s="3" t="s">
        <v>18</v>
      </c>
      <c r="K850" s="5">
        <v>0.06</v>
      </c>
      <c r="L850" s="6">
        <v>0</v>
      </c>
      <c r="M850" s="7" t="s">
        <v>1951</v>
      </c>
      <c r="N850" s="8">
        <f>VLOOKUP(B850,'[1]новый без картинок'!$A$5:$F$2672,6,0)</f>
        <v>321</v>
      </c>
    </row>
    <row r="851" spans="1:14" ht="151.15" customHeight="1" x14ac:dyDescent="0.2">
      <c r="A851" s="3">
        <v>849</v>
      </c>
      <c r="B851" s="3">
        <v>191749</v>
      </c>
      <c r="C851" s="4" t="str">
        <f>HYPERLINK("http://optservis.net:5080/photo?tov_code_internet=191749","Увеличить")</f>
        <v>Увеличить</v>
      </c>
      <c r="D851" s="3" t="s">
        <v>1949</v>
      </c>
      <c r="E851" s="3"/>
      <c r="F851" s="3" t="s">
        <v>1952</v>
      </c>
      <c r="G851" s="3" t="s">
        <v>430</v>
      </c>
      <c r="H851" s="3">
        <v>0.5</v>
      </c>
      <c r="I851" s="3">
        <v>0</v>
      </c>
      <c r="J851" s="3" t="s">
        <v>18</v>
      </c>
      <c r="K851" s="5">
        <v>0.06</v>
      </c>
      <c r="L851" s="6">
        <v>0</v>
      </c>
      <c r="M851" s="7" t="s">
        <v>1953</v>
      </c>
      <c r="N851" s="8">
        <f>VLOOKUP(B851,'[1]новый без картинок'!$A$5:$F$2672,6,0)</f>
        <v>309</v>
      </c>
    </row>
    <row r="852" spans="1:14" ht="151.15" customHeight="1" x14ac:dyDescent="0.2">
      <c r="A852" s="3">
        <v>850</v>
      </c>
      <c r="B852" s="3">
        <v>194081</v>
      </c>
      <c r="C852" s="4" t="str">
        <f>HYPERLINK("http://optservis.net:5080/photo?tov_code_internet=194081","Увеличить")</f>
        <v>Увеличить</v>
      </c>
      <c r="D852" s="3" t="s">
        <v>1954</v>
      </c>
      <c r="E852" s="3"/>
      <c r="F852" s="3" t="s">
        <v>422</v>
      </c>
      <c r="G852" s="3" t="s">
        <v>430</v>
      </c>
      <c r="H852" s="3">
        <v>0.5</v>
      </c>
      <c r="I852" s="3">
        <v>0</v>
      </c>
      <c r="J852" s="3" t="s">
        <v>18</v>
      </c>
      <c r="K852" s="5">
        <v>0.08</v>
      </c>
      <c r="L852" s="6">
        <v>0</v>
      </c>
      <c r="M852" s="7" t="s">
        <v>1951</v>
      </c>
      <c r="N852" s="8">
        <f>VLOOKUP(B852,'[1]новый без картинок'!$A$5:$F$2672,6,0)</f>
        <v>377</v>
      </c>
    </row>
    <row r="853" spans="1:14" ht="151.15" customHeight="1" x14ac:dyDescent="0.2">
      <c r="A853" s="3">
        <v>851</v>
      </c>
      <c r="B853" s="3">
        <v>191750</v>
      </c>
      <c r="C853" s="4" t="str">
        <f>HYPERLINK("http://optservis.net:5080/photo?tov_code_internet=191750","Увеличить")</f>
        <v>Увеличить</v>
      </c>
      <c r="D853" s="3" t="s">
        <v>1954</v>
      </c>
      <c r="E853" s="3"/>
      <c r="F853" s="3" t="s">
        <v>1952</v>
      </c>
      <c r="G853" s="3" t="s">
        <v>430</v>
      </c>
      <c r="H853" s="3">
        <v>0.5</v>
      </c>
      <c r="I853" s="3">
        <v>0</v>
      </c>
      <c r="J853" s="3" t="s">
        <v>18</v>
      </c>
      <c r="K853" s="5">
        <v>0.08</v>
      </c>
      <c r="L853" s="6">
        <v>0</v>
      </c>
      <c r="M853" s="7" t="s">
        <v>1955</v>
      </c>
      <c r="N853" s="8">
        <f>VLOOKUP(B853,'[1]новый без картинок'!$A$5:$F$2672,6,0)</f>
        <v>374</v>
      </c>
    </row>
    <row r="854" spans="1:14" ht="151.15" customHeight="1" x14ac:dyDescent="0.2">
      <c r="A854" s="3">
        <v>852</v>
      </c>
      <c r="B854" s="3">
        <v>194083</v>
      </c>
      <c r="C854" s="4" t="str">
        <f>HYPERLINK("http://optservis.net:5080/photo?tov_code_internet=194083","Увеличить")</f>
        <v>Увеличить</v>
      </c>
      <c r="D854" s="3" t="s">
        <v>1956</v>
      </c>
      <c r="E854" s="3"/>
      <c r="F854" s="3" t="s">
        <v>422</v>
      </c>
      <c r="G854" s="3" t="s">
        <v>430</v>
      </c>
      <c r="H854" s="3">
        <v>0.5</v>
      </c>
      <c r="I854" s="3">
        <v>0</v>
      </c>
      <c r="J854" s="3" t="s">
        <v>18</v>
      </c>
      <c r="K854" s="5">
        <v>0.08</v>
      </c>
      <c r="L854" s="6">
        <v>0</v>
      </c>
      <c r="M854" s="7" t="s">
        <v>1957</v>
      </c>
      <c r="N854" s="8">
        <f>VLOOKUP(B854,'[1]новый без картинок'!$A$5:$F$2672,6,0)</f>
        <v>406</v>
      </c>
    </row>
    <row r="855" spans="1:14" ht="151.15" customHeight="1" x14ac:dyDescent="0.2">
      <c r="A855" s="3">
        <v>853</v>
      </c>
      <c r="B855" s="3">
        <v>191751</v>
      </c>
      <c r="C855" s="4" t="str">
        <f>HYPERLINK("http://optservis.net:5080/photo?tov_code_internet=191751","Увеличить")</f>
        <v>Увеличить</v>
      </c>
      <c r="D855" s="3" t="s">
        <v>1956</v>
      </c>
      <c r="E855" s="3" t="s">
        <v>1958</v>
      </c>
      <c r="F855" s="3" t="s">
        <v>1952</v>
      </c>
      <c r="G855" s="3" t="s">
        <v>430</v>
      </c>
      <c r="H855" s="3">
        <v>0.5</v>
      </c>
      <c r="I855" s="3">
        <v>0</v>
      </c>
      <c r="J855" s="3" t="s">
        <v>18</v>
      </c>
      <c r="K855" s="5">
        <v>0.08</v>
      </c>
      <c r="L855" s="6">
        <v>4690654017682</v>
      </c>
      <c r="M855" s="7" t="s">
        <v>1959</v>
      </c>
      <c r="N855" s="8">
        <f>VLOOKUP(B855,'[1]новый без картинок'!$A$5:$F$2672,6,0)</f>
        <v>403</v>
      </c>
    </row>
    <row r="856" spans="1:14" ht="151.15" customHeight="1" x14ac:dyDescent="0.2">
      <c r="A856" s="3">
        <v>854</v>
      </c>
      <c r="B856" s="3">
        <v>194082</v>
      </c>
      <c r="C856" s="4" t="str">
        <f>HYPERLINK("http://optservis.net:5080/photo?tov_code_internet=194082","Увеличить")</f>
        <v>Увеличить</v>
      </c>
      <c r="D856" s="3" t="s">
        <v>1960</v>
      </c>
      <c r="E856" s="3"/>
      <c r="F856" s="3" t="s">
        <v>422</v>
      </c>
      <c r="G856" s="3" t="s">
        <v>430</v>
      </c>
      <c r="H856" s="3">
        <v>0.5</v>
      </c>
      <c r="I856" s="3">
        <v>0</v>
      </c>
      <c r="J856" s="3" t="s">
        <v>18</v>
      </c>
      <c r="K856" s="5">
        <v>0.06</v>
      </c>
      <c r="L856" s="6">
        <v>0</v>
      </c>
      <c r="M856" s="7" t="s">
        <v>1961</v>
      </c>
      <c r="N856" s="8">
        <f>VLOOKUP(B856,'[1]новый без картинок'!$A$5:$F$2672,6,0)</f>
        <v>368</v>
      </c>
    </row>
    <row r="857" spans="1:14" ht="151.15" customHeight="1" x14ac:dyDescent="0.2">
      <c r="A857" s="3">
        <v>855</v>
      </c>
      <c r="B857" s="3">
        <v>191752</v>
      </c>
      <c r="C857" s="4" t="str">
        <f>HYPERLINK("http://optservis.net:5080/photo?tov_code_internet=191752","Увеличить")</f>
        <v>Увеличить</v>
      </c>
      <c r="D857" s="3" t="s">
        <v>1960</v>
      </c>
      <c r="E857" s="3"/>
      <c r="F857" s="3" t="s">
        <v>1952</v>
      </c>
      <c r="G857" s="3" t="s">
        <v>430</v>
      </c>
      <c r="H857" s="3">
        <v>0.5</v>
      </c>
      <c r="I857" s="3">
        <v>0</v>
      </c>
      <c r="J857" s="3" t="s">
        <v>18</v>
      </c>
      <c r="K857" s="5">
        <v>0.06</v>
      </c>
      <c r="L857" s="6">
        <v>0</v>
      </c>
      <c r="M857" s="7" t="s">
        <v>1962</v>
      </c>
      <c r="N857" s="8">
        <f>VLOOKUP(B857,'[1]новый без картинок'!$A$5:$F$2672,6,0)</f>
        <v>364</v>
      </c>
    </row>
    <row r="858" spans="1:14" ht="151.15" customHeight="1" x14ac:dyDescent="0.2">
      <c r="A858" s="3">
        <v>856</v>
      </c>
      <c r="B858" s="3">
        <v>191747</v>
      </c>
      <c r="C858" s="4" t="str">
        <f>HYPERLINK("http://optservis.net:5080/photo?tov_code_internet=191747","Увеличить")</f>
        <v>Увеличить</v>
      </c>
      <c r="D858" s="3" t="s">
        <v>1963</v>
      </c>
      <c r="E858" s="3"/>
      <c r="F858" s="3" t="s">
        <v>1964</v>
      </c>
      <c r="G858" s="3" t="s">
        <v>1479</v>
      </c>
      <c r="H858" s="3">
        <v>0.5</v>
      </c>
      <c r="I858" s="3">
        <v>0</v>
      </c>
      <c r="J858" s="3" t="s">
        <v>18</v>
      </c>
      <c r="K858" s="5">
        <v>0.05</v>
      </c>
      <c r="L858" s="6">
        <v>0</v>
      </c>
      <c r="M858" s="7" t="s">
        <v>1965</v>
      </c>
      <c r="N858" s="8">
        <f>VLOOKUP(B858,'[1]новый без картинок'!$A$5:$F$2672,6,0)</f>
        <v>502</v>
      </c>
    </row>
    <row r="859" spans="1:14" ht="151.15" customHeight="1" x14ac:dyDescent="0.2">
      <c r="A859" s="3">
        <v>857</v>
      </c>
      <c r="B859" s="3">
        <v>210785</v>
      </c>
      <c r="C859" s="4" t="str">
        <f>HYPERLINK("http://optservis.net:5080/photo?tov_code_internet=210785","Увеличить")</f>
        <v>Увеличить</v>
      </c>
      <c r="D859" s="3" t="s">
        <v>1966</v>
      </c>
      <c r="E859" s="3"/>
      <c r="F859" s="3" t="s">
        <v>1967</v>
      </c>
      <c r="G859" s="3" t="s">
        <v>430</v>
      </c>
      <c r="H859" s="3">
        <v>0.5</v>
      </c>
      <c r="I859" s="3">
        <v>0</v>
      </c>
      <c r="J859" s="3" t="s">
        <v>18</v>
      </c>
      <c r="K859" s="5">
        <v>0.04</v>
      </c>
      <c r="L859" s="6">
        <v>0</v>
      </c>
      <c r="M859" s="7" t="s">
        <v>1968</v>
      </c>
      <c r="N859" s="8">
        <f>VLOOKUP(B859,'[1]новый без картинок'!$A$5:$F$2672,6,0)</f>
        <v>381</v>
      </c>
    </row>
    <row r="860" spans="1:14" ht="151.15" customHeight="1" x14ac:dyDescent="0.2">
      <c r="A860" s="3">
        <v>858</v>
      </c>
      <c r="B860" s="3">
        <v>192257</v>
      </c>
      <c r="C860" s="4" t="str">
        <f>HYPERLINK("http://optservis.net:5080/photo?tov_code_internet=192257","Увеличить")</f>
        <v>Увеличить</v>
      </c>
      <c r="D860" s="3" t="s">
        <v>1966</v>
      </c>
      <c r="E860" s="3"/>
      <c r="F860" s="3" t="s">
        <v>1952</v>
      </c>
      <c r="G860" s="3" t="s">
        <v>430</v>
      </c>
      <c r="H860" s="3">
        <v>0.5</v>
      </c>
      <c r="I860" s="3">
        <v>0</v>
      </c>
      <c r="J860" s="3" t="s">
        <v>18</v>
      </c>
      <c r="K860" s="5">
        <v>0.04</v>
      </c>
      <c r="L860" s="6">
        <v>0</v>
      </c>
      <c r="M860" s="7" t="s">
        <v>1969</v>
      </c>
      <c r="N860" s="8">
        <f>VLOOKUP(B860,'[1]новый без картинок'!$A$5:$F$2672,6,0)</f>
        <v>311</v>
      </c>
    </row>
    <row r="861" spans="1:14" ht="151.15" customHeight="1" x14ac:dyDescent="0.2">
      <c r="A861" s="3">
        <v>859</v>
      </c>
      <c r="B861" s="3">
        <v>191739</v>
      </c>
      <c r="C861" s="4" t="str">
        <f>HYPERLINK("http://optservis.net:5080/photo?tov_code_internet=191739","Увеличить")</f>
        <v>Увеличить</v>
      </c>
      <c r="D861" s="3" t="s">
        <v>1970</v>
      </c>
      <c r="E861" s="3"/>
      <c r="F861" s="3" t="s">
        <v>1971</v>
      </c>
      <c r="G861" s="3" t="s">
        <v>430</v>
      </c>
      <c r="H861" s="3">
        <v>0.5</v>
      </c>
      <c r="I861" s="3">
        <v>0</v>
      </c>
      <c r="J861" s="3" t="s">
        <v>18</v>
      </c>
      <c r="K861" s="5">
        <v>7.0000000000000007E-2</v>
      </c>
      <c r="L861" s="6">
        <v>0</v>
      </c>
      <c r="M861" s="7" t="s">
        <v>1972</v>
      </c>
      <c r="N861" s="8">
        <f>VLOOKUP(B861,'[1]новый без картинок'!$A$5:$F$2672,6,0)</f>
        <v>308</v>
      </c>
    </row>
    <row r="862" spans="1:14" ht="151.15" customHeight="1" x14ac:dyDescent="0.2">
      <c r="A862" s="3">
        <v>860</v>
      </c>
      <c r="B862" s="3">
        <v>194080</v>
      </c>
      <c r="C862" s="4" t="str">
        <f>HYPERLINK("http://optservis.net:5080/photo?tov_code_internet=194080","Увеличить")</f>
        <v>Увеличить</v>
      </c>
      <c r="D862" s="3" t="s">
        <v>1973</v>
      </c>
      <c r="E862" s="3"/>
      <c r="F862" s="3" t="s">
        <v>422</v>
      </c>
      <c r="G862" s="3" t="s">
        <v>430</v>
      </c>
      <c r="H862" s="3">
        <v>0.5</v>
      </c>
      <c r="I862" s="3">
        <v>0</v>
      </c>
      <c r="J862" s="3" t="s">
        <v>18</v>
      </c>
      <c r="K862" s="5">
        <v>0.06</v>
      </c>
      <c r="L862" s="6">
        <v>0</v>
      </c>
      <c r="M862" s="7" t="s">
        <v>1974</v>
      </c>
      <c r="N862" s="8">
        <f>VLOOKUP(B862,'[1]новый без картинок'!$A$5:$F$2672,6,0)</f>
        <v>315</v>
      </c>
    </row>
    <row r="863" spans="1:14" ht="151.15" customHeight="1" x14ac:dyDescent="0.2">
      <c r="A863" s="3">
        <v>861</v>
      </c>
      <c r="B863" s="3">
        <v>191740</v>
      </c>
      <c r="C863" s="4" t="str">
        <f>HYPERLINK("http://optservis.net:5080/photo?tov_code_internet=191740","Увеличить")</f>
        <v>Увеличить</v>
      </c>
      <c r="D863" s="3" t="s">
        <v>1973</v>
      </c>
      <c r="E863" s="3"/>
      <c r="F863" s="3" t="s">
        <v>1952</v>
      </c>
      <c r="G863" s="3" t="s">
        <v>430</v>
      </c>
      <c r="H863" s="3">
        <v>0.5</v>
      </c>
      <c r="I863" s="3">
        <v>0</v>
      </c>
      <c r="J863" s="3" t="s">
        <v>18</v>
      </c>
      <c r="K863" s="5">
        <v>0.06</v>
      </c>
      <c r="L863" s="6">
        <v>0</v>
      </c>
      <c r="M863" s="7" t="s">
        <v>1975</v>
      </c>
      <c r="N863" s="8">
        <f>VLOOKUP(B863,'[1]новый без картинок'!$A$5:$F$2672,6,0)</f>
        <v>311</v>
      </c>
    </row>
    <row r="864" spans="1:14" ht="151.15" customHeight="1" x14ac:dyDescent="0.2">
      <c r="A864" s="3">
        <v>862</v>
      </c>
      <c r="B864" s="3">
        <v>191742</v>
      </c>
      <c r="C864" s="4" t="str">
        <f>HYPERLINK("http://optservis.net:5080/photo?tov_code_internet=191742","Увеличить")</f>
        <v>Увеличить</v>
      </c>
      <c r="D864" s="3" t="s">
        <v>1976</v>
      </c>
      <c r="E864" s="3"/>
      <c r="F864" s="3" t="s">
        <v>1977</v>
      </c>
      <c r="G864" s="3" t="s">
        <v>1469</v>
      </c>
      <c r="H864" s="3">
        <v>0.5</v>
      </c>
      <c r="I864" s="3">
        <v>0</v>
      </c>
      <c r="J864" s="3" t="s">
        <v>18</v>
      </c>
      <c r="K864" s="5">
        <v>0.06</v>
      </c>
      <c r="L864" s="6">
        <v>0</v>
      </c>
      <c r="M864" s="7" t="s">
        <v>1978</v>
      </c>
      <c r="N864" s="8">
        <f>VLOOKUP(B864,'[1]новый без картинок'!$A$5:$F$2672,6,0)</f>
        <v>417</v>
      </c>
    </row>
    <row r="865" spans="1:14" ht="151.15" customHeight="1" x14ac:dyDescent="0.2">
      <c r="A865" s="3">
        <v>863</v>
      </c>
      <c r="B865" s="3">
        <v>191744</v>
      </c>
      <c r="C865" s="4" t="str">
        <f>HYPERLINK("http://optservis.net:5080/photo?tov_code_internet=191744","Увеличить")</f>
        <v>Увеличить</v>
      </c>
      <c r="D865" s="3" t="s">
        <v>1976</v>
      </c>
      <c r="E865" s="3"/>
      <c r="F865" s="3" t="s">
        <v>1979</v>
      </c>
      <c r="G865" s="3" t="s">
        <v>1469</v>
      </c>
      <c r="H865" s="3">
        <v>0.5</v>
      </c>
      <c r="I865" s="3">
        <v>0</v>
      </c>
      <c r="J865" s="3" t="s">
        <v>18</v>
      </c>
      <c r="K865" s="5">
        <v>0.06</v>
      </c>
      <c r="L865" s="6">
        <v>0</v>
      </c>
      <c r="M865" s="7" t="s">
        <v>1978</v>
      </c>
      <c r="N865" s="8">
        <f>VLOOKUP(B865,'[1]новый без картинок'!$A$5:$F$2672,6,0)</f>
        <v>408</v>
      </c>
    </row>
    <row r="866" spans="1:14" ht="151.15" customHeight="1" x14ac:dyDescent="0.2">
      <c r="A866" s="3">
        <v>864</v>
      </c>
      <c r="B866" s="3">
        <v>357734</v>
      </c>
      <c r="C866" s="4" t="str">
        <f>HYPERLINK("http://optservis.net:5080/photo?tov_code_internet=357734","Увеличить")</f>
        <v>Увеличить</v>
      </c>
      <c r="D866" s="3" t="s">
        <v>1980</v>
      </c>
      <c r="E866" s="3"/>
      <c r="F866" s="3" t="s">
        <v>1950</v>
      </c>
      <c r="G866" s="3" t="s">
        <v>430</v>
      </c>
      <c r="H866" s="3">
        <v>0.5</v>
      </c>
      <c r="I866" s="3">
        <v>0</v>
      </c>
      <c r="J866" s="3" t="s">
        <v>18</v>
      </c>
      <c r="K866" s="5">
        <v>0.08</v>
      </c>
      <c r="L866" s="6">
        <v>0</v>
      </c>
      <c r="M866" s="7" t="s">
        <v>1981</v>
      </c>
      <c r="N866" s="8">
        <f>VLOOKUP(B866,'[1]новый без картинок'!$A$5:$F$2672,6,0)</f>
        <v>326</v>
      </c>
    </row>
    <row r="867" spans="1:14" ht="151.15" customHeight="1" x14ac:dyDescent="0.2">
      <c r="A867" s="3">
        <v>865</v>
      </c>
      <c r="B867" s="3">
        <v>10780</v>
      </c>
      <c r="C867" s="4" t="str">
        <f>HYPERLINK("http://optservis.net:5080/photo?tov_code_internet=10780","Увеличить")</f>
        <v>Увеличить</v>
      </c>
      <c r="D867" s="3" t="s">
        <v>1980</v>
      </c>
      <c r="E867" s="3"/>
      <c r="F867" s="3" t="s">
        <v>1952</v>
      </c>
      <c r="G867" s="3" t="s">
        <v>430</v>
      </c>
      <c r="H867" s="3">
        <v>0.5</v>
      </c>
      <c r="I867" s="3">
        <v>0</v>
      </c>
      <c r="J867" s="3" t="s">
        <v>18</v>
      </c>
      <c r="K867" s="5">
        <v>0.08</v>
      </c>
      <c r="L867" s="6">
        <v>0</v>
      </c>
      <c r="M867" s="7" t="s">
        <v>1981</v>
      </c>
      <c r="N867" s="8">
        <f>VLOOKUP(B867,'[1]новый без картинок'!$A$5:$F$2672,6,0)</f>
        <v>315</v>
      </c>
    </row>
    <row r="868" spans="1:14" ht="151.15" customHeight="1" x14ac:dyDescent="0.2">
      <c r="A868" s="3">
        <v>866</v>
      </c>
      <c r="B868" s="3">
        <v>194090</v>
      </c>
      <c r="C868" s="4" t="str">
        <f>HYPERLINK("http://optservis.net:5080/photo?tov_code_internet=194090","Увеличить")</f>
        <v>Увеличить</v>
      </c>
      <c r="D868" s="3" t="s">
        <v>1982</v>
      </c>
      <c r="E868" s="3"/>
      <c r="F868" s="3" t="s">
        <v>1983</v>
      </c>
      <c r="G868" s="3" t="s">
        <v>1045</v>
      </c>
      <c r="H868" s="3">
        <v>0.5</v>
      </c>
      <c r="I868" s="3">
        <v>0</v>
      </c>
      <c r="J868" s="3" t="s">
        <v>18</v>
      </c>
      <c r="K868" s="5">
        <v>0.04</v>
      </c>
      <c r="L868" s="6">
        <v>0</v>
      </c>
      <c r="M868" s="7" t="s">
        <v>1984</v>
      </c>
      <c r="N868" s="8">
        <f>VLOOKUP(B868,'[1]новый без картинок'!$A$5:$F$2672,6,0)</f>
        <v>424</v>
      </c>
    </row>
    <row r="869" spans="1:14" ht="151.15" customHeight="1" x14ac:dyDescent="0.2">
      <c r="A869" s="3">
        <v>867</v>
      </c>
      <c r="B869" s="3">
        <v>191745</v>
      </c>
      <c r="C869" s="4" t="str">
        <f>HYPERLINK("http://optservis.net:5080/photo?tov_code_internet=191745","Увеличить")</f>
        <v>Увеличить</v>
      </c>
      <c r="D869" s="3" t="s">
        <v>1982</v>
      </c>
      <c r="E869" s="3"/>
      <c r="F869" s="3" t="s">
        <v>1985</v>
      </c>
      <c r="G869" s="3" t="s">
        <v>1479</v>
      </c>
      <c r="H869" s="3">
        <v>0.5</v>
      </c>
      <c r="I869" s="3">
        <v>0</v>
      </c>
      <c r="J869" s="3" t="s">
        <v>18</v>
      </c>
      <c r="K869" s="5">
        <v>0.04</v>
      </c>
      <c r="L869" s="6">
        <v>0</v>
      </c>
      <c r="M869" s="7" t="s">
        <v>1986</v>
      </c>
      <c r="N869" s="8">
        <f>VLOOKUP(B869,'[1]новый без картинок'!$A$5:$F$2672,6,0)</f>
        <v>424</v>
      </c>
    </row>
    <row r="870" spans="1:14" ht="151.15" customHeight="1" x14ac:dyDescent="0.2">
      <c r="A870" s="3">
        <v>868</v>
      </c>
      <c r="B870" s="3">
        <v>194089</v>
      </c>
      <c r="C870" s="4" t="str">
        <f>HYPERLINK("http://optservis.net:5080/photo?tov_code_internet=194089","Увеличить")</f>
        <v>Увеличить</v>
      </c>
      <c r="D870" s="3" t="s">
        <v>1982</v>
      </c>
      <c r="E870" s="3" t="s">
        <v>1987</v>
      </c>
      <c r="F870" s="3" t="s">
        <v>1988</v>
      </c>
      <c r="G870" s="3" t="s">
        <v>1045</v>
      </c>
      <c r="H870" s="3">
        <v>0.5</v>
      </c>
      <c r="I870" s="3">
        <v>0</v>
      </c>
      <c r="J870" s="3" t="s">
        <v>18</v>
      </c>
      <c r="K870" s="5">
        <v>0.04</v>
      </c>
      <c r="L870" s="6">
        <v>4690654021108</v>
      </c>
      <c r="M870" s="7" t="s">
        <v>1984</v>
      </c>
      <c r="N870" s="8">
        <f>VLOOKUP(B870,'[1]новый без картинок'!$A$5:$F$2672,6,0)</f>
        <v>428</v>
      </c>
    </row>
    <row r="871" spans="1:14" ht="151.15" customHeight="1" x14ac:dyDescent="0.2">
      <c r="A871" s="3">
        <v>869</v>
      </c>
      <c r="B871" s="3">
        <v>191746</v>
      </c>
      <c r="C871" s="4" t="str">
        <f>HYPERLINK("http://optservis.net:5080/photo?tov_code_internet=191746","Увеличить")</f>
        <v>Увеличить</v>
      </c>
      <c r="D871" s="3" t="s">
        <v>1989</v>
      </c>
      <c r="E871" s="3"/>
      <c r="F871" s="3" t="s">
        <v>1990</v>
      </c>
      <c r="G871" s="3" t="s">
        <v>1469</v>
      </c>
      <c r="H871" s="3">
        <v>0.5</v>
      </c>
      <c r="I871" s="3">
        <v>0</v>
      </c>
      <c r="J871" s="3" t="s">
        <v>18</v>
      </c>
      <c r="K871" s="5">
        <v>0.04</v>
      </c>
      <c r="L871" s="6">
        <v>0</v>
      </c>
      <c r="M871" s="7" t="s">
        <v>1991</v>
      </c>
      <c r="N871" s="8">
        <f>VLOOKUP(B871,'[1]новый без картинок'!$A$5:$F$2672,6,0)</f>
        <v>514</v>
      </c>
    </row>
    <row r="872" spans="1:14" ht="151.15" customHeight="1" x14ac:dyDescent="0.2">
      <c r="A872" s="3">
        <v>870</v>
      </c>
      <c r="B872" s="3">
        <v>199582</v>
      </c>
      <c r="C872" s="4" t="str">
        <f>HYPERLINK("http://optservis.net:5080/photo?tov_code_internet=199582","Увеличить")</f>
        <v>Увеличить</v>
      </c>
      <c r="D872" s="3" t="s">
        <v>1992</v>
      </c>
      <c r="E872" s="3"/>
      <c r="F872" s="3" t="s">
        <v>1993</v>
      </c>
      <c r="G872" s="3" t="s">
        <v>430</v>
      </c>
      <c r="H872" s="3">
        <v>0.5</v>
      </c>
      <c r="I872" s="3">
        <v>0</v>
      </c>
      <c r="J872" s="3" t="s">
        <v>18</v>
      </c>
      <c r="K872" s="5">
        <v>0.08</v>
      </c>
      <c r="L872" s="6">
        <v>0</v>
      </c>
      <c r="M872" s="7" t="s">
        <v>1994</v>
      </c>
      <c r="N872" s="8">
        <f>VLOOKUP(B872,'[1]новый без картинок'!$A$5:$F$2672,6,0)</f>
        <v>329</v>
      </c>
    </row>
    <row r="873" spans="1:14" ht="151.15" customHeight="1" x14ac:dyDescent="0.2">
      <c r="A873" s="3">
        <v>871</v>
      </c>
      <c r="B873" s="3">
        <v>199583</v>
      </c>
      <c r="C873" s="4" t="str">
        <f>HYPERLINK("http://optservis.net:5080/photo?tov_code_internet=199583","Увеличить")</f>
        <v>Увеличить</v>
      </c>
      <c r="D873" s="3" t="s">
        <v>1992</v>
      </c>
      <c r="E873" s="3"/>
      <c r="F873" s="3" t="s">
        <v>1995</v>
      </c>
      <c r="G873" s="3" t="s">
        <v>430</v>
      </c>
      <c r="H873" s="3">
        <v>0.5</v>
      </c>
      <c r="I873" s="3">
        <v>0</v>
      </c>
      <c r="J873" s="3" t="s">
        <v>18</v>
      </c>
      <c r="K873" s="5">
        <v>0.08</v>
      </c>
      <c r="L873" s="6">
        <v>0</v>
      </c>
      <c r="M873" s="7" t="s">
        <v>1994</v>
      </c>
      <c r="N873" s="8">
        <f>VLOOKUP(B873,'[1]новый без картинок'!$A$5:$F$2672,6,0)</f>
        <v>325</v>
      </c>
    </row>
    <row r="874" spans="1:14" ht="151.15" customHeight="1" x14ac:dyDescent="0.2">
      <c r="A874" s="3">
        <v>872</v>
      </c>
      <c r="B874" s="3">
        <v>194079</v>
      </c>
      <c r="C874" s="4" t="str">
        <f>HYPERLINK("http://optservis.net:5080/photo?tov_code_internet=194079","Увеличить")</f>
        <v>Увеличить</v>
      </c>
      <c r="D874" s="3" t="s">
        <v>1992</v>
      </c>
      <c r="E874" s="3" t="s">
        <v>1996</v>
      </c>
      <c r="F874" s="3" t="s">
        <v>1997</v>
      </c>
      <c r="G874" s="3" t="s">
        <v>430</v>
      </c>
      <c r="H874" s="3">
        <v>0.5</v>
      </c>
      <c r="I874" s="3">
        <v>0</v>
      </c>
      <c r="J874" s="3" t="s">
        <v>18</v>
      </c>
      <c r="K874" s="5">
        <v>0.08</v>
      </c>
      <c r="L874" s="6">
        <v>4690654015091</v>
      </c>
      <c r="M874" s="7" t="s">
        <v>1998</v>
      </c>
      <c r="N874" s="8">
        <f>VLOOKUP(B874,'[1]новый без картинок'!$A$5:$F$2672,6,0)</f>
        <v>330</v>
      </c>
    </row>
    <row r="875" spans="1:14" ht="151.15" customHeight="1" x14ac:dyDescent="0.2">
      <c r="A875" s="3">
        <v>873</v>
      </c>
      <c r="B875" s="3">
        <v>194133</v>
      </c>
      <c r="C875" s="4" t="str">
        <f>HYPERLINK("http://optservis.net:5080/photo?tov_code_internet=194133","Увеличить")</f>
        <v>Увеличить</v>
      </c>
      <c r="D875" s="3" t="s">
        <v>1999</v>
      </c>
      <c r="E875" s="3"/>
      <c r="F875" s="3" t="s">
        <v>2000</v>
      </c>
      <c r="G875" s="3" t="s">
        <v>2001</v>
      </c>
      <c r="H875" s="3">
        <v>0.5</v>
      </c>
      <c r="I875" s="3">
        <v>0</v>
      </c>
      <c r="J875" s="3" t="s">
        <v>18</v>
      </c>
      <c r="K875" s="5">
        <v>0.08</v>
      </c>
      <c r="L875" s="6">
        <v>0</v>
      </c>
      <c r="M875" s="7" t="s">
        <v>2002</v>
      </c>
      <c r="N875" s="8">
        <f>VLOOKUP(B875,'[1]новый без картинок'!$A$5:$F$2672,6,0)</f>
        <v>385</v>
      </c>
    </row>
    <row r="876" spans="1:14" ht="151.15" customHeight="1" x14ac:dyDescent="0.2">
      <c r="A876" s="3">
        <v>874</v>
      </c>
      <c r="B876" s="3">
        <v>194132</v>
      </c>
      <c r="C876" s="4" t="str">
        <f>HYPERLINK("http://optservis.net:5080/photo?tov_code_internet=194132","Увеличить")</f>
        <v>Увеличить</v>
      </c>
      <c r="D876" s="3" t="s">
        <v>2003</v>
      </c>
      <c r="E876" s="3"/>
      <c r="F876" s="3" t="s">
        <v>2004</v>
      </c>
      <c r="G876" s="3" t="s">
        <v>2001</v>
      </c>
      <c r="H876" s="3">
        <v>0.5</v>
      </c>
      <c r="I876" s="3">
        <v>0</v>
      </c>
      <c r="J876" s="3" t="s">
        <v>18</v>
      </c>
      <c r="K876" s="5">
        <v>7.0000000000000007E-2</v>
      </c>
      <c r="L876" s="6">
        <v>0</v>
      </c>
      <c r="M876" s="7" t="s">
        <v>2002</v>
      </c>
      <c r="N876" s="8">
        <f>VLOOKUP(B876,'[1]новый без картинок'!$A$5:$F$2672,6,0)</f>
        <v>328</v>
      </c>
    </row>
    <row r="877" spans="1:14" ht="151.15" customHeight="1" x14ac:dyDescent="0.2">
      <c r="A877" s="3">
        <v>875</v>
      </c>
      <c r="B877" s="3">
        <v>194134</v>
      </c>
      <c r="C877" s="4" t="str">
        <f>HYPERLINK("http://optservis.net:5080/photo?tov_code_internet=194134","Увеличить")</f>
        <v>Увеличить</v>
      </c>
      <c r="D877" s="3" t="s">
        <v>2005</v>
      </c>
      <c r="E877" s="3"/>
      <c r="F877" s="3" t="s">
        <v>2000</v>
      </c>
      <c r="G877" s="3" t="s">
        <v>2001</v>
      </c>
      <c r="H877" s="3">
        <v>0.5</v>
      </c>
      <c r="I877" s="3">
        <v>0</v>
      </c>
      <c r="J877" s="3" t="s">
        <v>18</v>
      </c>
      <c r="K877" s="5">
        <v>0.06</v>
      </c>
      <c r="L877" s="6">
        <v>0</v>
      </c>
      <c r="M877" s="7" t="s">
        <v>2002</v>
      </c>
      <c r="N877" s="8">
        <f>VLOOKUP(B877,'[1]новый без картинок'!$A$5:$F$2672,6,0)</f>
        <v>374</v>
      </c>
    </row>
    <row r="878" spans="1:14" ht="151.15" customHeight="1" x14ac:dyDescent="0.2">
      <c r="A878" s="3">
        <v>876</v>
      </c>
      <c r="B878" s="3">
        <v>194138</v>
      </c>
      <c r="C878" s="4" t="str">
        <f>HYPERLINK("http://optservis.net:5080/photo?tov_code_internet=194138","Увеличить")</f>
        <v>Увеличить</v>
      </c>
      <c r="D878" s="3" t="s">
        <v>2006</v>
      </c>
      <c r="E878" s="3"/>
      <c r="F878" s="3" t="s">
        <v>2007</v>
      </c>
      <c r="G878" s="3" t="s">
        <v>2008</v>
      </c>
      <c r="H878" s="3">
        <v>0.5</v>
      </c>
      <c r="I878" s="3">
        <v>0</v>
      </c>
      <c r="J878" s="3" t="s">
        <v>18</v>
      </c>
      <c r="K878" s="5">
        <v>0.05</v>
      </c>
      <c r="L878" s="6">
        <v>0</v>
      </c>
      <c r="M878" s="7" t="s">
        <v>2009</v>
      </c>
      <c r="N878" s="8">
        <f>VLOOKUP(B878,'[1]новый без картинок'!$A$5:$F$2672,6,0)</f>
        <v>512</v>
      </c>
    </row>
    <row r="879" spans="1:14" ht="151.15" customHeight="1" x14ac:dyDescent="0.2">
      <c r="A879" s="3">
        <v>877</v>
      </c>
      <c r="B879" s="3">
        <v>179115</v>
      </c>
      <c r="C879" s="4" t="str">
        <f>HYPERLINK("http://optservis.net:5080/photo?tov_code_internet=179115","Увеличить")</f>
        <v>Увеличить</v>
      </c>
      <c r="D879" s="3" t="s">
        <v>2006</v>
      </c>
      <c r="E879" s="3" t="s">
        <v>2010</v>
      </c>
      <c r="F879" s="3" t="s">
        <v>2011</v>
      </c>
      <c r="G879" s="3" t="s">
        <v>1479</v>
      </c>
      <c r="H879" s="3">
        <v>0.5</v>
      </c>
      <c r="I879" s="3">
        <v>0</v>
      </c>
      <c r="J879" s="3" t="s">
        <v>18</v>
      </c>
      <c r="K879" s="5">
        <v>0.05</v>
      </c>
      <c r="L879" s="6">
        <v>4690654012236</v>
      </c>
      <c r="M879" s="7" t="s">
        <v>2012</v>
      </c>
      <c r="N879" s="8">
        <f>VLOOKUP(B879,'[1]новый без картинок'!$A$5:$F$2672,6,0)</f>
        <v>480</v>
      </c>
    </row>
    <row r="880" spans="1:14" ht="151.15" customHeight="1" x14ac:dyDescent="0.2">
      <c r="A880" s="3">
        <v>878</v>
      </c>
      <c r="B880" s="3">
        <v>210801</v>
      </c>
      <c r="C880" s="4" t="str">
        <f>HYPERLINK("http://optservis.net:5080/photo?tov_code_internet=210801","Увеличить")</f>
        <v>Увеличить</v>
      </c>
      <c r="D880" s="3" t="s">
        <v>2013</v>
      </c>
      <c r="E880" s="3"/>
      <c r="F880" s="3" t="s">
        <v>2014</v>
      </c>
      <c r="G880" s="3" t="s">
        <v>430</v>
      </c>
      <c r="H880" s="3">
        <v>0.5</v>
      </c>
      <c r="I880" s="3">
        <v>0</v>
      </c>
      <c r="J880" s="3" t="s">
        <v>18</v>
      </c>
      <c r="K880" s="5">
        <v>0.04</v>
      </c>
      <c r="L880" s="6">
        <v>0</v>
      </c>
      <c r="M880" s="7" t="s">
        <v>2015</v>
      </c>
      <c r="N880" s="8">
        <f>VLOOKUP(B880,'[1]новый без картинок'!$A$5:$F$2672,6,0)</f>
        <v>296</v>
      </c>
    </row>
    <row r="881" spans="1:14" ht="151.15" customHeight="1" x14ac:dyDescent="0.2">
      <c r="A881" s="3">
        <v>879</v>
      </c>
      <c r="B881" s="3">
        <v>210784</v>
      </c>
      <c r="C881" s="4" t="str">
        <f>HYPERLINK("http://optservis.net:5080/photo?tov_code_internet=210784","Увеличить")</f>
        <v>Увеличить</v>
      </c>
      <c r="D881" s="3" t="s">
        <v>2013</v>
      </c>
      <c r="E881" s="3"/>
      <c r="F881" s="3" t="s">
        <v>2016</v>
      </c>
      <c r="G881" s="3" t="s">
        <v>430</v>
      </c>
      <c r="H881" s="3">
        <v>0.5</v>
      </c>
      <c r="I881" s="3">
        <v>0</v>
      </c>
      <c r="J881" s="3" t="s">
        <v>18</v>
      </c>
      <c r="K881" s="5">
        <v>0.04</v>
      </c>
      <c r="L881" s="6">
        <v>0</v>
      </c>
      <c r="M881" s="7" t="s">
        <v>2017</v>
      </c>
      <c r="N881" s="8">
        <f>VLOOKUP(B881,'[1]новый без картинок'!$A$5:$F$2672,6,0)</f>
        <v>359</v>
      </c>
    </row>
    <row r="882" spans="1:14" ht="151.15" customHeight="1" x14ac:dyDescent="0.2">
      <c r="A882" s="3">
        <v>880</v>
      </c>
      <c r="B882" s="3">
        <v>192255</v>
      </c>
      <c r="C882" s="4" t="str">
        <f>HYPERLINK("http://optservis.net:5080/photo?tov_code_internet=192255","Увеличить")</f>
        <v>Увеличить</v>
      </c>
      <c r="D882" s="3" t="s">
        <v>2013</v>
      </c>
      <c r="E882" s="3"/>
      <c r="F882" s="3" t="s">
        <v>2018</v>
      </c>
      <c r="G882" s="3" t="s">
        <v>430</v>
      </c>
      <c r="H882" s="3">
        <v>0.5</v>
      </c>
      <c r="I882" s="3">
        <v>0</v>
      </c>
      <c r="J882" s="3" t="s">
        <v>18</v>
      </c>
      <c r="K882" s="5">
        <v>0.04</v>
      </c>
      <c r="L882" s="6">
        <v>0</v>
      </c>
      <c r="M882" s="7" t="s">
        <v>1969</v>
      </c>
      <c r="N882" s="8">
        <f>VLOOKUP(B882,'[1]новый без картинок'!$A$5:$F$2672,6,0)</f>
        <v>289</v>
      </c>
    </row>
    <row r="883" spans="1:14" ht="151.15" customHeight="1" x14ac:dyDescent="0.2">
      <c r="A883" s="3">
        <v>881</v>
      </c>
      <c r="B883" s="3">
        <v>194129</v>
      </c>
      <c r="C883" s="4" t="str">
        <f>HYPERLINK("http://optservis.net:5080/photo?tov_code_internet=194129","Увеличить")</f>
        <v>Увеличить</v>
      </c>
      <c r="D883" s="3" t="s">
        <v>2019</v>
      </c>
      <c r="E883" s="3"/>
      <c r="F883" s="3" t="s">
        <v>2000</v>
      </c>
      <c r="G883" s="3" t="s">
        <v>2001</v>
      </c>
      <c r="H883" s="3">
        <v>0.5</v>
      </c>
      <c r="I883" s="3">
        <v>0</v>
      </c>
      <c r="J883" s="3" t="s">
        <v>18</v>
      </c>
      <c r="K883" s="5">
        <v>7.0000000000000007E-2</v>
      </c>
      <c r="L883" s="6">
        <v>0</v>
      </c>
      <c r="M883" s="7" t="s">
        <v>2002</v>
      </c>
      <c r="N883" s="8">
        <f>VLOOKUP(B883,'[1]новый без картинок'!$A$5:$F$2672,6,0)</f>
        <v>309</v>
      </c>
    </row>
    <row r="884" spans="1:14" ht="151.15" customHeight="1" x14ac:dyDescent="0.2">
      <c r="A884" s="3">
        <v>882</v>
      </c>
      <c r="B884" s="3">
        <v>178570</v>
      </c>
      <c r="C884" s="4" t="str">
        <f>HYPERLINK("http://optservis.net:5080/photo?tov_code_internet=178570","Увеличить")</f>
        <v>Увеличить</v>
      </c>
      <c r="D884" s="3" t="s">
        <v>2019</v>
      </c>
      <c r="E884" s="3" t="s">
        <v>2020</v>
      </c>
      <c r="F884" s="3" t="s">
        <v>2021</v>
      </c>
      <c r="G884" s="3" t="s">
        <v>430</v>
      </c>
      <c r="H884" s="3">
        <v>0.5</v>
      </c>
      <c r="I884" s="3">
        <v>0</v>
      </c>
      <c r="J884" s="3" t="s">
        <v>18</v>
      </c>
      <c r="K884" s="5">
        <v>7.0000000000000007E-2</v>
      </c>
      <c r="L884" s="6">
        <v>4690654015084</v>
      </c>
      <c r="M884" s="7" t="s">
        <v>2022</v>
      </c>
      <c r="N884" s="8">
        <f>VLOOKUP(B884,'[1]новый без картинок'!$A$5:$F$2672,6,0)</f>
        <v>286</v>
      </c>
    </row>
    <row r="885" spans="1:14" ht="151.15" customHeight="1" x14ac:dyDescent="0.2">
      <c r="A885" s="3">
        <v>883</v>
      </c>
      <c r="B885" s="3">
        <v>202979</v>
      </c>
      <c r="C885" s="4" t="str">
        <f>HYPERLINK("http://optservis.net:5080/photo?tov_code_internet=202979","Увеличить")</f>
        <v>Увеличить</v>
      </c>
      <c r="D885" s="3" t="s">
        <v>2023</v>
      </c>
      <c r="E885" s="3" t="s">
        <v>2024</v>
      </c>
      <c r="F885" s="3" t="s">
        <v>2018</v>
      </c>
      <c r="G885" s="3" t="s">
        <v>430</v>
      </c>
      <c r="H885" s="3">
        <v>0.5</v>
      </c>
      <c r="I885" s="3">
        <v>0</v>
      </c>
      <c r="J885" s="3" t="s">
        <v>18</v>
      </c>
      <c r="K885" s="5">
        <v>0.06</v>
      </c>
      <c r="L885" s="6">
        <v>4690654019143</v>
      </c>
      <c r="M885" s="7" t="s">
        <v>2025</v>
      </c>
      <c r="N885" s="8">
        <f>VLOOKUP(B885,'[1]новый без картинок'!$A$5:$F$2672,6,0)</f>
        <v>283</v>
      </c>
    </row>
    <row r="886" spans="1:14" ht="151.15" customHeight="1" x14ac:dyDescent="0.2">
      <c r="A886" s="3">
        <v>884</v>
      </c>
      <c r="B886" s="3">
        <v>194131</v>
      </c>
      <c r="C886" s="4" t="str">
        <f>HYPERLINK("http://optservis.net:5080/photo?tov_code_internet=194131","Увеличить")</f>
        <v>Увеличить</v>
      </c>
      <c r="D886" s="3" t="s">
        <v>2026</v>
      </c>
      <c r="E886" s="3"/>
      <c r="F886" s="3" t="s">
        <v>2004</v>
      </c>
      <c r="G886" s="3" t="s">
        <v>2001</v>
      </c>
      <c r="H886" s="3">
        <v>0.5</v>
      </c>
      <c r="I886" s="3">
        <v>0</v>
      </c>
      <c r="J886" s="3" t="s">
        <v>18</v>
      </c>
      <c r="K886" s="5">
        <v>0.06</v>
      </c>
      <c r="L886" s="6">
        <v>0</v>
      </c>
      <c r="M886" s="7" t="s">
        <v>2002</v>
      </c>
      <c r="N886" s="8">
        <f>VLOOKUP(B886,'[1]новый без картинок'!$A$5:$F$2672,6,0)</f>
        <v>332</v>
      </c>
    </row>
    <row r="887" spans="1:14" ht="151.15" customHeight="1" x14ac:dyDescent="0.2">
      <c r="A887" s="3">
        <v>885</v>
      </c>
      <c r="B887" s="3">
        <v>194137</v>
      </c>
      <c r="C887" s="4" t="str">
        <f>HYPERLINK("http://optservis.net:5080/photo?tov_code_internet=194137","Увеличить")</f>
        <v>Увеличить</v>
      </c>
      <c r="D887" s="3" t="s">
        <v>2027</v>
      </c>
      <c r="E887" s="3"/>
      <c r="F887" s="3" t="s">
        <v>2028</v>
      </c>
      <c r="G887" s="3" t="s">
        <v>2029</v>
      </c>
      <c r="H887" s="3">
        <v>0.5</v>
      </c>
      <c r="I887" s="3">
        <v>0</v>
      </c>
      <c r="J887" s="3" t="s">
        <v>18</v>
      </c>
      <c r="K887" s="5">
        <v>0.06</v>
      </c>
      <c r="L887" s="6">
        <v>0</v>
      </c>
      <c r="M887" s="7" t="s">
        <v>2030</v>
      </c>
      <c r="N887" s="8">
        <f>VLOOKUP(B887,'[1]новый без картинок'!$A$5:$F$2672,6,0)</f>
        <v>428</v>
      </c>
    </row>
    <row r="888" spans="1:14" ht="151.15" customHeight="1" x14ac:dyDescent="0.2">
      <c r="A888" s="3">
        <v>886</v>
      </c>
      <c r="B888" s="3">
        <v>22594</v>
      </c>
      <c r="C888" s="4" t="str">
        <f>HYPERLINK("http://optservis.net:5080/photo?tov_code_internet=22594","Увеличить")</f>
        <v>Увеличить</v>
      </c>
      <c r="D888" s="3" t="s">
        <v>2031</v>
      </c>
      <c r="E888" s="3"/>
      <c r="F888" s="3" t="s">
        <v>2021</v>
      </c>
      <c r="G888" s="3" t="s">
        <v>430</v>
      </c>
      <c r="H888" s="3">
        <v>0.5</v>
      </c>
      <c r="I888" s="3">
        <v>0</v>
      </c>
      <c r="J888" s="3" t="s">
        <v>18</v>
      </c>
      <c r="K888" s="5">
        <v>0.08</v>
      </c>
      <c r="L888" s="6">
        <v>0</v>
      </c>
      <c r="M888" s="7" t="s">
        <v>2032</v>
      </c>
      <c r="N888" s="8">
        <f>VLOOKUP(B888,'[1]новый без картинок'!$A$5:$F$2672,6,0)</f>
        <v>300</v>
      </c>
    </row>
    <row r="889" spans="1:14" ht="151.15" customHeight="1" x14ac:dyDescent="0.2">
      <c r="A889" s="3">
        <v>887</v>
      </c>
      <c r="B889" s="3">
        <v>195706</v>
      </c>
      <c r="C889" s="4" t="str">
        <f>HYPERLINK("http://optservis.net:5080/photo?tov_code_internet=195706","Увеличить")</f>
        <v>Увеличить</v>
      </c>
      <c r="D889" s="3" t="s">
        <v>2031</v>
      </c>
      <c r="E889" s="3"/>
      <c r="F889" s="3" t="s">
        <v>2000</v>
      </c>
      <c r="G889" s="3" t="s">
        <v>2001</v>
      </c>
      <c r="H889" s="3">
        <v>0.5</v>
      </c>
      <c r="I889" s="3">
        <v>0</v>
      </c>
      <c r="J889" s="3" t="s">
        <v>18</v>
      </c>
      <c r="K889" s="5">
        <v>0.08</v>
      </c>
      <c r="L889" s="6">
        <v>0</v>
      </c>
      <c r="M889" s="7" t="s">
        <v>2033</v>
      </c>
      <c r="N889" s="8">
        <f>VLOOKUP(B889,'[1]новый без картинок'!$A$5:$F$2672,6,0)</f>
        <v>324</v>
      </c>
    </row>
    <row r="890" spans="1:14" ht="151.15" customHeight="1" x14ac:dyDescent="0.2">
      <c r="A890" s="3">
        <v>888</v>
      </c>
      <c r="B890" s="3">
        <v>194139</v>
      </c>
      <c r="C890" s="4" t="str">
        <f>HYPERLINK("http://optservis.net:5080/photo?tov_code_internet=194139","Увеличить")</f>
        <v>Увеличить</v>
      </c>
      <c r="D890" s="3" t="s">
        <v>2034</v>
      </c>
      <c r="E890" s="3"/>
      <c r="F890" s="3" t="s">
        <v>2035</v>
      </c>
      <c r="G890" s="3" t="s">
        <v>2036</v>
      </c>
      <c r="H890" s="3">
        <v>0.5</v>
      </c>
      <c r="I890" s="3">
        <v>0</v>
      </c>
      <c r="J890" s="3" t="s">
        <v>18</v>
      </c>
      <c r="K890" s="5">
        <v>0.04</v>
      </c>
      <c r="L890" s="6">
        <v>0</v>
      </c>
      <c r="M890" s="7" t="s">
        <v>2037</v>
      </c>
      <c r="N890" s="8">
        <f>VLOOKUP(B890,'[1]новый без картинок'!$A$5:$F$2672,6,0)</f>
        <v>434</v>
      </c>
    </row>
    <row r="891" spans="1:14" ht="151.15" customHeight="1" x14ac:dyDescent="0.2">
      <c r="A891" s="3">
        <v>889</v>
      </c>
      <c r="B891" s="3">
        <v>199584</v>
      </c>
      <c r="C891" s="4" t="str">
        <f>HYPERLINK("http://optservis.net:5080/photo?tov_code_internet=199584","Увеличить")</f>
        <v>Увеличить</v>
      </c>
      <c r="D891" s="3" t="s">
        <v>2038</v>
      </c>
      <c r="E891" s="3"/>
      <c r="F891" s="3" t="s">
        <v>2039</v>
      </c>
      <c r="G891" s="3" t="s">
        <v>430</v>
      </c>
      <c r="H891" s="3">
        <v>0.5</v>
      </c>
      <c r="I891" s="3">
        <v>0</v>
      </c>
      <c r="J891" s="3" t="s">
        <v>18</v>
      </c>
      <c r="K891" s="5">
        <v>0.08</v>
      </c>
      <c r="L891" s="6">
        <v>0</v>
      </c>
      <c r="M891" s="7" t="s">
        <v>1994</v>
      </c>
      <c r="N891" s="8">
        <f>VLOOKUP(B891,'[1]новый без картинок'!$A$5:$F$2672,6,0)</f>
        <v>303</v>
      </c>
    </row>
    <row r="892" spans="1:14" ht="151.15" customHeight="1" x14ac:dyDescent="0.2">
      <c r="A892" s="3">
        <v>890</v>
      </c>
      <c r="B892" s="3">
        <v>192252</v>
      </c>
      <c r="C892" s="4" t="str">
        <f>HYPERLINK("http://optservis.net:5080/photo?tov_code_internet=192252","Увеличить")</f>
        <v>Увеличить</v>
      </c>
      <c r="D892" s="3" t="s">
        <v>2038</v>
      </c>
      <c r="E892" s="3" t="s">
        <v>2040</v>
      </c>
      <c r="F892" s="3" t="s">
        <v>2041</v>
      </c>
      <c r="G892" s="3" t="s">
        <v>430</v>
      </c>
      <c r="H892" s="3">
        <v>0.5</v>
      </c>
      <c r="I892" s="3">
        <v>0</v>
      </c>
      <c r="J892" s="3" t="s">
        <v>18</v>
      </c>
      <c r="K892" s="5">
        <v>0.08</v>
      </c>
      <c r="L892" s="6">
        <v>4690654016869</v>
      </c>
      <c r="M892" s="7" t="s">
        <v>2042</v>
      </c>
      <c r="N892" s="8">
        <f>VLOOKUP(B892,'[1]новый без картинок'!$A$5:$F$2672,6,0)</f>
        <v>306</v>
      </c>
    </row>
    <row r="893" spans="1:14" ht="151.15" customHeight="1" x14ac:dyDescent="0.2">
      <c r="A893" s="3">
        <v>891</v>
      </c>
      <c r="B893" s="3">
        <v>194135</v>
      </c>
      <c r="C893" s="4" t="str">
        <f>HYPERLINK("http://optservis.net:5080/photo?tov_code_internet=194135","Увеличить")</f>
        <v>Увеличить</v>
      </c>
      <c r="D893" s="3" t="s">
        <v>2038</v>
      </c>
      <c r="E893" s="3" t="s">
        <v>2040</v>
      </c>
      <c r="F893" s="3" t="s">
        <v>2000</v>
      </c>
      <c r="G893" s="3" t="s">
        <v>2001</v>
      </c>
      <c r="H893" s="3">
        <v>0.5</v>
      </c>
      <c r="I893" s="3">
        <v>0</v>
      </c>
      <c r="J893" s="3" t="s">
        <v>18</v>
      </c>
      <c r="K893" s="5">
        <v>0.08</v>
      </c>
      <c r="L893" s="6">
        <v>4690654017064</v>
      </c>
      <c r="M893" s="7" t="s">
        <v>2043</v>
      </c>
      <c r="N893" s="8">
        <f>VLOOKUP(B893,'[1]новый без картинок'!$A$5:$F$2672,6,0)</f>
        <v>334</v>
      </c>
    </row>
    <row r="894" spans="1:14" ht="151.15" customHeight="1" x14ac:dyDescent="0.2">
      <c r="A894" s="3">
        <v>892</v>
      </c>
      <c r="B894" s="3">
        <v>189645</v>
      </c>
      <c r="C894" s="4" t="str">
        <f>HYPERLINK("http://optservis.net:5080/photo?tov_code_internet=189645","Увеличить")</f>
        <v>Увеличить</v>
      </c>
      <c r="D894" s="3" t="s">
        <v>2044</v>
      </c>
      <c r="E894" s="3"/>
      <c r="F894" s="3" t="s">
        <v>2045</v>
      </c>
      <c r="G894" s="3" t="s">
        <v>430</v>
      </c>
      <c r="H894" s="3">
        <v>0.5</v>
      </c>
      <c r="I894" s="3">
        <v>0</v>
      </c>
      <c r="J894" s="3" t="s">
        <v>18</v>
      </c>
      <c r="K894" s="5">
        <v>0.06</v>
      </c>
      <c r="L894" s="6">
        <v>0</v>
      </c>
      <c r="M894" s="7" t="s">
        <v>2046</v>
      </c>
      <c r="N894" s="8">
        <f>VLOOKUP(B894,'[1]новый без картинок'!$A$5:$F$2672,6,0)</f>
        <v>303</v>
      </c>
    </row>
    <row r="895" spans="1:14" ht="151.15" customHeight="1" x14ac:dyDescent="0.2">
      <c r="A895" s="3">
        <v>893</v>
      </c>
      <c r="B895" s="3">
        <v>189646</v>
      </c>
      <c r="C895" s="4" t="str">
        <f>HYPERLINK("http://optservis.net:5080/photo?tov_code_internet=189646","Увеличить")</f>
        <v>Увеличить</v>
      </c>
      <c r="D895" s="3" t="s">
        <v>2044</v>
      </c>
      <c r="E895" s="3"/>
      <c r="F895" s="3" t="s">
        <v>2047</v>
      </c>
      <c r="G895" s="3" t="s">
        <v>430</v>
      </c>
      <c r="H895" s="3">
        <v>0.5</v>
      </c>
      <c r="I895" s="3">
        <v>0</v>
      </c>
      <c r="J895" s="3" t="s">
        <v>18</v>
      </c>
      <c r="K895" s="5">
        <v>0.06</v>
      </c>
      <c r="L895" s="6">
        <v>0</v>
      </c>
      <c r="M895" s="7" t="s">
        <v>2046</v>
      </c>
      <c r="N895" s="8">
        <f>VLOOKUP(B895,'[1]новый без картинок'!$A$5:$F$2672,6,0)</f>
        <v>296</v>
      </c>
    </row>
    <row r="896" spans="1:14" ht="151.15" customHeight="1" x14ac:dyDescent="0.2">
      <c r="A896" s="3">
        <v>894</v>
      </c>
      <c r="B896" s="3">
        <v>209245</v>
      </c>
      <c r="C896" s="4" t="str">
        <f>HYPERLINK("http://optservis.net:5080/photo?tov_code_internet=209245","Увеличить")</f>
        <v>Увеличить</v>
      </c>
      <c r="D896" s="3" t="s">
        <v>2044</v>
      </c>
      <c r="E896" s="3"/>
      <c r="F896" s="3" t="s">
        <v>2048</v>
      </c>
      <c r="G896" s="3" t="s">
        <v>430</v>
      </c>
      <c r="H896" s="3">
        <v>0.5</v>
      </c>
      <c r="I896" s="3">
        <v>0</v>
      </c>
      <c r="J896" s="3" t="s">
        <v>18</v>
      </c>
      <c r="K896" s="5">
        <v>7.0000000000000007E-2</v>
      </c>
      <c r="L896" s="6">
        <v>0</v>
      </c>
      <c r="M896" s="7" t="s">
        <v>2046</v>
      </c>
      <c r="N896" s="8">
        <f>VLOOKUP(B896,'[1]новый без картинок'!$A$5:$F$2672,6,0)</f>
        <v>303</v>
      </c>
    </row>
    <row r="897" spans="1:14" ht="151.15" customHeight="1" x14ac:dyDescent="0.2">
      <c r="A897" s="3">
        <v>895</v>
      </c>
      <c r="B897" s="3">
        <v>189675</v>
      </c>
      <c r="C897" s="4" t="str">
        <f>HYPERLINK("http://optservis.net:5080/photo?tov_code_internet=189675","Увеличить")</f>
        <v>Увеличить</v>
      </c>
      <c r="D897" s="3" t="s">
        <v>2049</v>
      </c>
      <c r="E897" s="3" t="s">
        <v>2050</v>
      </c>
      <c r="F897" s="3" t="s">
        <v>2051</v>
      </c>
      <c r="G897" s="3" t="s">
        <v>430</v>
      </c>
      <c r="H897" s="3">
        <v>0.5</v>
      </c>
      <c r="I897" s="3">
        <v>0</v>
      </c>
      <c r="J897" s="3" t="s">
        <v>18</v>
      </c>
      <c r="K897" s="5">
        <v>0.08</v>
      </c>
      <c r="L897" s="6">
        <v>4690654014490</v>
      </c>
      <c r="M897" s="7" t="s">
        <v>2052</v>
      </c>
      <c r="N897" s="8">
        <f>VLOOKUP(B897,'[1]новый без картинок'!$A$5:$F$2672,6,0)</f>
        <v>360</v>
      </c>
    </row>
    <row r="898" spans="1:14" ht="151.15" customHeight="1" x14ac:dyDescent="0.2">
      <c r="A898" s="3">
        <v>896</v>
      </c>
      <c r="B898" s="3">
        <v>189677</v>
      </c>
      <c r="C898" s="4" t="str">
        <f>HYPERLINK("http://optservis.net:5080/photo?tov_code_internet=189677","Увеличить")</f>
        <v>Увеличить</v>
      </c>
      <c r="D898" s="3" t="s">
        <v>2053</v>
      </c>
      <c r="E898" s="3"/>
      <c r="F898" s="3" t="s">
        <v>2047</v>
      </c>
      <c r="G898" s="3" t="s">
        <v>430</v>
      </c>
      <c r="H898" s="3">
        <v>0.5</v>
      </c>
      <c r="I898" s="3">
        <v>0</v>
      </c>
      <c r="J898" s="3" t="s">
        <v>18</v>
      </c>
      <c r="K898" s="5">
        <v>7.0000000000000007E-2</v>
      </c>
      <c r="L898" s="6">
        <v>0</v>
      </c>
      <c r="M898" s="7" t="s">
        <v>2054</v>
      </c>
      <c r="N898" s="8">
        <f>VLOOKUP(B898,'[1]новый без картинок'!$A$5:$F$2672,6,0)</f>
        <v>302</v>
      </c>
    </row>
    <row r="899" spans="1:14" ht="151.15" customHeight="1" x14ac:dyDescent="0.2">
      <c r="A899" s="3">
        <v>897</v>
      </c>
      <c r="B899" s="3">
        <v>189678</v>
      </c>
      <c r="C899" s="4" t="str">
        <f>HYPERLINK("http://optservis.net:5080/photo?tov_code_internet=189678","Увеличить")</f>
        <v>Увеличить</v>
      </c>
      <c r="D899" s="3" t="s">
        <v>2055</v>
      </c>
      <c r="E899" s="3"/>
      <c r="F899" s="3" t="s">
        <v>2047</v>
      </c>
      <c r="G899" s="3" t="s">
        <v>430</v>
      </c>
      <c r="H899" s="3">
        <v>0.5</v>
      </c>
      <c r="I899" s="3">
        <v>0</v>
      </c>
      <c r="J899" s="3" t="s">
        <v>18</v>
      </c>
      <c r="K899" s="5">
        <v>0.08</v>
      </c>
      <c r="L899" s="6">
        <v>0</v>
      </c>
      <c r="M899" s="7" t="s">
        <v>2056</v>
      </c>
      <c r="N899" s="8">
        <f>VLOOKUP(B899,'[1]новый без картинок'!$A$5:$F$2672,6,0)</f>
        <v>389</v>
      </c>
    </row>
    <row r="900" spans="1:14" ht="151.15" customHeight="1" x14ac:dyDescent="0.2">
      <c r="A900" s="3">
        <v>898</v>
      </c>
      <c r="B900" s="3">
        <v>209246</v>
      </c>
      <c r="C900" s="4" t="str">
        <f>HYPERLINK("http://optservis.net:5080/photo?tov_code_internet=209246","Увеличить")</f>
        <v>Увеличить</v>
      </c>
      <c r="D900" s="3" t="s">
        <v>2055</v>
      </c>
      <c r="E900" s="3"/>
      <c r="F900" s="3" t="s">
        <v>434</v>
      </c>
      <c r="G900" s="3" t="s">
        <v>430</v>
      </c>
      <c r="H900" s="3">
        <v>0.5</v>
      </c>
      <c r="I900" s="3">
        <v>0</v>
      </c>
      <c r="J900" s="3" t="s">
        <v>18</v>
      </c>
      <c r="K900" s="5">
        <v>0.09</v>
      </c>
      <c r="L900" s="6">
        <v>0</v>
      </c>
      <c r="M900" s="7" t="s">
        <v>2056</v>
      </c>
      <c r="N900" s="8">
        <f>VLOOKUP(B900,'[1]новый без картинок'!$A$5:$F$2672,6,0)</f>
        <v>389</v>
      </c>
    </row>
    <row r="901" spans="1:14" ht="151.15" customHeight="1" x14ac:dyDescent="0.2">
      <c r="A901" s="3">
        <v>899</v>
      </c>
      <c r="B901" s="3">
        <v>189679</v>
      </c>
      <c r="C901" s="4" t="str">
        <f>HYPERLINK("http://optservis.net:5080/photo?tov_code_internet=189679","Увеличить")</f>
        <v>Увеличить</v>
      </c>
      <c r="D901" s="3" t="s">
        <v>2057</v>
      </c>
      <c r="E901" s="3"/>
      <c r="F901" s="3" t="s">
        <v>2045</v>
      </c>
      <c r="G901" s="3" t="s">
        <v>430</v>
      </c>
      <c r="H901" s="3">
        <v>0.5</v>
      </c>
      <c r="I901" s="3">
        <v>0</v>
      </c>
      <c r="J901" s="3" t="s">
        <v>18</v>
      </c>
      <c r="K901" s="5">
        <v>0</v>
      </c>
      <c r="L901" s="6">
        <v>0</v>
      </c>
      <c r="M901" s="7" t="s">
        <v>2058</v>
      </c>
      <c r="N901" s="8">
        <f>VLOOKUP(B901,'[1]новый без картинок'!$A$5:$F$2672,6,0)</f>
        <v>348</v>
      </c>
    </row>
    <row r="902" spans="1:14" ht="151.15" customHeight="1" x14ac:dyDescent="0.2">
      <c r="A902" s="3">
        <v>900</v>
      </c>
      <c r="B902" s="3">
        <v>189681</v>
      </c>
      <c r="C902" s="4" t="str">
        <f>HYPERLINK("http://optservis.net:5080/photo?tov_code_internet=189681","Увеличить")</f>
        <v>Увеличить</v>
      </c>
      <c r="D902" s="3" t="s">
        <v>2059</v>
      </c>
      <c r="E902" s="3"/>
      <c r="F902" s="3" t="s">
        <v>2060</v>
      </c>
      <c r="G902" s="3" t="s">
        <v>1469</v>
      </c>
      <c r="H902" s="3">
        <v>0.5</v>
      </c>
      <c r="I902" s="3">
        <v>0</v>
      </c>
      <c r="J902" s="3" t="s">
        <v>18</v>
      </c>
      <c r="K902" s="5">
        <v>0.05</v>
      </c>
      <c r="L902" s="6">
        <v>0</v>
      </c>
      <c r="M902" s="7" t="s">
        <v>2061</v>
      </c>
      <c r="N902" s="8">
        <f>VLOOKUP(B902,'[1]новый без картинок'!$A$5:$F$2672,6,0)</f>
        <v>489</v>
      </c>
    </row>
    <row r="903" spans="1:14" ht="151.15" customHeight="1" x14ac:dyDescent="0.2">
      <c r="A903" s="3">
        <v>901</v>
      </c>
      <c r="B903" s="3">
        <v>209248</v>
      </c>
      <c r="C903" s="4" t="str">
        <f>HYPERLINK("http://optservis.net:5080/photo?tov_code_internet=209248","Увеличить")</f>
        <v>Увеличить</v>
      </c>
      <c r="D903" s="3" t="s">
        <v>2059</v>
      </c>
      <c r="E903" s="3"/>
      <c r="F903" s="3" t="s">
        <v>2062</v>
      </c>
      <c r="G903" s="3" t="s">
        <v>1469</v>
      </c>
      <c r="H903" s="3">
        <v>0.5</v>
      </c>
      <c r="I903" s="3">
        <v>0</v>
      </c>
      <c r="J903" s="3" t="s">
        <v>18</v>
      </c>
      <c r="K903" s="5">
        <v>0.05</v>
      </c>
      <c r="L903" s="6">
        <v>0</v>
      </c>
      <c r="M903" s="7" t="s">
        <v>2061</v>
      </c>
      <c r="N903" s="8">
        <f>VLOOKUP(B903,'[1]новый без картинок'!$A$5:$F$2672,6,0)</f>
        <v>489</v>
      </c>
    </row>
    <row r="904" spans="1:14" ht="151.15" customHeight="1" x14ac:dyDescent="0.2">
      <c r="A904" s="3">
        <v>902</v>
      </c>
      <c r="B904" s="3">
        <v>210805</v>
      </c>
      <c r="C904" s="4" t="str">
        <f>HYPERLINK("http://optservis.net:5080/photo?tov_code_internet=210805","Увеличить")</f>
        <v>Увеличить</v>
      </c>
      <c r="D904" s="3" t="s">
        <v>2063</v>
      </c>
      <c r="E904" s="3"/>
      <c r="F904" s="3" t="s">
        <v>2064</v>
      </c>
      <c r="G904" s="3" t="s">
        <v>430</v>
      </c>
      <c r="H904" s="3">
        <v>0.5</v>
      </c>
      <c r="I904" s="3">
        <v>0</v>
      </c>
      <c r="J904" s="3" t="s">
        <v>18</v>
      </c>
      <c r="K904" s="5">
        <v>0.05</v>
      </c>
      <c r="L904" s="6">
        <v>0</v>
      </c>
      <c r="M904" s="7" t="s">
        <v>2065</v>
      </c>
      <c r="N904" s="8">
        <f>VLOOKUP(B904,'[1]новый без картинок'!$A$5:$F$2672,6,0)</f>
        <v>304</v>
      </c>
    </row>
    <row r="905" spans="1:14" ht="151.15" customHeight="1" x14ac:dyDescent="0.2">
      <c r="A905" s="3">
        <v>903</v>
      </c>
      <c r="B905" s="3">
        <v>210788</v>
      </c>
      <c r="C905" s="4" t="str">
        <f>HYPERLINK("http://optservis.net:5080/photo?tov_code_internet=210788","Увеличить")</f>
        <v>Увеличить</v>
      </c>
      <c r="D905" s="3" t="s">
        <v>2063</v>
      </c>
      <c r="E905" s="3"/>
      <c r="F905" s="3" t="s">
        <v>2066</v>
      </c>
      <c r="G905" s="3" t="s">
        <v>430</v>
      </c>
      <c r="H905" s="3">
        <v>0.5</v>
      </c>
      <c r="I905" s="3">
        <v>0</v>
      </c>
      <c r="J905" s="3" t="s">
        <v>18</v>
      </c>
      <c r="K905" s="5">
        <v>0.04</v>
      </c>
      <c r="L905" s="6">
        <v>0</v>
      </c>
      <c r="M905" s="7" t="s">
        <v>2067</v>
      </c>
      <c r="N905" s="8">
        <f>VLOOKUP(B905,'[1]новый без картинок'!$A$5:$F$2672,6,0)</f>
        <v>367</v>
      </c>
    </row>
    <row r="906" spans="1:14" ht="151.15" customHeight="1" x14ac:dyDescent="0.2">
      <c r="A906" s="3">
        <v>904</v>
      </c>
      <c r="B906" s="3">
        <v>189600</v>
      </c>
      <c r="C906" s="4" t="str">
        <f>HYPERLINK("http://optservis.net:5080/photo?tov_code_internet=189600","Увеличить")</f>
        <v>Увеличить</v>
      </c>
      <c r="D906" s="3" t="s">
        <v>2068</v>
      </c>
      <c r="E906" s="3"/>
      <c r="F906" s="3" t="s">
        <v>2069</v>
      </c>
      <c r="G906" s="3" t="s">
        <v>430</v>
      </c>
      <c r="H906" s="3">
        <v>0.5</v>
      </c>
      <c r="I906" s="3">
        <v>0</v>
      </c>
      <c r="J906" s="3" t="s">
        <v>18</v>
      </c>
      <c r="K906" s="5">
        <v>7.0000000000000007E-2</v>
      </c>
      <c r="L906" s="6">
        <v>0</v>
      </c>
      <c r="M906" s="7" t="s">
        <v>2070</v>
      </c>
      <c r="N906" s="8">
        <f>VLOOKUP(B906,'[1]новый без картинок'!$A$5:$F$2672,6,0)</f>
        <v>286</v>
      </c>
    </row>
    <row r="907" spans="1:14" ht="151.15" customHeight="1" x14ac:dyDescent="0.2">
      <c r="A907" s="3">
        <v>905</v>
      </c>
      <c r="B907" s="3">
        <v>209236</v>
      </c>
      <c r="C907" s="4" t="str">
        <f>HYPERLINK("http://optservis.net:5080/photo?tov_code_internet=209236","Увеличить")</f>
        <v>Увеличить</v>
      </c>
      <c r="D907" s="3" t="s">
        <v>2068</v>
      </c>
      <c r="E907" s="3"/>
      <c r="F907" s="3" t="s">
        <v>2071</v>
      </c>
      <c r="G907" s="3" t="s">
        <v>430</v>
      </c>
      <c r="H907" s="3">
        <v>0.5</v>
      </c>
      <c r="I907" s="3">
        <v>0</v>
      </c>
      <c r="J907" s="3" t="s">
        <v>18</v>
      </c>
      <c r="K907" s="5">
        <v>7.0000000000000007E-2</v>
      </c>
      <c r="L907" s="6">
        <v>0</v>
      </c>
      <c r="M907" s="7" t="s">
        <v>2070</v>
      </c>
      <c r="N907" s="8">
        <f>VLOOKUP(B907,'[1]новый без картинок'!$A$5:$F$2672,6,0)</f>
        <v>294</v>
      </c>
    </row>
    <row r="908" spans="1:14" ht="151.15" customHeight="1" x14ac:dyDescent="0.2">
      <c r="A908" s="3">
        <v>906</v>
      </c>
      <c r="B908" s="3">
        <v>209237</v>
      </c>
      <c r="C908" s="4" t="str">
        <f>HYPERLINK("http://optservis.net:5080/photo?tov_code_internet=209237","Увеличить")</f>
        <v>Увеличить</v>
      </c>
      <c r="D908" s="3" t="s">
        <v>2068</v>
      </c>
      <c r="E908" s="3"/>
      <c r="F908" s="3" t="s">
        <v>2072</v>
      </c>
      <c r="G908" s="3" t="s">
        <v>430</v>
      </c>
      <c r="H908" s="3">
        <v>0.5</v>
      </c>
      <c r="I908" s="3">
        <v>0</v>
      </c>
      <c r="J908" s="3" t="s">
        <v>18</v>
      </c>
      <c r="K908" s="5">
        <v>7.0000000000000007E-2</v>
      </c>
      <c r="L908" s="6">
        <v>0</v>
      </c>
      <c r="M908" s="7" t="s">
        <v>2070</v>
      </c>
      <c r="N908" s="8">
        <f>VLOOKUP(B908,'[1]новый без картинок'!$A$5:$F$2672,6,0)</f>
        <v>286</v>
      </c>
    </row>
    <row r="909" spans="1:14" ht="151.15" customHeight="1" x14ac:dyDescent="0.2">
      <c r="A909" s="3">
        <v>907</v>
      </c>
      <c r="B909" s="3">
        <v>209235</v>
      </c>
      <c r="C909" s="4" t="str">
        <f>HYPERLINK("http://optservis.net:5080/photo?tov_code_internet=209235","Увеличить")</f>
        <v>Увеличить</v>
      </c>
      <c r="D909" s="3" t="s">
        <v>2068</v>
      </c>
      <c r="E909" s="3"/>
      <c r="F909" s="3" t="s">
        <v>434</v>
      </c>
      <c r="G909" s="3" t="s">
        <v>430</v>
      </c>
      <c r="H909" s="3">
        <v>0.5</v>
      </c>
      <c r="I909" s="3">
        <v>0</v>
      </c>
      <c r="J909" s="3" t="s">
        <v>18</v>
      </c>
      <c r="K909" s="5">
        <v>7.0000000000000007E-2</v>
      </c>
      <c r="L909" s="6">
        <v>0</v>
      </c>
      <c r="M909" s="7" t="s">
        <v>2070</v>
      </c>
      <c r="N909" s="8">
        <f>VLOOKUP(B909,'[1]новый без картинок'!$A$5:$F$2672,6,0)</f>
        <v>286</v>
      </c>
    </row>
    <row r="910" spans="1:14" ht="151.15" customHeight="1" x14ac:dyDescent="0.2">
      <c r="A910" s="3">
        <v>908</v>
      </c>
      <c r="B910" s="3">
        <v>189601</v>
      </c>
      <c r="C910" s="4" t="str">
        <f>HYPERLINK("http://optservis.net:5080/photo?tov_code_internet=189601","Увеличить")</f>
        <v>Увеличить</v>
      </c>
      <c r="D910" s="3" t="s">
        <v>2068</v>
      </c>
      <c r="E910" s="3" t="s">
        <v>2073</v>
      </c>
      <c r="F910" s="3" t="s">
        <v>2074</v>
      </c>
      <c r="G910" s="3" t="s">
        <v>430</v>
      </c>
      <c r="H910" s="3">
        <v>0.5</v>
      </c>
      <c r="I910" s="3">
        <v>0</v>
      </c>
      <c r="J910" s="3" t="s">
        <v>18</v>
      </c>
      <c r="K910" s="5">
        <v>7.0000000000000007E-2</v>
      </c>
      <c r="L910" s="6">
        <v>4690654015886</v>
      </c>
      <c r="M910" s="7" t="s">
        <v>2070</v>
      </c>
      <c r="N910" s="8">
        <f>VLOOKUP(B910,'[1]новый без картинок'!$A$5:$F$2672,6,0)</f>
        <v>286</v>
      </c>
    </row>
    <row r="911" spans="1:14" ht="151.15" customHeight="1" x14ac:dyDescent="0.2">
      <c r="A911" s="3">
        <v>909</v>
      </c>
      <c r="B911" s="3">
        <v>189602</v>
      </c>
      <c r="C911" s="4" t="str">
        <f>HYPERLINK("http://optservis.net:5080/photo?tov_code_internet=189602","Увеличить")</f>
        <v>Увеличить</v>
      </c>
      <c r="D911" s="3" t="s">
        <v>2068</v>
      </c>
      <c r="E911" s="3" t="s">
        <v>2073</v>
      </c>
      <c r="F911" s="3" t="s">
        <v>2051</v>
      </c>
      <c r="G911" s="3" t="s">
        <v>430</v>
      </c>
      <c r="H911" s="3">
        <v>0.5</v>
      </c>
      <c r="I911" s="3">
        <v>0</v>
      </c>
      <c r="J911" s="3" t="s">
        <v>18</v>
      </c>
      <c r="K911" s="5">
        <v>7.0000000000000007E-2</v>
      </c>
      <c r="L911" s="6">
        <v>4690654014520</v>
      </c>
      <c r="M911" s="7" t="s">
        <v>2070</v>
      </c>
      <c r="N911" s="8">
        <f>VLOOKUP(B911,'[1]новый без картинок'!$A$5:$F$2672,6,0)</f>
        <v>286</v>
      </c>
    </row>
    <row r="912" spans="1:14" ht="151.15" customHeight="1" x14ac:dyDescent="0.2">
      <c r="A912" s="3">
        <v>910</v>
      </c>
      <c r="B912" s="3">
        <v>189628</v>
      </c>
      <c r="C912" s="4" t="str">
        <f>HYPERLINK("http://optservis.net:5080/photo?tov_code_internet=189628","Увеличить")</f>
        <v>Увеличить</v>
      </c>
      <c r="D912" s="3" t="s">
        <v>2075</v>
      </c>
      <c r="E912" s="3"/>
      <c r="F912" s="3" t="s">
        <v>2045</v>
      </c>
      <c r="G912" s="3" t="s">
        <v>430</v>
      </c>
      <c r="H912" s="3">
        <v>0.5</v>
      </c>
      <c r="I912" s="3">
        <v>0</v>
      </c>
      <c r="J912" s="3" t="s">
        <v>18</v>
      </c>
      <c r="K912" s="5">
        <v>0.06</v>
      </c>
      <c r="L912" s="6">
        <v>0</v>
      </c>
      <c r="M912" s="7" t="s">
        <v>2076</v>
      </c>
      <c r="N912" s="8">
        <f>VLOOKUP(B912,'[1]новый без картинок'!$A$5:$F$2672,6,0)</f>
        <v>307</v>
      </c>
    </row>
    <row r="913" spans="1:14" ht="151.15" customHeight="1" x14ac:dyDescent="0.2">
      <c r="A913" s="3">
        <v>911</v>
      </c>
      <c r="B913" s="3">
        <v>209238</v>
      </c>
      <c r="C913" s="4" t="str">
        <f>HYPERLINK("http://optservis.net:5080/photo?tov_code_internet=209238","Увеличить")</f>
        <v>Увеличить</v>
      </c>
      <c r="D913" s="3" t="s">
        <v>2075</v>
      </c>
      <c r="E913" s="3"/>
      <c r="F913" s="3" t="s">
        <v>434</v>
      </c>
      <c r="G913" s="3" t="s">
        <v>430</v>
      </c>
      <c r="H913" s="3">
        <v>0.5</v>
      </c>
      <c r="I913" s="3">
        <v>0</v>
      </c>
      <c r="J913" s="3" t="s">
        <v>18</v>
      </c>
      <c r="K913" s="5">
        <v>0.06</v>
      </c>
      <c r="L913" s="6">
        <v>0</v>
      </c>
      <c r="M913" s="7" t="s">
        <v>2076</v>
      </c>
      <c r="N913" s="8">
        <f>VLOOKUP(B913,'[1]новый без картинок'!$A$5:$F$2672,6,0)</f>
        <v>296</v>
      </c>
    </row>
    <row r="914" spans="1:14" ht="151.15" customHeight="1" x14ac:dyDescent="0.2">
      <c r="A914" s="3">
        <v>912</v>
      </c>
      <c r="B914" s="3">
        <v>189603</v>
      </c>
      <c r="C914" s="4" t="str">
        <f>HYPERLINK("http://optservis.net:5080/photo?tov_code_internet=189603","Увеличить")</f>
        <v>Увеличить</v>
      </c>
      <c r="D914" s="3" t="s">
        <v>2077</v>
      </c>
      <c r="E914" s="3"/>
      <c r="F914" s="3" t="s">
        <v>2078</v>
      </c>
      <c r="G914" s="3" t="s">
        <v>1469</v>
      </c>
      <c r="H914" s="3">
        <v>0.5</v>
      </c>
      <c r="I914" s="3">
        <v>0</v>
      </c>
      <c r="J914" s="3" t="s">
        <v>18</v>
      </c>
      <c r="K914" s="5">
        <v>0.06</v>
      </c>
      <c r="L914" s="6">
        <v>0</v>
      </c>
      <c r="M914" s="7" t="s">
        <v>2079</v>
      </c>
      <c r="N914" s="8">
        <f>VLOOKUP(B914,'[1]новый без картинок'!$A$5:$F$2672,6,0)</f>
        <v>404</v>
      </c>
    </row>
    <row r="915" spans="1:14" ht="151.15" customHeight="1" x14ac:dyDescent="0.2">
      <c r="A915" s="3">
        <v>913</v>
      </c>
      <c r="B915" s="3">
        <v>189604</v>
      </c>
      <c r="C915" s="4" t="str">
        <f>HYPERLINK("http://optservis.net:5080/photo?tov_code_internet=189604","Увеличить")</f>
        <v>Увеличить</v>
      </c>
      <c r="D915" s="3" t="s">
        <v>2077</v>
      </c>
      <c r="E915" s="3"/>
      <c r="F915" s="3" t="s">
        <v>2080</v>
      </c>
      <c r="G915" s="3" t="s">
        <v>1469</v>
      </c>
      <c r="H915" s="3">
        <v>0.5</v>
      </c>
      <c r="I915" s="3">
        <v>0</v>
      </c>
      <c r="J915" s="3" t="s">
        <v>18</v>
      </c>
      <c r="K915" s="5">
        <v>0.06</v>
      </c>
      <c r="L915" s="6">
        <v>0</v>
      </c>
      <c r="M915" s="7" t="s">
        <v>2079</v>
      </c>
      <c r="N915" s="8">
        <f>VLOOKUP(B915,'[1]новый без картинок'!$A$5:$F$2672,6,0)</f>
        <v>394</v>
      </c>
    </row>
    <row r="916" spans="1:14" ht="151.15" customHeight="1" x14ac:dyDescent="0.2">
      <c r="A916" s="3">
        <v>914</v>
      </c>
      <c r="B916" s="3">
        <v>189606</v>
      </c>
      <c r="C916" s="4" t="str">
        <f>HYPERLINK("http://optservis.net:5080/photo?tov_code_internet=189606","Увеличить")</f>
        <v>Увеличить</v>
      </c>
      <c r="D916" s="3" t="s">
        <v>2077</v>
      </c>
      <c r="E916" s="3"/>
      <c r="F916" s="3" t="s">
        <v>2081</v>
      </c>
      <c r="G916" s="3" t="s">
        <v>1469</v>
      </c>
      <c r="H916" s="3">
        <v>0.5</v>
      </c>
      <c r="I916" s="3">
        <v>0</v>
      </c>
      <c r="J916" s="3" t="s">
        <v>18</v>
      </c>
      <c r="K916" s="5">
        <v>0.06</v>
      </c>
      <c r="L916" s="6">
        <v>0</v>
      </c>
      <c r="M916" s="7" t="s">
        <v>2079</v>
      </c>
      <c r="N916" s="8">
        <f>VLOOKUP(B916,'[1]новый без картинок'!$A$5:$F$2672,6,0)</f>
        <v>400</v>
      </c>
    </row>
    <row r="917" spans="1:14" ht="151.15" customHeight="1" x14ac:dyDescent="0.2">
      <c r="A917" s="3">
        <v>915</v>
      </c>
      <c r="B917" s="3">
        <v>209241</v>
      </c>
      <c r="C917" s="4" t="str">
        <f>HYPERLINK("http://optservis.net:5080/photo?tov_code_internet=209241","Увеличить")</f>
        <v>Увеличить</v>
      </c>
      <c r="D917" s="3" t="s">
        <v>2077</v>
      </c>
      <c r="E917" s="3"/>
      <c r="F917" s="3" t="s">
        <v>2082</v>
      </c>
      <c r="G917" s="3" t="s">
        <v>1469</v>
      </c>
      <c r="H917" s="3">
        <v>0.5</v>
      </c>
      <c r="I917" s="3">
        <v>0</v>
      </c>
      <c r="J917" s="3" t="s">
        <v>18</v>
      </c>
      <c r="K917" s="5">
        <v>0.06</v>
      </c>
      <c r="L917" s="6">
        <v>0</v>
      </c>
      <c r="M917" s="7" t="s">
        <v>2079</v>
      </c>
      <c r="N917" s="8">
        <f>VLOOKUP(B917,'[1]новый без картинок'!$A$5:$F$2672,6,0)</f>
        <v>404</v>
      </c>
    </row>
    <row r="918" spans="1:14" ht="151.15" customHeight="1" x14ac:dyDescent="0.2">
      <c r="A918" s="3">
        <v>916</v>
      </c>
      <c r="B918" s="3">
        <v>209240</v>
      </c>
      <c r="C918" s="4" t="str">
        <f>HYPERLINK("http://optservis.net:5080/photo?tov_code_internet=209240","Увеличить")</f>
        <v>Увеличить</v>
      </c>
      <c r="D918" s="3" t="s">
        <v>2077</v>
      </c>
      <c r="E918" s="3"/>
      <c r="F918" s="3" t="s">
        <v>2083</v>
      </c>
      <c r="G918" s="3" t="s">
        <v>1469</v>
      </c>
      <c r="H918" s="3">
        <v>0.5</v>
      </c>
      <c r="I918" s="3">
        <v>0</v>
      </c>
      <c r="J918" s="3" t="s">
        <v>18</v>
      </c>
      <c r="K918" s="5">
        <v>0.06</v>
      </c>
      <c r="L918" s="6">
        <v>0</v>
      </c>
      <c r="M918" s="7" t="s">
        <v>2079</v>
      </c>
      <c r="N918" s="8">
        <f>VLOOKUP(B918,'[1]новый без картинок'!$A$5:$F$2672,6,0)</f>
        <v>394</v>
      </c>
    </row>
    <row r="919" spans="1:14" ht="151.15" customHeight="1" x14ac:dyDescent="0.2">
      <c r="A919" s="3">
        <v>917</v>
      </c>
      <c r="B919" s="3">
        <v>209239</v>
      </c>
      <c r="C919" s="4" t="str">
        <f>HYPERLINK("http://optservis.net:5080/photo?tov_code_internet=209239","Увеличить")</f>
        <v>Увеличить</v>
      </c>
      <c r="D919" s="3" t="s">
        <v>2077</v>
      </c>
      <c r="E919" s="3"/>
      <c r="F919" s="3" t="s">
        <v>2084</v>
      </c>
      <c r="G919" s="3" t="s">
        <v>1469</v>
      </c>
      <c r="H919" s="3">
        <v>0.5</v>
      </c>
      <c r="I919" s="3">
        <v>0</v>
      </c>
      <c r="J919" s="3" t="s">
        <v>18</v>
      </c>
      <c r="K919" s="5">
        <v>0.06</v>
      </c>
      <c r="L919" s="6">
        <v>0</v>
      </c>
      <c r="M919" s="7" t="s">
        <v>2079</v>
      </c>
      <c r="N919" s="8">
        <f>VLOOKUP(B919,'[1]новый без картинок'!$A$5:$F$2672,6,0)</f>
        <v>404</v>
      </c>
    </row>
    <row r="920" spans="1:14" ht="151.15" customHeight="1" x14ac:dyDescent="0.2">
      <c r="A920" s="3">
        <v>918</v>
      </c>
      <c r="B920" s="3">
        <v>189605</v>
      </c>
      <c r="C920" s="4" t="str">
        <f>HYPERLINK("http://optservis.net:5080/photo?tov_code_internet=189605","Увеличить")</f>
        <v>Увеличить</v>
      </c>
      <c r="D920" s="3" t="s">
        <v>2077</v>
      </c>
      <c r="E920" s="3" t="s">
        <v>2085</v>
      </c>
      <c r="F920" s="3" t="s">
        <v>2086</v>
      </c>
      <c r="G920" s="3" t="s">
        <v>1469</v>
      </c>
      <c r="H920" s="3">
        <v>0.5</v>
      </c>
      <c r="I920" s="3">
        <v>0</v>
      </c>
      <c r="J920" s="3" t="s">
        <v>18</v>
      </c>
      <c r="K920" s="5">
        <v>0.06</v>
      </c>
      <c r="L920" s="6">
        <v>4690654019150</v>
      </c>
      <c r="M920" s="7" t="s">
        <v>2079</v>
      </c>
      <c r="N920" s="8">
        <f>VLOOKUP(B920,'[1]новый без картинок'!$A$5:$F$2672,6,0)</f>
        <v>334</v>
      </c>
    </row>
    <row r="921" spans="1:14" ht="151.15" customHeight="1" x14ac:dyDescent="0.2">
      <c r="A921" s="3">
        <v>919</v>
      </c>
      <c r="B921" s="3">
        <v>208651</v>
      </c>
      <c r="C921" s="4" t="str">
        <f>HYPERLINK("http://optservis.net:5080/photo?tov_code_internet=208651","Увеличить")</f>
        <v>Увеличить</v>
      </c>
      <c r="D921" s="3" t="s">
        <v>2087</v>
      </c>
      <c r="E921" s="3"/>
      <c r="F921" s="3" t="s">
        <v>2045</v>
      </c>
      <c r="G921" s="3" t="s">
        <v>430</v>
      </c>
      <c r="H921" s="3">
        <v>0.5</v>
      </c>
      <c r="I921" s="3">
        <v>0</v>
      </c>
      <c r="J921" s="3" t="s">
        <v>18</v>
      </c>
      <c r="K921" s="5">
        <v>0.08</v>
      </c>
      <c r="L921" s="6">
        <v>0</v>
      </c>
      <c r="M921" s="7" t="s">
        <v>2088</v>
      </c>
      <c r="N921" s="8">
        <f>VLOOKUP(B921,'[1]новый без картинок'!$A$5:$F$2672,6,0)</f>
        <v>308</v>
      </c>
    </row>
    <row r="922" spans="1:14" ht="151.15" customHeight="1" x14ac:dyDescent="0.2">
      <c r="A922" s="3">
        <v>920</v>
      </c>
      <c r="B922" s="3">
        <v>189630</v>
      </c>
      <c r="C922" s="4" t="str">
        <f>HYPERLINK("http://optservis.net:5080/photo?tov_code_internet=189630","Увеличить")</f>
        <v>Увеличить</v>
      </c>
      <c r="D922" s="3" t="s">
        <v>2087</v>
      </c>
      <c r="E922" s="3"/>
      <c r="F922" s="3" t="s">
        <v>2047</v>
      </c>
      <c r="G922" s="3" t="s">
        <v>430</v>
      </c>
      <c r="H922" s="3">
        <v>0.5</v>
      </c>
      <c r="I922" s="3">
        <v>0</v>
      </c>
      <c r="J922" s="3" t="s">
        <v>18</v>
      </c>
      <c r="K922" s="5">
        <v>0.08</v>
      </c>
      <c r="L922" s="6">
        <v>0</v>
      </c>
      <c r="M922" s="7" t="s">
        <v>2088</v>
      </c>
      <c r="N922" s="8">
        <f>VLOOKUP(B922,'[1]новый без картинок'!$A$5:$F$2672,6,0)</f>
        <v>300</v>
      </c>
    </row>
    <row r="923" spans="1:14" ht="151.15" customHeight="1" x14ac:dyDescent="0.2">
      <c r="A923" s="3">
        <v>921</v>
      </c>
      <c r="B923" s="3">
        <v>209242</v>
      </c>
      <c r="C923" s="4" t="str">
        <f>HYPERLINK("http://optservis.net:5080/photo?tov_code_internet=209242","Увеличить")</f>
        <v>Увеличить</v>
      </c>
      <c r="D923" s="3" t="s">
        <v>2087</v>
      </c>
      <c r="E923" s="3"/>
      <c r="F923" s="3" t="s">
        <v>434</v>
      </c>
      <c r="G923" s="3" t="s">
        <v>430</v>
      </c>
      <c r="H923" s="3">
        <v>0.5</v>
      </c>
      <c r="I923" s="3">
        <v>0</v>
      </c>
      <c r="J923" s="3" t="s">
        <v>18</v>
      </c>
      <c r="K923" s="5">
        <v>0.08</v>
      </c>
      <c r="L923" s="6">
        <v>0</v>
      </c>
      <c r="M923" s="7" t="s">
        <v>2088</v>
      </c>
      <c r="N923" s="8">
        <f>VLOOKUP(B923,'[1]новый без картинок'!$A$5:$F$2672,6,0)</f>
        <v>300</v>
      </c>
    </row>
    <row r="924" spans="1:14" ht="151.15" customHeight="1" x14ac:dyDescent="0.2">
      <c r="A924" s="3">
        <v>922</v>
      </c>
      <c r="B924" s="3">
        <v>189631</v>
      </c>
      <c r="C924" s="4" t="str">
        <f>HYPERLINK("http://optservis.net:5080/photo?tov_code_internet=189631","Увеличить")</f>
        <v>Увеличить</v>
      </c>
      <c r="D924" s="3" t="s">
        <v>2089</v>
      </c>
      <c r="E924" s="3"/>
      <c r="F924" s="3" t="s">
        <v>2080</v>
      </c>
      <c r="G924" s="3" t="s">
        <v>1045</v>
      </c>
      <c r="H924" s="3">
        <v>0.5</v>
      </c>
      <c r="I924" s="3">
        <v>0</v>
      </c>
      <c r="J924" s="3" t="s">
        <v>18</v>
      </c>
      <c r="K924" s="5">
        <v>0.04</v>
      </c>
      <c r="L924" s="6">
        <v>0</v>
      </c>
      <c r="M924" s="7" t="s">
        <v>2090</v>
      </c>
      <c r="N924" s="8">
        <f>VLOOKUP(B924,'[1]новый без картинок'!$A$5:$F$2672,6,0)</f>
        <v>406</v>
      </c>
    </row>
    <row r="925" spans="1:14" ht="151.15" customHeight="1" x14ac:dyDescent="0.2">
      <c r="A925" s="3">
        <v>923</v>
      </c>
      <c r="B925" s="3">
        <v>189632</v>
      </c>
      <c r="C925" s="4" t="str">
        <f>HYPERLINK("http://optservis.net:5080/photo?tov_code_internet=189632","Увеличить")</f>
        <v>Увеличить</v>
      </c>
      <c r="D925" s="3" t="s">
        <v>2089</v>
      </c>
      <c r="E925" s="3"/>
      <c r="F925" s="3" t="s">
        <v>2060</v>
      </c>
      <c r="G925" s="3" t="s">
        <v>1045</v>
      </c>
      <c r="H925" s="3">
        <v>0.5</v>
      </c>
      <c r="I925" s="3">
        <v>0</v>
      </c>
      <c r="J925" s="3" t="s">
        <v>18</v>
      </c>
      <c r="K925" s="5">
        <v>0.04</v>
      </c>
      <c r="L925" s="6">
        <v>0</v>
      </c>
      <c r="M925" s="7" t="s">
        <v>2090</v>
      </c>
      <c r="N925" s="8">
        <f>VLOOKUP(B925,'[1]новый без картинок'!$A$5:$F$2672,6,0)</f>
        <v>410</v>
      </c>
    </row>
    <row r="926" spans="1:14" ht="151.15" customHeight="1" x14ac:dyDescent="0.2">
      <c r="A926" s="3">
        <v>924</v>
      </c>
      <c r="B926" s="3">
        <v>209243</v>
      </c>
      <c r="C926" s="4" t="str">
        <f>HYPERLINK("http://optservis.net:5080/photo?tov_code_internet=209243","Увеличить")</f>
        <v>Увеличить</v>
      </c>
      <c r="D926" s="3" t="s">
        <v>2089</v>
      </c>
      <c r="E926" s="3"/>
      <c r="F926" s="3" t="s">
        <v>2091</v>
      </c>
      <c r="G926" s="3" t="s">
        <v>1479</v>
      </c>
      <c r="H926" s="3">
        <v>0.5</v>
      </c>
      <c r="I926" s="3">
        <v>0</v>
      </c>
      <c r="J926" s="3" t="s">
        <v>18</v>
      </c>
      <c r="K926" s="5">
        <v>0.05</v>
      </c>
      <c r="L926" s="6">
        <v>0</v>
      </c>
      <c r="M926" s="7" t="s">
        <v>2090</v>
      </c>
      <c r="N926" s="8">
        <f>VLOOKUP(B926,'[1]новый без картинок'!$A$5:$F$2672,6,0)</f>
        <v>410</v>
      </c>
    </row>
    <row r="927" spans="1:14" ht="151.15" customHeight="1" x14ac:dyDescent="0.2">
      <c r="A927" s="3">
        <v>925</v>
      </c>
      <c r="B927" s="3">
        <v>189642</v>
      </c>
      <c r="C927" s="4" t="str">
        <f>HYPERLINK("http://optservis.net:5080/photo?tov_code_internet=189642","Увеличить")</f>
        <v>Увеличить</v>
      </c>
      <c r="D927" s="3" t="s">
        <v>2092</v>
      </c>
      <c r="E927" s="3"/>
      <c r="F927" s="3" t="s">
        <v>2093</v>
      </c>
      <c r="G927" s="3" t="s">
        <v>1045</v>
      </c>
      <c r="H927" s="3">
        <v>0.5</v>
      </c>
      <c r="I927" s="3">
        <v>0</v>
      </c>
      <c r="J927" s="3" t="s">
        <v>18</v>
      </c>
      <c r="K927" s="5">
        <v>0.04</v>
      </c>
      <c r="L927" s="6">
        <v>0</v>
      </c>
      <c r="M927" s="7" t="s">
        <v>2094</v>
      </c>
      <c r="N927" s="8">
        <f>VLOOKUP(B927,'[1]новый без картинок'!$A$5:$F$2672,6,0)</f>
        <v>499</v>
      </c>
    </row>
    <row r="928" spans="1:14" ht="151.15" customHeight="1" x14ac:dyDescent="0.2">
      <c r="A928" s="3">
        <v>926</v>
      </c>
      <c r="B928" s="3">
        <v>209247</v>
      </c>
      <c r="C928" s="4" t="str">
        <f>HYPERLINK("http://optservis.net:5080/photo?tov_code_internet=209247","Увеличить")</f>
        <v>Увеличить</v>
      </c>
      <c r="D928" s="3" t="s">
        <v>2095</v>
      </c>
      <c r="E928" s="3"/>
      <c r="F928" s="3" t="s">
        <v>2096</v>
      </c>
      <c r="G928" s="3" t="s">
        <v>430</v>
      </c>
      <c r="H928" s="3">
        <v>0.5</v>
      </c>
      <c r="I928" s="3">
        <v>0</v>
      </c>
      <c r="J928" s="3" t="s">
        <v>18</v>
      </c>
      <c r="K928" s="5">
        <v>0.08</v>
      </c>
      <c r="L928" s="6">
        <v>0</v>
      </c>
      <c r="M928" s="7" t="s">
        <v>2097</v>
      </c>
      <c r="N928" s="8">
        <f>VLOOKUP(B928,'[1]новый без картинок'!$A$5:$F$2672,6,0)</f>
        <v>313</v>
      </c>
    </row>
    <row r="929" spans="1:14" ht="151.15" customHeight="1" x14ac:dyDescent="0.2">
      <c r="A929" s="3">
        <v>927</v>
      </c>
      <c r="B929" s="3">
        <v>192265</v>
      </c>
      <c r="C929" s="4" t="str">
        <f>HYPERLINK("http://optservis.net:5080/photo?tov_code_internet=192265","Увеличить")</f>
        <v>Увеличить</v>
      </c>
      <c r="D929" s="3" t="s">
        <v>2095</v>
      </c>
      <c r="E929" s="3" t="s">
        <v>2098</v>
      </c>
      <c r="F929" s="3" t="s">
        <v>2099</v>
      </c>
      <c r="G929" s="3" t="s">
        <v>430</v>
      </c>
      <c r="H929" s="3">
        <v>0.5</v>
      </c>
      <c r="I929" s="3">
        <v>0</v>
      </c>
      <c r="J929" s="3" t="s">
        <v>18</v>
      </c>
      <c r="K929" s="5">
        <v>0.08</v>
      </c>
      <c r="L929" s="6">
        <v>4690654016081</v>
      </c>
      <c r="M929" s="7" t="s">
        <v>2097</v>
      </c>
      <c r="N929" s="8">
        <f>VLOOKUP(B929,'[1]новый без картинок'!$A$5:$F$2672,6,0)</f>
        <v>313</v>
      </c>
    </row>
    <row r="930" spans="1:14" ht="151.15" customHeight="1" x14ac:dyDescent="0.2">
      <c r="A930" s="3">
        <v>928</v>
      </c>
      <c r="B930" s="3">
        <v>181041</v>
      </c>
      <c r="C930" s="4" t="str">
        <f>HYPERLINK("http://optservis.net:5080/photo?tov_code_internet=181041","Увеличить")</f>
        <v>Увеличить</v>
      </c>
      <c r="D930" s="3" t="s">
        <v>2100</v>
      </c>
      <c r="E930" s="3" t="s">
        <v>2101</v>
      </c>
      <c r="F930" s="3" t="s">
        <v>2102</v>
      </c>
      <c r="G930" s="3" t="s">
        <v>430</v>
      </c>
      <c r="H930" s="3">
        <v>0.5</v>
      </c>
      <c r="I930" s="3">
        <v>0</v>
      </c>
      <c r="J930" s="3" t="s">
        <v>18</v>
      </c>
      <c r="K930" s="5">
        <v>0.08</v>
      </c>
      <c r="L930" s="6">
        <v>4690654015152</v>
      </c>
      <c r="M930" s="7" t="s">
        <v>2103</v>
      </c>
      <c r="N930" s="8">
        <f>VLOOKUP(B930,'[1]новый без картинок'!$A$5:$F$2672,6,0)</f>
        <v>395</v>
      </c>
    </row>
    <row r="931" spans="1:14" ht="151.15" customHeight="1" x14ac:dyDescent="0.2">
      <c r="A931" s="3">
        <v>929</v>
      </c>
      <c r="B931" s="3">
        <v>185844</v>
      </c>
      <c r="C931" s="4" t="str">
        <f>HYPERLINK("http://optservis.net:5080/photo?tov_code_internet=185844","Увеличить")</f>
        <v>Увеличить</v>
      </c>
      <c r="D931" s="3" t="s">
        <v>2104</v>
      </c>
      <c r="E931" s="3" t="s">
        <v>2105</v>
      </c>
      <c r="F931" s="3" t="s">
        <v>2102</v>
      </c>
      <c r="G931" s="3" t="s">
        <v>430</v>
      </c>
      <c r="H931" s="3">
        <v>0.5</v>
      </c>
      <c r="I931" s="3">
        <v>0</v>
      </c>
      <c r="J931" s="3" t="s">
        <v>18</v>
      </c>
      <c r="K931" s="5">
        <v>0.06</v>
      </c>
      <c r="L931" s="6">
        <v>4690654018702</v>
      </c>
      <c r="M931" s="7" t="s">
        <v>2106</v>
      </c>
      <c r="N931" s="8">
        <f>VLOOKUP(B931,'[1]новый без картинок'!$A$5:$F$2672,6,0)</f>
        <v>356</v>
      </c>
    </row>
    <row r="932" spans="1:14" ht="151.15" customHeight="1" x14ac:dyDescent="0.2">
      <c r="A932" s="3">
        <v>930</v>
      </c>
      <c r="B932" s="3">
        <v>181042</v>
      </c>
      <c r="C932" s="4" t="str">
        <f>HYPERLINK("http://optservis.net:5080/photo?tov_code_internet=181042","Увеличить")</f>
        <v>Увеличить</v>
      </c>
      <c r="D932" s="3" t="s">
        <v>2107</v>
      </c>
      <c r="E932" s="3" t="s">
        <v>2108</v>
      </c>
      <c r="F932" s="3" t="s">
        <v>2109</v>
      </c>
      <c r="G932" s="3" t="s">
        <v>1479</v>
      </c>
      <c r="H932" s="3">
        <v>0.5</v>
      </c>
      <c r="I932" s="3">
        <v>0</v>
      </c>
      <c r="J932" s="3" t="s">
        <v>18</v>
      </c>
      <c r="K932" s="5">
        <v>0.05</v>
      </c>
      <c r="L932" s="6">
        <v>4690654015671</v>
      </c>
      <c r="M932" s="7" t="s">
        <v>2110</v>
      </c>
      <c r="N932" s="8">
        <f>VLOOKUP(B932,'[1]новый без картинок'!$A$5:$F$2672,6,0)</f>
        <v>495</v>
      </c>
    </row>
    <row r="933" spans="1:14" ht="151.15" customHeight="1" x14ac:dyDescent="0.2">
      <c r="A933" s="3">
        <v>931</v>
      </c>
      <c r="B933" s="3">
        <v>210789</v>
      </c>
      <c r="C933" s="4" t="str">
        <f>HYPERLINK("http://optservis.net:5080/photo?tov_code_internet=210789","Увеличить")</f>
        <v>Увеличить</v>
      </c>
      <c r="D933" s="3" t="s">
        <v>2111</v>
      </c>
      <c r="E933" s="3"/>
      <c r="F933" s="3" t="s">
        <v>2112</v>
      </c>
      <c r="G933" s="3" t="s">
        <v>430</v>
      </c>
      <c r="H933" s="3">
        <v>0.5</v>
      </c>
      <c r="I933" s="3">
        <v>0</v>
      </c>
      <c r="J933" s="3" t="s">
        <v>18</v>
      </c>
      <c r="K933" s="5">
        <v>0.04</v>
      </c>
      <c r="L933" s="6">
        <v>0</v>
      </c>
      <c r="M933" s="7" t="s">
        <v>2113</v>
      </c>
      <c r="N933" s="8">
        <f>VLOOKUP(B933,'[1]новый без картинок'!$A$5:$F$2672,6,0)</f>
        <v>373</v>
      </c>
    </row>
    <row r="934" spans="1:14" ht="151.15" customHeight="1" x14ac:dyDescent="0.2">
      <c r="A934" s="3">
        <v>932</v>
      </c>
      <c r="B934" s="3">
        <v>188804</v>
      </c>
      <c r="C934" s="4" t="str">
        <f>HYPERLINK("http://optservis.net:5080/photo?tov_code_internet=188804","Увеличить")</f>
        <v>Увеличить</v>
      </c>
      <c r="D934" s="3" t="s">
        <v>2114</v>
      </c>
      <c r="E934" s="3" t="s">
        <v>2115</v>
      </c>
      <c r="F934" s="3" t="s">
        <v>2116</v>
      </c>
      <c r="G934" s="3" t="s">
        <v>430</v>
      </c>
      <c r="H934" s="3">
        <v>0.5</v>
      </c>
      <c r="I934" s="3">
        <v>0</v>
      </c>
      <c r="J934" s="3" t="s">
        <v>18</v>
      </c>
      <c r="K934" s="5">
        <v>7.0000000000000007E-2</v>
      </c>
      <c r="L934" s="6">
        <v>4690654015459</v>
      </c>
      <c r="M934" s="7" t="s">
        <v>2117</v>
      </c>
      <c r="N934" s="8">
        <f>VLOOKUP(B934,'[1]новый без картинок'!$A$5:$F$2672,6,0)</f>
        <v>300</v>
      </c>
    </row>
    <row r="935" spans="1:14" ht="149.44999999999999" customHeight="1" x14ac:dyDescent="0.2">
      <c r="A935" s="3">
        <v>933</v>
      </c>
      <c r="B935" s="3">
        <v>181040</v>
      </c>
      <c r="C935" s="4" t="str">
        <f>HYPERLINK("http://optservis.net:5080/photo?tov_code_internet=181040","Увеличить")</f>
        <v>Увеличить</v>
      </c>
      <c r="D935" s="3" t="s">
        <v>2114</v>
      </c>
      <c r="E935" s="3" t="s">
        <v>2115</v>
      </c>
      <c r="F935" s="3" t="s">
        <v>2118</v>
      </c>
      <c r="G935" s="3" t="s">
        <v>430</v>
      </c>
      <c r="H935" s="3">
        <v>0.5</v>
      </c>
      <c r="I935" s="3">
        <v>0</v>
      </c>
      <c r="J935" s="3" t="s">
        <v>18</v>
      </c>
      <c r="K935" s="5">
        <v>7.0000000000000007E-2</v>
      </c>
      <c r="L935" s="6">
        <v>4690654013011</v>
      </c>
      <c r="M935" s="7" t="s">
        <v>2119</v>
      </c>
      <c r="N935" s="8">
        <f>VLOOKUP(B935,'[1]новый без картинок'!$A$5:$F$2672,6,0)</f>
        <v>293</v>
      </c>
    </row>
    <row r="936" spans="1:14" ht="151.15" customHeight="1" x14ac:dyDescent="0.2">
      <c r="A936" s="3">
        <v>934</v>
      </c>
      <c r="B936" s="3">
        <v>202978</v>
      </c>
      <c r="C936" s="4" t="str">
        <f>HYPERLINK("http://optservis.net:5080/photo?tov_code_internet=202978","Увеличить")</f>
        <v>Увеличить</v>
      </c>
      <c r="D936" s="3" t="s">
        <v>2120</v>
      </c>
      <c r="E936" s="3"/>
      <c r="F936" s="3" t="s">
        <v>2102</v>
      </c>
      <c r="G936" s="3" t="s">
        <v>430</v>
      </c>
      <c r="H936" s="3">
        <v>0.5</v>
      </c>
      <c r="I936" s="3">
        <v>0</v>
      </c>
      <c r="J936" s="3" t="s">
        <v>18</v>
      </c>
      <c r="K936" s="5">
        <v>0.06</v>
      </c>
      <c r="L936" s="6">
        <v>0</v>
      </c>
      <c r="M936" s="7" t="s">
        <v>2121</v>
      </c>
      <c r="N936" s="8">
        <f>VLOOKUP(B936,'[1]новый без картинок'!$A$5:$F$2672,6,0)</f>
        <v>298</v>
      </c>
    </row>
    <row r="937" spans="1:14" ht="151.15" customHeight="1" x14ac:dyDescent="0.2">
      <c r="A937" s="3">
        <v>935</v>
      </c>
      <c r="B937" s="3">
        <v>208652</v>
      </c>
      <c r="C937" s="4" t="str">
        <f>HYPERLINK("http://optservis.net:5080/photo?tov_code_internet=208652","Увеличить")</f>
        <v>Увеличить</v>
      </c>
      <c r="D937" s="3" t="s">
        <v>2122</v>
      </c>
      <c r="E937" s="3"/>
      <c r="F937" s="3" t="s">
        <v>2123</v>
      </c>
      <c r="G937" s="3" t="s">
        <v>430</v>
      </c>
      <c r="H937" s="3">
        <v>0.5</v>
      </c>
      <c r="I937" s="3">
        <v>0</v>
      </c>
      <c r="J937" s="3" t="s">
        <v>18</v>
      </c>
      <c r="K937" s="5">
        <v>0.08</v>
      </c>
      <c r="L937" s="6">
        <v>0</v>
      </c>
      <c r="M937" s="7" t="s">
        <v>2124</v>
      </c>
      <c r="N937" s="8">
        <f>VLOOKUP(B937,'[1]новый без картинок'!$A$5:$F$2672,6,0)</f>
        <v>315</v>
      </c>
    </row>
    <row r="938" spans="1:14" ht="151.15" customHeight="1" x14ac:dyDescent="0.2">
      <c r="A938" s="3">
        <v>936</v>
      </c>
      <c r="B938" s="3">
        <v>192266</v>
      </c>
      <c r="C938" s="4" t="str">
        <f>HYPERLINK("http://optservis.net:5080/photo?tov_code_internet=192266","Увеличить")</f>
        <v>Увеличить</v>
      </c>
      <c r="D938" s="3" t="s">
        <v>2125</v>
      </c>
      <c r="E938" s="3" t="s">
        <v>2126</v>
      </c>
      <c r="F938" s="3" t="s">
        <v>2127</v>
      </c>
      <c r="G938" s="3" t="s">
        <v>430</v>
      </c>
      <c r="H938" s="3">
        <v>0.5</v>
      </c>
      <c r="I938" s="3">
        <v>0</v>
      </c>
      <c r="J938" s="3" t="s">
        <v>18</v>
      </c>
      <c r="K938" s="5">
        <v>0.08</v>
      </c>
      <c r="L938" s="6">
        <v>4690654014865</v>
      </c>
      <c r="M938" s="7" t="s">
        <v>2128</v>
      </c>
      <c r="N938" s="8">
        <f>VLOOKUP(B938,'[1]новый без картинок'!$A$5:$F$2672,6,0)</f>
        <v>320</v>
      </c>
    </row>
    <row r="939" spans="1:14" ht="151.15" customHeight="1" x14ac:dyDescent="0.2">
      <c r="A939" s="3">
        <v>937</v>
      </c>
      <c r="B939" s="3">
        <v>209704</v>
      </c>
      <c r="C939" s="4" t="str">
        <f>HYPERLINK("http://optservis.net:5080/photo?tov_code_internet=209704","Увеличить")</f>
        <v>Увеличить</v>
      </c>
      <c r="D939" s="3" t="s">
        <v>2129</v>
      </c>
      <c r="E939" s="3"/>
      <c r="F939" s="3" t="s">
        <v>2130</v>
      </c>
      <c r="G939" s="3" t="s">
        <v>430</v>
      </c>
      <c r="H939" s="3">
        <v>0.5</v>
      </c>
      <c r="I939" s="3">
        <v>0</v>
      </c>
      <c r="J939" s="3" t="s">
        <v>18</v>
      </c>
      <c r="K939" s="5">
        <v>0.08</v>
      </c>
      <c r="L939" s="6">
        <v>0</v>
      </c>
      <c r="M939" s="7" t="s">
        <v>2131</v>
      </c>
      <c r="N939" s="8">
        <f>VLOOKUP(B939,'[1]новый без картинок'!$A$5:$F$2672,6,0)</f>
        <v>342</v>
      </c>
    </row>
    <row r="940" spans="1:14" ht="151.15" customHeight="1" x14ac:dyDescent="0.2">
      <c r="A940" s="3">
        <v>938</v>
      </c>
      <c r="B940" s="3">
        <v>179971</v>
      </c>
      <c r="C940" s="4" t="str">
        <f>HYPERLINK("http://optservis.net:5080/photo?tov_code_internet=179971","Увеличить")</f>
        <v>Увеличить</v>
      </c>
      <c r="D940" s="3" t="s">
        <v>2129</v>
      </c>
      <c r="E940" s="3"/>
      <c r="F940" s="3" t="s">
        <v>2132</v>
      </c>
      <c r="G940" s="3" t="s">
        <v>430</v>
      </c>
      <c r="H940" s="3">
        <v>0.5</v>
      </c>
      <c r="I940" s="3">
        <v>0</v>
      </c>
      <c r="J940" s="3" t="s">
        <v>18</v>
      </c>
      <c r="K940" s="5">
        <v>0.08</v>
      </c>
      <c r="L940" s="6">
        <v>0</v>
      </c>
      <c r="M940" s="7" t="s">
        <v>2133</v>
      </c>
      <c r="N940" s="8">
        <f>VLOOKUP(B940,'[1]новый без картинок'!$A$5:$F$2672,6,0)</f>
        <v>341</v>
      </c>
    </row>
    <row r="941" spans="1:14" ht="151.15" customHeight="1" x14ac:dyDescent="0.2">
      <c r="A941" s="3">
        <v>939</v>
      </c>
      <c r="B941" s="3">
        <v>209032</v>
      </c>
      <c r="C941" s="4" t="str">
        <f>HYPERLINK("http://optservis.net:5080/photo?tov_code_internet=209032","Увеличить")</f>
        <v>Увеличить</v>
      </c>
      <c r="D941" s="3" t="s">
        <v>2129</v>
      </c>
      <c r="E941" s="3"/>
      <c r="F941" s="3" t="s">
        <v>2134</v>
      </c>
      <c r="G941" s="3" t="s">
        <v>430</v>
      </c>
      <c r="H941" s="3">
        <v>0.5</v>
      </c>
      <c r="I941" s="3">
        <v>0</v>
      </c>
      <c r="J941" s="3" t="s">
        <v>18</v>
      </c>
      <c r="K941" s="5">
        <v>0.08</v>
      </c>
      <c r="L941" s="6">
        <v>0</v>
      </c>
      <c r="M941" s="7" t="s">
        <v>2131</v>
      </c>
      <c r="N941" s="8">
        <f>VLOOKUP(B941,'[1]новый без картинок'!$A$5:$F$2672,6,0)</f>
        <v>338</v>
      </c>
    </row>
    <row r="942" spans="1:14" ht="151.15" customHeight="1" x14ac:dyDescent="0.2">
      <c r="A942" s="3">
        <v>940</v>
      </c>
      <c r="B942" s="3">
        <v>209031</v>
      </c>
      <c r="C942" s="4" t="str">
        <f>HYPERLINK("http://optservis.net:5080/photo?tov_code_internet=209031","Увеличить")</f>
        <v>Увеличить</v>
      </c>
      <c r="D942" s="3" t="s">
        <v>2135</v>
      </c>
      <c r="E942" s="3"/>
      <c r="F942" s="3" t="s">
        <v>2134</v>
      </c>
      <c r="G942" s="3" t="s">
        <v>430</v>
      </c>
      <c r="H942" s="3">
        <v>0.5</v>
      </c>
      <c r="I942" s="3">
        <v>0</v>
      </c>
      <c r="J942" s="3" t="s">
        <v>18</v>
      </c>
      <c r="K942" s="5">
        <v>7.0000000000000007E-2</v>
      </c>
      <c r="L942" s="6">
        <v>0</v>
      </c>
      <c r="M942" s="7" t="s">
        <v>2131</v>
      </c>
      <c r="N942" s="8">
        <f>VLOOKUP(B942,'[1]новый без картинок'!$A$5:$F$2672,6,0)</f>
        <v>280</v>
      </c>
    </row>
    <row r="943" spans="1:14" ht="151.15" customHeight="1" x14ac:dyDescent="0.2">
      <c r="A943" s="3">
        <v>941</v>
      </c>
      <c r="B943" s="3">
        <v>209033</v>
      </c>
      <c r="C943" s="4" t="str">
        <f>HYPERLINK("http://optservis.net:5080/photo?tov_code_internet=209033","Увеличить")</f>
        <v>Увеличить</v>
      </c>
      <c r="D943" s="3" t="s">
        <v>2136</v>
      </c>
      <c r="E943" s="3"/>
      <c r="F943" s="3" t="s">
        <v>2134</v>
      </c>
      <c r="G943" s="3" t="s">
        <v>430</v>
      </c>
      <c r="H943" s="3">
        <v>0.5</v>
      </c>
      <c r="I943" s="3">
        <v>0</v>
      </c>
      <c r="J943" s="3" t="s">
        <v>18</v>
      </c>
      <c r="K943" s="5">
        <v>0.09</v>
      </c>
      <c r="L943" s="6">
        <v>0</v>
      </c>
      <c r="M943" s="7" t="s">
        <v>2137</v>
      </c>
      <c r="N943" s="8">
        <f>VLOOKUP(B943,'[1]новый без картинок'!$A$5:$F$2672,6,0)</f>
        <v>367</v>
      </c>
    </row>
    <row r="944" spans="1:14" ht="151.15" customHeight="1" x14ac:dyDescent="0.2">
      <c r="A944" s="3">
        <v>942</v>
      </c>
      <c r="B944" s="3">
        <v>178913</v>
      </c>
      <c r="C944" s="4" t="str">
        <f>HYPERLINK("http://optservis.net:5080/photo?tov_code_internet=178913","Увеличить")</f>
        <v>Увеличить</v>
      </c>
      <c r="D944" s="3" t="s">
        <v>2136</v>
      </c>
      <c r="E944" s="3" t="s">
        <v>2138</v>
      </c>
      <c r="F944" s="3" t="s">
        <v>2139</v>
      </c>
      <c r="G944" s="3" t="s">
        <v>430</v>
      </c>
      <c r="H944" s="3">
        <v>0.5</v>
      </c>
      <c r="I944" s="3">
        <v>0</v>
      </c>
      <c r="J944" s="3" t="s">
        <v>18</v>
      </c>
      <c r="K944" s="5">
        <v>7.0000000000000007E-2</v>
      </c>
      <c r="L944" s="6">
        <v>4690654011895</v>
      </c>
      <c r="M944" s="7" t="s">
        <v>2140</v>
      </c>
      <c r="N944" s="8">
        <f>VLOOKUP(B944,'[1]новый без картинок'!$A$5:$F$2672,6,0)</f>
        <v>376</v>
      </c>
    </row>
    <row r="945" spans="1:14" ht="151.15" customHeight="1" x14ac:dyDescent="0.2">
      <c r="A945" s="3">
        <v>943</v>
      </c>
      <c r="B945" s="3">
        <v>209706</v>
      </c>
      <c r="C945" s="4" t="str">
        <f>HYPERLINK("http://optservis.net:5080/photo?tov_code_internet=209706","Увеличить")</f>
        <v>Увеличить</v>
      </c>
      <c r="D945" s="3" t="s">
        <v>2141</v>
      </c>
      <c r="E945" s="3"/>
      <c r="F945" s="3" t="s">
        <v>2130</v>
      </c>
      <c r="G945" s="3" t="s">
        <v>430</v>
      </c>
      <c r="H945" s="3">
        <v>0.5</v>
      </c>
      <c r="I945" s="3">
        <v>0</v>
      </c>
      <c r="J945" s="3" t="s">
        <v>18</v>
      </c>
      <c r="K945" s="5">
        <v>7.0000000000000007E-2</v>
      </c>
      <c r="L945" s="6">
        <v>0</v>
      </c>
      <c r="M945" s="7" t="s">
        <v>2131</v>
      </c>
      <c r="N945" s="8">
        <f>VLOOKUP(B945,'[1]новый без картинок'!$A$5:$F$2672,6,0)</f>
        <v>332</v>
      </c>
    </row>
    <row r="946" spans="1:14" ht="151.15" customHeight="1" x14ac:dyDescent="0.2">
      <c r="A946" s="3">
        <v>944</v>
      </c>
      <c r="B946" s="3">
        <v>209034</v>
      </c>
      <c r="C946" s="4" t="str">
        <f>HYPERLINK("http://optservis.net:5080/photo?tov_code_internet=209034","Увеличить")</f>
        <v>Увеличить</v>
      </c>
      <c r="D946" s="3" t="s">
        <v>2141</v>
      </c>
      <c r="E946" s="3"/>
      <c r="F946" s="3" t="s">
        <v>2134</v>
      </c>
      <c r="G946" s="3" t="s">
        <v>430</v>
      </c>
      <c r="H946" s="3">
        <v>0.5</v>
      </c>
      <c r="I946" s="3">
        <v>0</v>
      </c>
      <c r="J946" s="3" t="s">
        <v>18</v>
      </c>
      <c r="K946" s="5">
        <v>0.06</v>
      </c>
      <c r="L946" s="6">
        <v>0</v>
      </c>
      <c r="M946" s="7" t="s">
        <v>2131</v>
      </c>
      <c r="N946" s="8">
        <f>VLOOKUP(B946,'[1]новый без картинок'!$A$5:$F$2672,6,0)</f>
        <v>329</v>
      </c>
    </row>
    <row r="947" spans="1:14" ht="151.15" customHeight="1" x14ac:dyDescent="0.2">
      <c r="A947" s="3">
        <v>945</v>
      </c>
      <c r="B947" s="3">
        <v>209708</v>
      </c>
      <c r="C947" s="4" t="str">
        <f>HYPERLINK("http://optservis.net:5080/photo?tov_code_internet=209708","Увеличить")</f>
        <v>Увеличить</v>
      </c>
      <c r="D947" s="3" t="s">
        <v>2142</v>
      </c>
      <c r="E947" s="3"/>
      <c r="F947" s="3" t="s">
        <v>2143</v>
      </c>
      <c r="G947" s="3" t="s">
        <v>1479</v>
      </c>
      <c r="H947" s="3">
        <v>0.5</v>
      </c>
      <c r="I947" s="3">
        <v>0</v>
      </c>
      <c r="J947" s="3" t="s">
        <v>18</v>
      </c>
      <c r="K947" s="5">
        <v>0.05</v>
      </c>
      <c r="L947" s="6">
        <v>0</v>
      </c>
      <c r="M947" s="7" t="s">
        <v>2144</v>
      </c>
      <c r="N947" s="8">
        <f>VLOOKUP(B947,'[1]новый без картинок'!$A$5:$F$2672,6,0)</f>
        <v>469</v>
      </c>
    </row>
    <row r="948" spans="1:14" ht="151.15" customHeight="1" x14ac:dyDescent="0.2">
      <c r="A948" s="3">
        <v>946</v>
      </c>
      <c r="B948" s="3">
        <v>179119</v>
      </c>
      <c r="C948" s="4" t="str">
        <f>HYPERLINK("http://optservis.net:5080/photo?tov_code_internet=179119","Увеличить")</f>
        <v>Увеличить</v>
      </c>
      <c r="D948" s="3" t="s">
        <v>2142</v>
      </c>
      <c r="E948" s="3"/>
      <c r="F948" s="3" t="s">
        <v>2145</v>
      </c>
      <c r="G948" s="3" t="s">
        <v>1479</v>
      </c>
      <c r="H948" s="3">
        <v>0.5</v>
      </c>
      <c r="I948" s="3">
        <v>0</v>
      </c>
      <c r="J948" s="3" t="s">
        <v>18</v>
      </c>
      <c r="K948" s="5">
        <v>0.05</v>
      </c>
      <c r="L948" s="6">
        <v>0</v>
      </c>
      <c r="M948" s="7" t="s">
        <v>2146</v>
      </c>
      <c r="N948" s="8">
        <f>VLOOKUP(B948,'[1]новый без картинок'!$A$5:$F$2672,6,0)</f>
        <v>469</v>
      </c>
    </row>
    <row r="949" spans="1:14" ht="151.15" customHeight="1" x14ac:dyDescent="0.2">
      <c r="A949" s="3">
        <v>947</v>
      </c>
      <c r="B949" s="3">
        <v>209035</v>
      </c>
      <c r="C949" s="4" t="str">
        <f>HYPERLINK("http://optservis.net:5080/photo?tov_code_internet=209035","Увеличить")</f>
        <v>Увеличить</v>
      </c>
      <c r="D949" s="3" t="s">
        <v>2142</v>
      </c>
      <c r="E949" s="3"/>
      <c r="F949" s="3" t="s">
        <v>2147</v>
      </c>
      <c r="G949" s="3" t="s">
        <v>1479</v>
      </c>
      <c r="H949" s="3">
        <v>0.5</v>
      </c>
      <c r="I949" s="3">
        <v>0</v>
      </c>
      <c r="J949" s="3" t="s">
        <v>18</v>
      </c>
      <c r="K949" s="5">
        <v>0.05</v>
      </c>
      <c r="L949" s="6">
        <v>0</v>
      </c>
      <c r="M949" s="7" t="s">
        <v>2144</v>
      </c>
      <c r="N949" s="8">
        <f>VLOOKUP(B949,'[1]новый без картинок'!$A$5:$F$2672,6,0)</f>
        <v>467</v>
      </c>
    </row>
    <row r="950" spans="1:14" ht="151.15" customHeight="1" x14ac:dyDescent="0.2">
      <c r="A950" s="3">
        <v>948</v>
      </c>
      <c r="B950" s="3">
        <v>210803</v>
      </c>
      <c r="C950" s="4" t="str">
        <f>HYPERLINK("http://optservis.net:5080/photo?tov_code_internet=210803","Увеличить")</f>
        <v>Увеличить</v>
      </c>
      <c r="D950" s="3" t="s">
        <v>2148</v>
      </c>
      <c r="E950" s="3"/>
      <c r="F950" s="3" t="s">
        <v>2149</v>
      </c>
      <c r="G950" s="3" t="s">
        <v>430</v>
      </c>
      <c r="H950" s="3">
        <v>0.5</v>
      </c>
      <c r="I950" s="3">
        <v>0</v>
      </c>
      <c r="J950" s="3" t="s">
        <v>18</v>
      </c>
      <c r="K950" s="5">
        <v>0.05</v>
      </c>
      <c r="L950" s="6">
        <v>0</v>
      </c>
      <c r="M950" s="7" t="s">
        <v>2150</v>
      </c>
      <c r="N950" s="8">
        <f>VLOOKUP(B950,'[1]новый без картинок'!$A$5:$F$2672,6,0)</f>
        <v>286</v>
      </c>
    </row>
    <row r="951" spans="1:14" ht="151.15" customHeight="1" x14ac:dyDescent="0.2">
      <c r="A951" s="3">
        <v>949</v>
      </c>
      <c r="B951" s="3">
        <v>210787</v>
      </c>
      <c r="C951" s="4" t="str">
        <f>HYPERLINK("http://optservis.net:5080/photo?tov_code_internet=210787","Увеличить")</f>
        <v>Увеличить</v>
      </c>
      <c r="D951" s="3" t="s">
        <v>2148</v>
      </c>
      <c r="E951" s="3"/>
      <c r="F951" s="3" t="s">
        <v>2151</v>
      </c>
      <c r="G951" s="3" t="s">
        <v>430</v>
      </c>
      <c r="H951" s="3">
        <v>0.5</v>
      </c>
      <c r="I951" s="3">
        <v>0</v>
      </c>
      <c r="J951" s="3" t="s">
        <v>18</v>
      </c>
      <c r="K951" s="5">
        <v>0.04</v>
      </c>
      <c r="L951" s="6">
        <v>0</v>
      </c>
      <c r="M951" s="7" t="s">
        <v>2152</v>
      </c>
      <c r="N951" s="8">
        <f>VLOOKUP(B951,'[1]новый без картинок'!$A$5:$F$2672,6,0)</f>
        <v>348</v>
      </c>
    </row>
    <row r="952" spans="1:14" ht="151.15" customHeight="1" x14ac:dyDescent="0.2">
      <c r="A952" s="3">
        <v>950</v>
      </c>
      <c r="B952" s="3">
        <v>210802</v>
      </c>
      <c r="C952" s="4" t="str">
        <f>HYPERLINK("http://optservis.net:5080/photo?tov_code_internet=210802","Увеличить")</f>
        <v>Увеличить</v>
      </c>
      <c r="D952" s="3" t="s">
        <v>2148</v>
      </c>
      <c r="E952" s="3"/>
      <c r="F952" s="3" t="s">
        <v>2153</v>
      </c>
      <c r="G952" s="3" t="s">
        <v>430</v>
      </c>
      <c r="H952" s="3">
        <v>0.5</v>
      </c>
      <c r="I952" s="3">
        <v>0</v>
      </c>
      <c r="J952" s="3" t="s">
        <v>18</v>
      </c>
      <c r="K952" s="5">
        <v>0.04</v>
      </c>
      <c r="L952" s="6">
        <v>0</v>
      </c>
      <c r="M952" s="7" t="s">
        <v>2150</v>
      </c>
      <c r="N952" s="8">
        <f>VLOOKUP(B952,'[1]новый без картинок'!$A$5:$F$2672,6,0)</f>
        <v>282</v>
      </c>
    </row>
    <row r="953" spans="1:14" ht="151.15" customHeight="1" x14ac:dyDescent="0.2">
      <c r="A953" s="3">
        <v>951</v>
      </c>
      <c r="B953" s="3">
        <v>210786</v>
      </c>
      <c r="C953" s="4" t="str">
        <f>HYPERLINK("http://optservis.net:5080/photo?tov_code_internet=210786","Увеличить")</f>
        <v>Увеличить</v>
      </c>
      <c r="D953" s="3" t="s">
        <v>2148</v>
      </c>
      <c r="E953" s="3"/>
      <c r="F953" s="3" t="s">
        <v>2154</v>
      </c>
      <c r="G953" s="3" t="s">
        <v>430</v>
      </c>
      <c r="H953" s="3">
        <v>0.5</v>
      </c>
      <c r="I953" s="3">
        <v>0</v>
      </c>
      <c r="J953" s="3" t="s">
        <v>18</v>
      </c>
      <c r="K953" s="5">
        <v>0.04</v>
      </c>
      <c r="L953" s="6">
        <v>0</v>
      </c>
      <c r="M953" s="7" t="s">
        <v>2152</v>
      </c>
      <c r="N953" s="8">
        <f>VLOOKUP(B953,'[1]новый без картинок'!$A$5:$F$2672,6,0)</f>
        <v>345</v>
      </c>
    </row>
    <row r="954" spans="1:14" ht="151.15" customHeight="1" x14ac:dyDescent="0.2">
      <c r="A954" s="3">
        <v>952</v>
      </c>
      <c r="B954" s="3">
        <v>210804</v>
      </c>
      <c r="C954" s="4" t="str">
        <f>HYPERLINK("http://optservis.net:5080/photo?tov_code_internet=210804","Увеличить")</f>
        <v>Увеличить</v>
      </c>
      <c r="D954" s="3" t="s">
        <v>2148</v>
      </c>
      <c r="E954" s="3"/>
      <c r="F954" s="3" t="s">
        <v>2155</v>
      </c>
      <c r="G954" s="3" t="s">
        <v>430</v>
      </c>
      <c r="H954" s="3">
        <v>0.5</v>
      </c>
      <c r="I954" s="3">
        <v>0</v>
      </c>
      <c r="J954" s="3" t="s">
        <v>18</v>
      </c>
      <c r="K954" s="5">
        <v>0.04</v>
      </c>
      <c r="L954" s="6">
        <v>0</v>
      </c>
      <c r="M954" s="7" t="s">
        <v>2150</v>
      </c>
      <c r="N954" s="8">
        <f>VLOOKUP(B954,'[1]новый без картинок'!$A$5:$F$2672,6,0)</f>
        <v>285</v>
      </c>
    </row>
    <row r="955" spans="1:14" ht="151.15" customHeight="1" x14ac:dyDescent="0.2">
      <c r="A955" s="3">
        <v>953</v>
      </c>
      <c r="B955" s="3">
        <v>192262</v>
      </c>
      <c r="C955" s="4" t="str">
        <f>HYPERLINK("http://optservis.net:5080/photo?tov_code_internet=192262","Увеличить")</f>
        <v>Увеличить</v>
      </c>
      <c r="D955" s="3" t="s">
        <v>2148</v>
      </c>
      <c r="E955" s="3"/>
      <c r="F955" s="3" t="s">
        <v>2132</v>
      </c>
      <c r="G955" s="3" t="s">
        <v>430</v>
      </c>
      <c r="H955" s="3">
        <v>0.5</v>
      </c>
      <c r="I955" s="3">
        <v>0</v>
      </c>
      <c r="J955" s="3" t="s">
        <v>18</v>
      </c>
      <c r="K955" s="5">
        <v>0.04</v>
      </c>
      <c r="L955" s="6">
        <v>0</v>
      </c>
      <c r="M955" s="7" t="s">
        <v>2156</v>
      </c>
      <c r="N955" s="8">
        <f>VLOOKUP(B955,'[1]новый без картинок'!$A$5:$F$2672,6,0)</f>
        <v>277</v>
      </c>
    </row>
    <row r="956" spans="1:14" ht="151.15" customHeight="1" x14ac:dyDescent="0.2">
      <c r="A956" s="3">
        <v>954</v>
      </c>
      <c r="B956" s="3">
        <v>192263</v>
      </c>
      <c r="C956" s="4" t="str">
        <f>HYPERLINK("http://optservis.net:5080/photo?tov_code_internet=192263","Увеличить")</f>
        <v>Увеличить</v>
      </c>
      <c r="D956" s="3" t="s">
        <v>2148</v>
      </c>
      <c r="E956" s="3"/>
      <c r="F956" s="3" t="s">
        <v>2157</v>
      </c>
      <c r="G956" s="3" t="s">
        <v>430</v>
      </c>
      <c r="H956" s="3">
        <v>0.5</v>
      </c>
      <c r="I956" s="3">
        <v>0</v>
      </c>
      <c r="J956" s="3" t="s">
        <v>18</v>
      </c>
      <c r="K956" s="5">
        <v>0.04</v>
      </c>
      <c r="L956" s="6">
        <v>0</v>
      </c>
      <c r="M956" s="7" t="s">
        <v>2156</v>
      </c>
      <c r="N956" s="8">
        <f>VLOOKUP(B956,'[1]новый без картинок'!$A$5:$F$2672,6,0)</f>
        <v>274</v>
      </c>
    </row>
    <row r="957" spans="1:14" ht="151.15" customHeight="1" x14ac:dyDescent="0.2">
      <c r="A957" s="3">
        <v>955</v>
      </c>
      <c r="B957" s="3">
        <v>192261</v>
      </c>
      <c r="C957" s="4" t="str">
        <f>HYPERLINK("http://optservis.net:5080/photo?tov_code_internet=192261","Увеличить")</f>
        <v>Увеличить</v>
      </c>
      <c r="D957" s="3" t="s">
        <v>2148</v>
      </c>
      <c r="E957" s="3" t="s">
        <v>2158</v>
      </c>
      <c r="F957" s="3" t="s">
        <v>2159</v>
      </c>
      <c r="G957" s="3" t="s">
        <v>430</v>
      </c>
      <c r="H957" s="3">
        <v>0.5</v>
      </c>
      <c r="I957" s="3">
        <v>0</v>
      </c>
      <c r="J957" s="3" t="s">
        <v>18</v>
      </c>
      <c r="K957" s="5">
        <v>0.04</v>
      </c>
      <c r="L957" s="6">
        <v>4690654020811</v>
      </c>
      <c r="M957" s="7" t="s">
        <v>2160</v>
      </c>
      <c r="N957" s="8">
        <f>VLOOKUP(B957,'[1]новый без картинок'!$A$5:$F$2672,6,0)</f>
        <v>276</v>
      </c>
    </row>
    <row r="958" spans="1:14" ht="151.15" customHeight="1" x14ac:dyDescent="0.2">
      <c r="A958" s="3">
        <v>956</v>
      </c>
      <c r="B958" s="3">
        <v>209695</v>
      </c>
      <c r="C958" s="4" t="str">
        <f>HYPERLINK("http://optservis.net:5080/photo?tov_code_internet=209695","Увеличить")</f>
        <v>Увеличить</v>
      </c>
      <c r="D958" s="3" t="s">
        <v>2161</v>
      </c>
      <c r="E958" s="3"/>
      <c r="F958" s="3" t="s">
        <v>2162</v>
      </c>
      <c r="G958" s="3" t="s">
        <v>430</v>
      </c>
      <c r="H958" s="3">
        <v>0.5</v>
      </c>
      <c r="I958" s="3">
        <v>0</v>
      </c>
      <c r="J958" s="3" t="s">
        <v>18</v>
      </c>
      <c r="K958" s="5">
        <v>7.0000000000000007E-2</v>
      </c>
      <c r="L958" s="6">
        <v>0</v>
      </c>
      <c r="M958" s="7" t="s">
        <v>2131</v>
      </c>
      <c r="N958" s="8">
        <f>VLOOKUP(B958,'[1]новый без картинок'!$A$5:$F$2672,6,0)</f>
        <v>268</v>
      </c>
    </row>
    <row r="959" spans="1:14" ht="151.15" customHeight="1" x14ac:dyDescent="0.2">
      <c r="A959" s="3">
        <v>957</v>
      </c>
      <c r="B959" s="3">
        <v>188807</v>
      </c>
      <c r="C959" s="4" t="str">
        <f>HYPERLINK("http://optservis.net:5080/photo?tov_code_internet=188807","Увеличить")</f>
        <v>Увеличить</v>
      </c>
      <c r="D959" s="3" t="s">
        <v>2161</v>
      </c>
      <c r="E959" s="3"/>
      <c r="F959" s="3" t="s">
        <v>2163</v>
      </c>
      <c r="G959" s="3" t="s">
        <v>430</v>
      </c>
      <c r="H959" s="3">
        <v>0.5</v>
      </c>
      <c r="I959" s="3">
        <v>0</v>
      </c>
      <c r="J959" s="3" t="s">
        <v>18</v>
      </c>
      <c r="K959" s="5">
        <v>7.0000000000000007E-2</v>
      </c>
      <c r="L959" s="6">
        <v>0</v>
      </c>
      <c r="M959" s="7" t="s">
        <v>2164</v>
      </c>
      <c r="N959" s="8">
        <f>VLOOKUP(B959,'[1]новый без картинок'!$A$5:$F$2672,6,0)</f>
        <v>272</v>
      </c>
    </row>
    <row r="960" spans="1:14" ht="151.15" customHeight="1" x14ac:dyDescent="0.2">
      <c r="A960" s="3">
        <v>958</v>
      </c>
      <c r="B960" s="3">
        <v>208922</v>
      </c>
      <c r="C960" s="4" t="str">
        <f>HYPERLINK("http://optservis.net:5080/photo?tov_code_internet=208922","Увеличить")</f>
        <v>Увеличить</v>
      </c>
      <c r="D960" s="3" t="s">
        <v>2161</v>
      </c>
      <c r="E960" s="3"/>
      <c r="F960" s="3" t="s">
        <v>2165</v>
      </c>
      <c r="G960" s="3" t="s">
        <v>430</v>
      </c>
      <c r="H960" s="3">
        <v>0.5</v>
      </c>
      <c r="I960" s="3">
        <v>0</v>
      </c>
      <c r="J960" s="3" t="s">
        <v>18</v>
      </c>
      <c r="K960" s="5">
        <v>7.0000000000000007E-2</v>
      </c>
      <c r="L960" s="6">
        <v>0</v>
      </c>
      <c r="M960" s="7" t="s">
        <v>2131</v>
      </c>
      <c r="N960" s="8">
        <f>VLOOKUP(B960,'[1]новый без картинок'!$A$5:$F$2672,6,0)</f>
        <v>272</v>
      </c>
    </row>
    <row r="961" spans="1:14" ht="151.15" customHeight="1" x14ac:dyDescent="0.2">
      <c r="A961" s="3">
        <v>959</v>
      </c>
      <c r="B961" s="3">
        <v>208923</v>
      </c>
      <c r="C961" s="4" t="str">
        <f>HYPERLINK("http://optservis.net:5080/photo?tov_code_internet=208923","Увеличить")</f>
        <v>Увеличить</v>
      </c>
      <c r="D961" s="3" t="s">
        <v>2161</v>
      </c>
      <c r="E961" s="3"/>
      <c r="F961" s="3" t="s">
        <v>2166</v>
      </c>
      <c r="G961" s="3" t="s">
        <v>430</v>
      </c>
      <c r="H961" s="3">
        <v>0.5</v>
      </c>
      <c r="I961" s="3">
        <v>0</v>
      </c>
      <c r="J961" s="3" t="s">
        <v>18</v>
      </c>
      <c r="K961" s="5">
        <v>7.0000000000000007E-2</v>
      </c>
      <c r="L961" s="6">
        <v>0</v>
      </c>
      <c r="M961" s="7" t="s">
        <v>2131</v>
      </c>
      <c r="N961" s="8">
        <f>VLOOKUP(B961,'[1]новый без картинок'!$A$5:$F$2672,6,0)</f>
        <v>264</v>
      </c>
    </row>
    <row r="962" spans="1:14" ht="151.15" customHeight="1" x14ac:dyDescent="0.2">
      <c r="A962" s="3">
        <v>960</v>
      </c>
      <c r="B962" s="3">
        <v>208918</v>
      </c>
      <c r="C962" s="4" t="str">
        <f>HYPERLINK("http://optservis.net:5080/photo?tov_code_internet=208918","Увеличить")</f>
        <v>Увеличить</v>
      </c>
      <c r="D962" s="3" t="s">
        <v>2161</v>
      </c>
      <c r="E962" s="3"/>
      <c r="F962" s="3" t="s">
        <v>2134</v>
      </c>
      <c r="G962" s="3" t="s">
        <v>430</v>
      </c>
      <c r="H962" s="3">
        <v>0.5</v>
      </c>
      <c r="I962" s="3">
        <v>0</v>
      </c>
      <c r="J962" s="3" t="s">
        <v>18</v>
      </c>
      <c r="K962" s="5">
        <v>7.0000000000000007E-2</v>
      </c>
      <c r="L962" s="6">
        <v>0</v>
      </c>
      <c r="M962" s="7" t="s">
        <v>2131</v>
      </c>
      <c r="N962" s="8">
        <f>VLOOKUP(B962,'[1]новый без картинок'!$A$5:$F$2672,6,0)</f>
        <v>264</v>
      </c>
    </row>
    <row r="963" spans="1:14" ht="151.15" customHeight="1" x14ac:dyDescent="0.2">
      <c r="A963" s="3">
        <v>961</v>
      </c>
      <c r="B963" s="3">
        <v>179985</v>
      </c>
      <c r="C963" s="4" t="str">
        <f>HYPERLINK("http://optservis.net:5080/photo?tov_code_internet=179985","Увеличить")</f>
        <v>Увеличить</v>
      </c>
      <c r="D963" s="3" t="s">
        <v>2161</v>
      </c>
      <c r="E963" s="3" t="s">
        <v>2167</v>
      </c>
      <c r="F963" s="3" t="s">
        <v>2168</v>
      </c>
      <c r="G963" s="3" t="s">
        <v>430</v>
      </c>
      <c r="H963" s="3">
        <v>0.5</v>
      </c>
      <c r="I963" s="3">
        <v>0</v>
      </c>
      <c r="J963" s="3" t="s">
        <v>18</v>
      </c>
      <c r="K963" s="5">
        <v>7.0000000000000007E-2</v>
      </c>
      <c r="L963" s="6">
        <v>4690654016135</v>
      </c>
      <c r="M963" s="7" t="s">
        <v>2164</v>
      </c>
      <c r="N963" s="8">
        <f>VLOOKUP(B963,'[1]новый без картинок'!$A$5:$F$2672,6,0)</f>
        <v>264</v>
      </c>
    </row>
    <row r="964" spans="1:14" ht="151.15" customHeight="1" x14ac:dyDescent="0.2">
      <c r="A964" s="3">
        <v>962</v>
      </c>
      <c r="B964" s="3">
        <v>173288</v>
      </c>
      <c r="C964" s="4" t="str">
        <f>HYPERLINK("http://optservis.net:5080/photo?tov_code_internet=173288","Увеличить")</f>
        <v>Увеличить</v>
      </c>
      <c r="D964" s="3" t="s">
        <v>2161</v>
      </c>
      <c r="E964" s="3" t="s">
        <v>2167</v>
      </c>
      <c r="F964" s="3" t="s">
        <v>2139</v>
      </c>
      <c r="G964" s="3" t="s">
        <v>430</v>
      </c>
      <c r="H964" s="3">
        <v>0.5</v>
      </c>
      <c r="I964" s="3">
        <v>0</v>
      </c>
      <c r="J964" s="3" t="s">
        <v>18</v>
      </c>
      <c r="K964" s="5">
        <v>7.0000000000000007E-2</v>
      </c>
      <c r="L964" s="6">
        <v>4690654010669</v>
      </c>
      <c r="M964" s="7" t="s">
        <v>2169</v>
      </c>
      <c r="N964" s="8">
        <f>VLOOKUP(B964,'[1]новый без картинок'!$A$5:$F$2672,6,0)</f>
        <v>274</v>
      </c>
    </row>
    <row r="965" spans="1:14" ht="151.15" customHeight="1" x14ac:dyDescent="0.2">
      <c r="A965" s="3">
        <v>963</v>
      </c>
      <c r="B965" s="3">
        <v>202977</v>
      </c>
      <c r="C965" s="4" t="str">
        <f>HYPERLINK("http://optservis.net:5080/photo?tov_code_internet=202977","Увеличить")</f>
        <v>Увеличить</v>
      </c>
      <c r="D965" s="3" t="s">
        <v>2170</v>
      </c>
      <c r="E965" s="3" t="s">
        <v>2171</v>
      </c>
      <c r="F965" s="3" t="s">
        <v>2172</v>
      </c>
      <c r="G965" s="3" t="s">
        <v>430</v>
      </c>
      <c r="H965" s="3">
        <v>0.5</v>
      </c>
      <c r="I965" s="3">
        <v>0</v>
      </c>
      <c r="J965" s="3" t="s">
        <v>18</v>
      </c>
      <c r="K965" s="5">
        <v>0.06</v>
      </c>
      <c r="L965" s="6">
        <v>4690654018696</v>
      </c>
      <c r="M965" s="7" t="s">
        <v>2173</v>
      </c>
      <c r="N965" s="8">
        <f>VLOOKUP(B965,'[1]новый без картинок'!$A$5:$F$2672,6,0)</f>
        <v>269</v>
      </c>
    </row>
    <row r="966" spans="1:14" ht="151.15" customHeight="1" x14ac:dyDescent="0.2">
      <c r="A966" s="3">
        <v>964</v>
      </c>
      <c r="B966" s="3">
        <v>209696</v>
      </c>
      <c r="C966" s="4" t="str">
        <f>HYPERLINK("http://optservis.net:5080/photo?tov_code_internet=209696","Увеличить")</f>
        <v>Увеличить</v>
      </c>
      <c r="D966" s="3" t="s">
        <v>2174</v>
      </c>
      <c r="E966" s="3"/>
      <c r="F966" s="3" t="s">
        <v>2130</v>
      </c>
      <c r="G966" s="3" t="s">
        <v>430</v>
      </c>
      <c r="H966" s="3">
        <v>0.5</v>
      </c>
      <c r="I966" s="3">
        <v>0</v>
      </c>
      <c r="J966" s="3" t="s">
        <v>18</v>
      </c>
      <c r="K966" s="5">
        <v>0.06</v>
      </c>
      <c r="L966" s="6">
        <v>0</v>
      </c>
      <c r="M966" s="7" t="s">
        <v>2175</v>
      </c>
      <c r="N966" s="8">
        <f>VLOOKUP(B966,'[1]новый без картинок'!$A$5:$F$2672,6,0)</f>
        <v>278</v>
      </c>
    </row>
    <row r="967" spans="1:14" ht="151.15" customHeight="1" x14ac:dyDescent="0.2">
      <c r="A967" s="3">
        <v>965</v>
      </c>
      <c r="B967" s="3">
        <v>179986</v>
      </c>
      <c r="C967" s="4" t="str">
        <f>HYPERLINK("http://optservis.net:5080/photo?tov_code_internet=179986","Увеличить")</f>
        <v>Увеличить</v>
      </c>
      <c r="D967" s="3" t="s">
        <v>2174</v>
      </c>
      <c r="E967" s="3"/>
      <c r="F967" s="3" t="s">
        <v>2172</v>
      </c>
      <c r="G967" s="3" t="s">
        <v>430</v>
      </c>
      <c r="H967" s="3">
        <v>0.5</v>
      </c>
      <c r="I967" s="3">
        <v>0</v>
      </c>
      <c r="J967" s="3" t="s">
        <v>18</v>
      </c>
      <c r="K967" s="5">
        <v>0.06</v>
      </c>
      <c r="L967" s="6">
        <v>0</v>
      </c>
      <c r="M967" s="7" t="s">
        <v>2176</v>
      </c>
      <c r="N967" s="8">
        <f>VLOOKUP(B967,'[1]новый без картинок'!$A$5:$F$2672,6,0)</f>
        <v>274</v>
      </c>
    </row>
    <row r="968" spans="1:14" ht="151.15" customHeight="1" x14ac:dyDescent="0.2">
      <c r="A968" s="3">
        <v>966</v>
      </c>
      <c r="B968" s="3">
        <v>179970</v>
      </c>
      <c r="C968" s="4" t="str">
        <f>HYPERLINK("http://optservis.net:5080/photo?tov_code_internet=179970","Увеличить")</f>
        <v>Увеличить</v>
      </c>
      <c r="D968" s="3" t="s">
        <v>2174</v>
      </c>
      <c r="E968" s="3"/>
      <c r="F968" s="3" t="s">
        <v>2139</v>
      </c>
      <c r="G968" s="3" t="s">
        <v>430</v>
      </c>
      <c r="H968" s="3">
        <v>0.5</v>
      </c>
      <c r="I968" s="3">
        <v>0</v>
      </c>
      <c r="J968" s="3" t="s">
        <v>18</v>
      </c>
      <c r="K968" s="5">
        <v>0.06</v>
      </c>
      <c r="L968" s="6">
        <v>0</v>
      </c>
      <c r="M968" s="7" t="s">
        <v>2176</v>
      </c>
      <c r="N968" s="8">
        <f>VLOOKUP(B968,'[1]новый без картинок'!$A$5:$F$2672,6,0)</f>
        <v>287</v>
      </c>
    </row>
    <row r="969" spans="1:14" ht="151.15" customHeight="1" x14ac:dyDescent="0.2">
      <c r="A969" s="3">
        <v>967</v>
      </c>
      <c r="B969" s="3">
        <v>209025</v>
      </c>
      <c r="C969" s="4" t="str">
        <f>HYPERLINK("http://optservis.net:5080/photo?tov_code_internet=209025","Увеличить")</f>
        <v>Увеличить</v>
      </c>
      <c r="D969" s="3" t="s">
        <v>2174</v>
      </c>
      <c r="E969" s="3"/>
      <c r="F969" s="3" t="s">
        <v>2134</v>
      </c>
      <c r="G969" s="3" t="s">
        <v>430</v>
      </c>
      <c r="H969" s="3">
        <v>0.5</v>
      </c>
      <c r="I969" s="3">
        <v>0</v>
      </c>
      <c r="J969" s="3" t="s">
        <v>18</v>
      </c>
      <c r="K969" s="5">
        <v>0.06</v>
      </c>
      <c r="L969" s="6">
        <v>0</v>
      </c>
      <c r="M969" s="7" t="s">
        <v>2175</v>
      </c>
      <c r="N969" s="8">
        <f>VLOOKUP(B969,'[1]новый без картинок'!$A$5:$F$2672,6,0)</f>
        <v>274</v>
      </c>
    </row>
    <row r="970" spans="1:14" ht="151.15" customHeight="1" x14ac:dyDescent="0.2">
      <c r="A970" s="3">
        <v>968</v>
      </c>
      <c r="B970" s="3">
        <v>209698</v>
      </c>
      <c r="C970" s="4" t="str">
        <f>HYPERLINK("http://optservis.net:5080/photo?tov_code_internet=209698","Увеличить")</f>
        <v>Увеличить</v>
      </c>
      <c r="D970" s="3" t="s">
        <v>2177</v>
      </c>
      <c r="E970" s="3"/>
      <c r="F970" s="3" t="s">
        <v>2178</v>
      </c>
      <c r="G970" s="3" t="s">
        <v>1469</v>
      </c>
      <c r="H970" s="3">
        <v>0.5</v>
      </c>
      <c r="I970" s="3">
        <v>0</v>
      </c>
      <c r="J970" s="3" t="s">
        <v>18</v>
      </c>
      <c r="K970" s="5">
        <v>0.06</v>
      </c>
      <c r="L970" s="6">
        <v>0</v>
      </c>
      <c r="M970" s="7" t="s">
        <v>2179</v>
      </c>
      <c r="N970" s="8">
        <f>VLOOKUP(B970,'[1]новый без картинок'!$A$5:$F$2672,6,0)</f>
        <v>382</v>
      </c>
    </row>
    <row r="971" spans="1:14" ht="151.15" customHeight="1" x14ac:dyDescent="0.2">
      <c r="A971" s="3">
        <v>969</v>
      </c>
      <c r="B971" s="3">
        <v>209697</v>
      </c>
      <c r="C971" s="4" t="str">
        <f>HYPERLINK("http://optservis.net:5080/photo?tov_code_internet=209697","Увеличить")</f>
        <v>Увеличить</v>
      </c>
      <c r="D971" s="3" t="s">
        <v>2177</v>
      </c>
      <c r="E971" s="3"/>
      <c r="F971" s="3" t="s">
        <v>2180</v>
      </c>
      <c r="G971" s="3" t="s">
        <v>1469</v>
      </c>
      <c r="H971" s="3">
        <v>0.5</v>
      </c>
      <c r="I971" s="3">
        <v>0</v>
      </c>
      <c r="J971" s="3" t="s">
        <v>18</v>
      </c>
      <c r="K971" s="5">
        <v>0.06</v>
      </c>
      <c r="L971" s="6">
        <v>0</v>
      </c>
      <c r="M971" s="7" t="s">
        <v>2179</v>
      </c>
      <c r="N971" s="8">
        <f>VLOOKUP(B971,'[1]новый без картинок'!$A$5:$F$2672,6,0)</f>
        <v>385</v>
      </c>
    </row>
    <row r="972" spans="1:14" ht="151.15" customHeight="1" x14ac:dyDescent="0.2">
      <c r="A972" s="3">
        <v>970</v>
      </c>
      <c r="B972" s="3">
        <v>149734</v>
      </c>
      <c r="C972" s="4" t="str">
        <f>HYPERLINK("http://optservis.net:5080/photo?tov_code_internet=149734","Увеличить")</f>
        <v>Увеличить</v>
      </c>
      <c r="D972" s="3" t="s">
        <v>2177</v>
      </c>
      <c r="E972" s="3"/>
      <c r="F972" s="3" t="s">
        <v>2181</v>
      </c>
      <c r="G972" s="3" t="s">
        <v>2182</v>
      </c>
      <c r="H972" s="3">
        <v>0.5</v>
      </c>
      <c r="I972" s="3">
        <v>0</v>
      </c>
      <c r="J972" s="3" t="s">
        <v>18</v>
      </c>
      <c r="K972" s="5">
        <v>0.06</v>
      </c>
      <c r="L972" s="6">
        <v>0</v>
      </c>
      <c r="M972" s="7" t="s">
        <v>2183</v>
      </c>
      <c r="N972" s="8">
        <f>VLOOKUP(B972,'[1]новый без картинок'!$A$5:$F$2672,6,0)</f>
        <v>408</v>
      </c>
    </row>
    <row r="973" spans="1:14" ht="151.15" customHeight="1" x14ac:dyDescent="0.2">
      <c r="A973" s="3">
        <v>971</v>
      </c>
      <c r="B973" s="3">
        <v>209026</v>
      </c>
      <c r="C973" s="4" t="str">
        <f>HYPERLINK("http://optservis.net:5080/photo?tov_code_internet=209026","Увеличить")</f>
        <v>Увеличить</v>
      </c>
      <c r="D973" s="3" t="s">
        <v>2177</v>
      </c>
      <c r="E973" s="3"/>
      <c r="F973" s="3" t="s">
        <v>2184</v>
      </c>
      <c r="G973" s="3" t="s">
        <v>1469</v>
      </c>
      <c r="H973" s="3">
        <v>0.5</v>
      </c>
      <c r="I973" s="3">
        <v>0</v>
      </c>
      <c r="J973" s="3" t="s">
        <v>18</v>
      </c>
      <c r="K973" s="5">
        <v>0.06</v>
      </c>
      <c r="L973" s="6">
        <v>0</v>
      </c>
      <c r="M973" s="7" t="s">
        <v>2179</v>
      </c>
      <c r="N973" s="8">
        <f>VLOOKUP(B973,'[1]новый без картинок'!$A$5:$F$2672,6,0)</f>
        <v>382</v>
      </c>
    </row>
    <row r="974" spans="1:14" ht="151.15" customHeight="1" x14ac:dyDescent="0.2">
      <c r="A974" s="3">
        <v>972</v>
      </c>
      <c r="B974" s="3">
        <v>167724</v>
      </c>
      <c r="C974" s="4" t="str">
        <f>HYPERLINK("http://optservis.net:5080/photo?tov_code_internet=167724","Увеличить")</f>
        <v>Увеличить</v>
      </c>
      <c r="D974" s="3" t="s">
        <v>2177</v>
      </c>
      <c r="E974" s="3" t="s">
        <v>2185</v>
      </c>
      <c r="F974" s="3" t="s">
        <v>2186</v>
      </c>
      <c r="G974" s="3" t="s">
        <v>1469</v>
      </c>
      <c r="H974" s="3">
        <v>0.5</v>
      </c>
      <c r="I974" s="3">
        <v>0</v>
      </c>
      <c r="J974" s="3" t="s">
        <v>18</v>
      </c>
      <c r="K974" s="5">
        <v>0.06</v>
      </c>
      <c r="L974" s="6">
        <v>4690654012021</v>
      </c>
      <c r="M974" s="7" t="s">
        <v>2183</v>
      </c>
      <c r="N974" s="8">
        <f>VLOOKUP(B974,'[1]новый без картинок'!$A$5:$F$2672,6,0)</f>
        <v>372</v>
      </c>
    </row>
    <row r="975" spans="1:14" ht="151.15" customHeight="1" x14ac:dyDescent="0.2">
      <c r="A975" s="3">
        <v>973</v>
      </c>
      <c r="B975" s="3">
        <v>179987</v>
      </c>
      <c r="C975" s="4" t="str">
        <f>HYPERLINK("http://optservis.net:5080/photo?tov_code_internet=179987","Увеличить")</f>
        <v>Увеличить</v>
      </c>
      <c r="D975" s="3" t="s">
        <v>2177</v>
      </c>
      <c r="E975" s="3" t="s">
        <v>2185</v>
      </c>
      <c r="F975" s="3" t="s">
        <v>2187</v>
      </c>
      <c r="G975" s="3" t="s">
        <v>1469</v>
      </c>
      <c r="H975" s="3">
        <v>0.5</v>
      </c>
      <c r="I975" s="3">
        <v>0</v>
      </c>
      <c r="J975" s="3" t="s">
        <v>18</v>
      </c>
      <c r="K975" s="5">
        <v>0.06</v>
      </c>
      <c r="L975" s="6">
        <v>4690654011031</v>
      </c>
      <c r="M975" s="7" t="s">
        <v>2188</v>
      </c>
      <c r="N975" s="8">
        <f>VLOOKUP(B975,'[1]новый без картинок'!$A$5:$F$2672,6,0)</f>
        <v>382</v>
      </c>
    </row>
    <row r="976" spans="1:14" ht="151.15" customHeight="1" x14ac:dyDescent="0.2">
      <c r="A976" s="3">
        <v>974</v>
      </c>
      <c r="B976" s="3">
        <v>179969</v>
      </c>
      <c r="C976" s="4" t="str">
        <f>HYPERLINK("http://optservis.net:5080/photo?tov_code_internet=179969","Увеличить")</f>
        <v>Увеличить</v>
      </c>
      <c r="D976" s="3" t="s">
        <v>2177</v>
      </c>
      <c r="E976" s="3" t="s">
        <v>2185</v>
      </c>
      <c r="F976" s="3" t="s">
        <v>2189</v>
      </c>
      <c r="G976" s="3" t="s">
        <v>1469</v>
      </c>
      <c r="H976" s="3">
        <v>0.5</v>
      </c>
      <c r="I976" s="3">
        <v>0</v>
      </c>
      <c r="J976" s="3" t="s">
        <v>18</v>
      </c>
      <c r="K976" s="5">
        <v>0.06</v>
      </c>
      <c r="L976" s="6">
        <v>4690654011048</v>
      </c>
      <c r="M976" s="7" t="s">
        <v>2188</v>
      </c>
      <c r="N976" s="8">
        <f>VLOOKUP(B976,'[1]новый без картинок'!$A$5:$F$2672,6,0)</f>
        <v>385</v>
      </c>
    </row>
    <row r="977" spans="1:14" ht="151.15" customHeight="1" x14ac:dyDescent="0.2">
      <c r="A977" s="3">
        <v>975</v>
      </c>
      <c r="B977" s="3">
        <v>209027</v>
      </c>
      <c r="C977" s="4" t="str">
        <f>HYPERLINK("http://optservis.net:5080/photo?tov_code_internet=209027","Увеличить")</f>
        <v>Увеличить</v>
      </c>
      <c r="D977" s="3" t="s">
        <v>2177</v>
      </c>
      <c r="E977" s="3" t="s">
        <v>2185</v>
      </c>
      <c r="F977" s="3" t="s">
        <v>2190</v>
      </c>
      <c r="G977" s="3" t="s">
        <v>1469</v>
      </c>
      <c r="H977" s="3">
        <v>0.5</v>
      </c>
      <c r="I977" s="3">
        <v>0</v>
      </c>
      <c r="J977" s="3" t="s">
        <v>18</v>
      </c>
      <c r="K977" s="5">
        <v>0.06</v>
      </c>
      <c r="L977" s="6">
        <v>4690654020552</v>
      </c>
      <c r="M977" s="7" t="s">
        <v>2179</v>
      </c>
      <c r="N977" s="8">
        <f>VLOOKUP(B977,'[1]новый без картинок'!$A$5:$F$2672,6,0)</f>
        <v>372</v>
      </c>
    </row>
    <row r="978" spans="1:14" ht="151.15" customHeight="1" x14ac:dyDescent="0.2">
      <c r="A978" s="3">
        <v>976</v>
      </c>
      <c r="B978" s="3">
        <v>173241</v>
      </c>
      <c r="C978" s="4" t="str">
        <f>HYPERLINK("http://optservis.net:5080/photo?tov_code_internet=173241","Увеличить")</f>
        <v>Увеличить</v>
      </c>
      <c r="D978" s="3" t="s">
        <v>2177</v>
      </c>
      <c r="E978" s="3" t="s">
        <v>2185</v>
      </c>
      <c r="F978" s="3" t="s">
        <v>2191</v>
      </c>
      <c r="G978" s="3" t="s">
        <v>1469</v>
      </c>
      <c r="H978" s="3">
        <v>0.5</v>
      </c>
      <c r="I978" s="3">
        <v>0</v>
      </c>
      <c r="J978" s="3" t="s">
        <v>18</v>
      </c>
      <c r="K978" s="5">
        <v>0.06</v>
      </c>
      <c r="L978" s="6">
        <v>4690654011055</v>
      </c>
      <c r="M978" s="7" t="s">
        <v>2192</v>
      </c>
      <c r="N978" s="8">
        <f>VLOOKUP(B978,'[1]новый без картинок'!$A$5:$F$2672,6,0)</f>
        <v>371</v>
      </c>
    </row>
    <row r="979" spans="1:14" ht="151.15" customHeight="1" x14ac:dyDescent="0.2">
      <c r="A979" s="3">
        <v>977</v>
      </c>
      <c r="B979" s="3">
        <v>180402</v>
      </c>
      <c r="C979" s="4" t="str">
        <f>HYPERLINK("http://optservis.net:5080/photo?tov_code_internet=180402","Увеличить")</f>
        <v>Увеличить</v>
      </c>
      <c r="D979" s="3" t="s">
        <v>2177</v>
      </c>
      <c r="E979" s="3" t="s">
        <v>2185</v>
      </c>
      <c r="F979" s="3" t="s">
        <v>2193</v>
      </c>
      <c r="G979" s="3" t="s">
        <v>1469</v>
      </c>
      <c r="H979" s="3">
        <v>0.5</v>
      </c>
      <c r="I979" s="3">
        <v>0</v>
      </c>
      <c r="J979" s="3" t="s">
        <v>18</v>
      </c>
      <c r="K979" s="5">
        <v>0.06</v>
      </c>
      <c r="L979" s="6">
        <v>4690654012038</v>
      </c>
      <c r="M979" s="7" t="s">
        <v>2192</v>
      </c>
      <c r="N979" s="8">
        <f>VLOOKUP(B979,'[1]новый без картинок'!$A$5:$F$2672,6,0)</f>
        <v>378</v>
      </c>
    </row>
    <row r="980" spans="1:14" ht="151.15" customHeight="1" x14ac:dyDescent="0.2">
      <c r="A980" s="3">
        <v>978</v>
      </c>
      <c r="B980" s="3">
        <v>209699</v>
      </c>
      <c r="C980" s="4" t="str">
        <f>HYPERLINK("http://optservis.net:5080/photo?tov_code_internet=209699","Увеличить")</f>
        <v>Увеличить</v>
      </c>
      <c r="D980" s="3" t="s">
        <v>2194</v>
      </c>
      <c r="E980" s="3"/>
      <c r="F980" s="3" t="s">
        <v>2130</v>
      </c>
      <c r="G980" s="3" t="s">
        <v>430</v>
      </c>
      <c r="H980" s="3">
        <v>0.5</v>
      </c>
      <c r="I980" s="3">
        <v>0</v>
      </c>
      <c r="J980" s="3" t="s">
        <v>18</v>
      </c>
      <c r="K980" s="5">
        <v>0.08</v>
      </c>
      <c r="L980" s="6">
        <v>0</v>
      </c>
      <c r="M980" s="7" t="s">
        <v>2195</v>
      </c>
      <c r="N980" s="8">
        <f>VLOOKUP(B980,'[1]новый без картинок'!$A$5:$F$2672,6,0)</f>
        <v>282</v>
      </c>
    </row>
    <row r="981" spans="1:14" ht="151.15" customHeight="1" x14ac:dyDescent="0.2">
      <c r="A981" s="3">
        <v>979</v>
      </c>
      <c r="B981" s="3">
        <v>208653</v>
      </c>
      <c r="C981" s="4" t="str">
        <f>HYPERLINK("http://optservis.net:5080/photo?tov_code_internet=208653","Увеличить")</f>
        <v>Увеличить</v>
      </c>
      <c r="D981" s="3" t="s">
        <v>2194</v>
      </c>
      <c r="E981" s="3"/>
      <c r="F981" s="3" t="s">
        <v>2139</v>
      </c>
      <c r="G981" s="3" t="s">
        <v>430</v>
      </c>
      <c r="H981" s="3">
        <v>0.5</v>
      </c>
      <c r="I981" s="3">
        <v>0</v>
      </c>
      <c r="J981" s="3" t="s">
        <v>18</v>
      </c>
      <c r="K981" s="5">
        <v>0.08</v>
      </c>
      <c r="L981" s="6">
        <v>0</v>
      </c>
      <c r="M981" s="7" t="s">
        <v>2195</v>
      </c>
      <c r="N981" s="8">
        <f>VLOOKUP(B981,'[1]новый без картинок'!$A$5:$F$2672,6,0)</f>
        <v>289</v>
      </c>
    </row>
    <row r="982" spans="1:14" ht="151.15" customHeight="1" x14ac:dyDescent="0.2">
      <c r="A982" s="3">
        <v>980</v>
      </c>
      <c r="B982" s="3">
        <v>208920</v>
      </c>
      <c r="C982" s="4" t="str">
        <f>HYPERLINK("http://optservis.net:5080/photo?tov_code_internet=208920","Увеличить")</f>
        <v>Увеличить</v>
      </c>
      <c r="D982" s="3" t="s">
        <v>2194</v>
      </c>
      <c r="E982" s="3"/>
      <c r="F982" s="3" t="s">
        <v>2134</v>
      </c>
      <c r="G982" s="3" t="s">
        <v>430</v>
      </c>
      <c r="H982" s="3">
        <v>0.5</v>
      </c>
      <c r="I982" s="3">
        <v>0</v>
      </c>
      <c r="J982" s="3" t="s">
        <v>18</v>
      </c>
      <c r="K982" s="5">
        <v>0.08</v>
      </c>
      <c r="L982" s="6">
        <v>0</v>
      </c>
      <c r="M982" s="7" t="s">
        <v>2195</v>
      </c>
      <c r="N982" s="8">
        <f>VLOOKUP(B982,'[1]новый без картинок'!$A$5:$F$2672,6,0)</f>
        <v>278</v>
      </c>
    </row>
    <row r="983" spans="1:14" ht="151.15" customHeight="1" x14ac:dyDescent="0.2">
      <c r="A983" s="3">
        <v>981</v>
      </c>
      <c r="B983" s="3">
        <v>208654</v>
      </c>
      <c r="C983" s="4" t="str">
        <f>HYPERLINK("http://optservis.net:5080/photo?tov_code_internet=208654","Увеличить")</f>
        <v>Увеличить</v>
      </c>
      <c r="D983" s="3" t="s">
        <v>2194</v>
      </c>
      <c r="E983" s="3"/>
      <c r="F983" s="3" t="s">
        <v>2196</v>
      </c>
      <c r="G983" s="3" t="s">
        <v>430</v>
      </c>
      <c r="H983" s="3">
        <v>0.5</v>
      </c>
      <c r="I983" s="3">
        <v>0</v>
      </c>
      <c r="J983" s="3" t="s">
        <v>18</v>
      </c>
      <c r="K983" s="5">
        <v>0.08</v>
      </c>
      <c r="L983" s="6">
        <v>0</v>
      </c>
      <c r="M983" s="7" t="s">
        <v>2195</v>
      </c>
      <c r="N983" s="8">
        <f>VLOOKUP(B983,'[1]новый без картинок'!$A$5:$F$2672,6,0)</f>
        <v>286</v>
      </c>
    </row>
    <row r="984" spans="1:14" ht="151.15" customHeight="1" x14ac:dyDescent="0.2">
      <c r="A984" s="3">
        <v>982</v>
      </c>
      <c r="B984" s="3">
        <v>149730</v>
      </c>
      <c r="C984" s="4" t="str">
        <f>HYPERLINK("http://optservis.net:5080/photo?tov_code_internet=149730","Увеличить")</f>
        <v>Увеличить</v>
      </c>
      <c r="D984" s="3" t="s">
        <v>2194</v>
      </c>
      <c r="E984" s="3" t="s">
        <v>2197</v>
      </c>
      <c r="F984" s="3" t="s">
        <v>2172</v>
      </c>
      <c r="G984" s="3" t="s">
        <v>430</v>
      </c>
      <c r="H984" s="3">
        <v>0.5</v>
      </c>
      <c r="I984" s="3">
        <v>0</v>
      </c>
      <c r="J984" s="3" t="s">
        <v>18</v>
      </c>
      <c r="K984" s="5">
        <v>0.08</v>
      </c>
      <c r="L984" s="6">
        <v>4690654012045</v>
      </c>
      <c r="M984" s="7" t="s">
        <v>2198</v>
      </c>
      <c r="N984" s="8">
        <f>VLOOKUP(B984,'[1]новый без картинок'!$A$5:$F$2672,6,0)</f>
        <v>278</v>
      </c>
    </row>
    <row r="985" spans="1:14" ht="151.15" customHeight="1" x14ac:dyDescent="0.2">
      <c r="A985" s="3">
        <v>983</v>
      </c>
      <c r="B985" s="3">
        <v>209700</v>
      </c>
      <c r="C985" s="4" t="str">
        <f>HYPERLINK("http://optservis.net:5080/photo?tov_code_internet=209700","Увеличить")</f>
        <v>Увеличить</v>
      </c>
      <c r="D985" s="3" t="s">
        <v>2199</v>
      </c>
      <c r="E985" s="3"/>
      <c r="F985" s="3" t="s">
        <v>2200</v>
      </c>
      <c r="G985" s="3" t="s">
        <v>1479</v>
      </c>
      <c r="H985" s="3">
        <v>0.5</v>
      </c>
      <c r="I985" s="3">
        <v>0</v>
      </c>
      <c r="J985" s="3" t="s">
        <v>18</v>
      </c>
      <c r="K985" s="5">
        <v>0.05</v>
      </c>
      <c r="L985" s="6">
        <v>0</v>
      </c>
      <c r="M985" s="7" t="s">
        <v>2201</v>
      </c>
      <c r="N985" s="8">
        <f>VLOOKUP(B985,'[1]новый без картинок'!$A$5:$F$2672,6,0)</f>
        <v>391</v>
      </c>
    </row>
    <row r="986" spans="1:14" ht="151.15" customHeight="1" x14ac:dyDescent="0.2">
      <c r="A986" s="3">
        <v>984</v>
      </c>
      <c r="B986" s="3">
        <v>209028</v>
      </c>
      <c r="C986" s="4" t="str">
        <f>HYPERLINK("http://optservis.net:5080/photo?tov_code_internet=209028","Увеличить")</f>
        <v>Увеличить</v>
      </c>
      <c r="D986" s="3" t="s">
        <v>2199</v>
      </c>
      <c r="E986" s="3"/>
      <c r="F986" s="3" t="s">
        <v>2202</v>
      </c>
      <c r="G986" s="3" t="s">
        <v>1479</v>
      </c>
      <c r="H986" s="3">
        <v>0.5</v>
      </c>
      <c r="I986" s="3">
        <v>0</v>
      </c>
      <c r="J986" s="3" t="s">
        <v>18</v>
      </c>
      <c r="K986" s="5">
        <v>0.04</v>
      </c>
      <c r="L986" s="6">
        <v>0</v>
      </c>
      <c r="M986" s="7" t="s">
        <v>2201</v>
      </c>
      <c r="N986" s="8">
        <f>VLOOKUP(B986,'[1]новый без картинок'!$A$5:$F$2672,6,0)</f>
        <v>389</v>
      </c>
    </row>
    <row r="987" spans="1:14" ht="151.15" customHeight="1" x14ac:dyDescent="0.2">
      <c r="A987" s="3">
        <v>985</v>
      </c>
      <c r="B987" s="3">
        <v>149735</v>
      </c>
      <c r="C987" s="4" t="str">
        <f>HYPERLINK("http://optservis.net:5080/photo?tov_code_internet=149735","Увеличить")</f>
        <v>Увеличить</v>
      </c>
      <c r="D987" s="3" t="s">
        <v>2199</v>
      </c>
      <c r="E987" s="3" t="s">
        <v>2203</v>
      </c>
      <c r="F987" s="3" t="s">
        <v>2204</v>
      </c>
      <c r="G987" s="3" t="s">
        <v>1479</v>
      </c>
      <c r="H987" s="3">
        <v>0.5</v>
      </c>
      <c r="I987" s="3">
        <v>0</v>
      </c>
      <c r="J987" s="3" t="s">
        <v>18</v>
      </c>
      <c r="K987" s="5">
        <v>0.04</v>
      </c>
      <c r="L987" s="6">
        <v>4690654014513</v>
      </c>
      <c r="M987" s="7" t="s">
        <v>2205</v>
      </c>
      <c r="N987" s="8">
        <f>VLOOKUP(B987,'[1]новый без картинок'!$A$5:$F$2672,6,0)</f>
        <v>389</v>
      </c>
    </row>
    <row r="988" spans="1:14" ht="151.15" customHeight="1" x14ac:dyDescent="0.2">
      <c r="A988" s="3">
        <v>986</v>
      </c>
      <c r="B988" s="3">
        <v>149736</v>
      </c>
      <c r="C988" s="4" t="str">
        <f>HYPERLINK("http://optservis.net:5080/photo?tov_code_internet=149736","Увеличить")</f>
        <v>Увеличить</v>
      </c>
      <c r="D988" s="3" t="s">
        <v>2206</v>
      </c>
      <c r="E988" s="3"/>
      <c r="F988" s="3" t="s">
        <v>2207</v>
      </c>
      <c r="G988" s="3" t="s">
        <v>1479</v>
      </c>
      <c r="H988" s="3">
        <v>0.5</v>
      </c>
      <c r="I988" s="3">
        <v>0</v>
      </c>
      <c r="J988" s="3" t="s">
        <v>18</v>
      </c>
      <c r="K988" s="5">
        <v>0.04</v>
      </c>
      <c r="L988" s="6">
        <v>0</v>
      </c>
      <c r="M988" s="7" t="s">
        <v>2208</v>
      </c>
      <c r="N988" s="8">
        <f>VLOOKUP(B988,'[1]новый без картинок'!$A$5:$F$2672,6,0)</f>
        <v>477</v>
      </c>
    </row>
    <row r="989" spans="1:14" ht="151.15" customHeight="1" x14ac:dyDescent="0.2">
      <c r="A989" s="3">
        <v>987</v>
      </c>
      <c r="B989" s="3">
        <v>179993</v>
      </c>
      <c r="C989" s="4" t="str">
        <f>HYPERLINK("http://optservis.net:5080/photo?tov_code_internet=179993","Увеличить")</f>
        <v>Увеличить</v>
      </c>
      <c r="D989" s="3" t="s">
        <v>2209</v>
      </c>
      <c r="E989" s="3" t="s">
        <v>2210</v>
      </c>
      <c r="F989" s="3" t="s">
        <v>2172</v>
      </c>
      <c r="G989" s="3" t="s">
        <v>430</v>
      </c>
      <c r="H989" s="3">
        <v>0.5</v>
      </c>
      <c r="I989" s="3">
        <v>0</v>
      </c>
      <c r="J989" s="3" t="s">
        <v>18</v>
      </c>
      <c r="K989" s="5">
        <v>0.08</v>
      </c>
      <c r="L989" s="6">
        <v>4690654018061</v>
      </c>
      <c r="M989" s="7" t="s">
        <v>2211</v>
      </c>
      <c r="N989" s="8">
        <f>VLOOKUP(B989,'[1]новый без картинок'!$A$5:$F$2672,6,0)</f>
        <v>289</v>
      </c>
    </row>
    <row r="990" spans="1:14" ht="151.15" customHeight="1" x14ac:dyDescent="0.2">
      <c r="A990" s="3">
        <v>988</v>
      </c>
      <c r="B990" s="3">
        <v>180450</v>
      </c>
      <c r="C990" s="4" t="str">
        <f>HYPERLINK("http://optservis.net:5080/photo?tov_code_internet=180450","Увеличить")</f>
        <v>Увеличить</v>
      </c>
      <c r="D990" s="3" t="s">
        <v>2209</v>
      </c>
      <c r="E990" s="3" t="s">
        <v>2210</v>
      </c>
      <c r="F990" s="3" t="s">
        <v>2212</v>
      </c>
      <c r="G990" s="3" t="s">
        <v>430</v>
      </c>
      <c r="H990" s="3">
        <v>0.5</v>
      </c>
      <c r="I990" s="3">
        <v>0</v>
      </c>
      <c r="J990" s="3" t="s">
        <v>18</v>
      </c>
      <c r="K990" s="5">
        <v>0.08</v>
      </c>
      <c r="L990" s="6">
        <v>4690654014971</v>
      </c>
      <c r="M990" s="7" t="s">
        <v>2211</v>
      </c>
      <c r="N990" s="8">
        <f>VLOOKUP(B990,'[1]новый без картинок'!$A$5:$F$2672,6,0)</f>
        <v>287</v>
      </c>
    </row>
    <row r="991" spans="1:14" ht="151.15" customHeight="1" x14ac:dyDescent="0.2">
      <c r="A991" s="3">
        <v>989</v>
      </c>
      <c r="B991" s="3">
        <v>209703</v>
      </c>
      <c r="C991" s="4" t="str">
        <f>HYPERLINK("http://optservis.net:5080/photo?tov_code_internet=209703","Увеличить")</f>
        <v>Увеличить</v>
      </c>
      <c r="D991" s="3" t="s">
        <v>2213</v>
      </c>
      <c r="E991" s="3"/>
      <c r="F991" s="3" t="s">
        <v>2214</v>
      </c>
      <c r="G991" s="3" t="s">
        <v>430</v>
      </c>
      <c r="H991" s="3">
        <v>0.5</v>
      </c>
      <c r="I991" s="3">
        <v>0</v>
      </c>
      <c r="J991" s="3" t="s">
        <v>18</v>
      </c>
      <c r="K991" s="5">
        <v>0.08</v>
      </c>
      <c r="L991" s="6">
        <v>0</v>
      </c>
      <c r="M991" s="7" t="s">
        <v>2215</v>
      </c>
      <c r="N991" s="8">
        <f>VLOOKUP(B991,'[1]новый без картинок'!$A$5:$F$2672,6,0)</f>
        <v>293</v>
      </c>
    </row>
    <row r="992" spans="1:14" ht="151.15" customHeight="1" x14ac:dyDescent="0.2">
      <c r="A992" s="3">
        <v>990</v>
      </c>
      <c r="B992" s="3">
        <v>209702</v>
      </c>
      <c r="C992" s="4" t="str">
        <f>HYPERLINK("http://optservis.net:5080/photo?tov_code_internet=209702","Увеличить")</f>
        <v>Увеличить</v>
      </c>
      <c r="D992" s="3" t="s">
        <v>2213</v>
      </c>
      <c r="E992" s="3"/>
      <c r="F992" s="3" t="s">
        <v>2216</v>
      </c>
      <c r="G992" s="3" t="s">
        <v>430</v>
      </c>
      <c r="H992" s="3">
        <v>0.5</v>
      </c>
      <c r="I992" s="3">
        <v>0</v>
      </c>
      <c r="J992" s="3" t="s">
        <v>18</v>
      </c>
      <c r="K992" s="5">
        <v>0.08</v>
      </c>
      <c r="L992" s="6">
        <v>0</v>
      </c>
      <c r="M992" s="7" t="s">
        <v>2217</v>
      </c>
      <c r="N992" s="8">
        <f>VLOOKUP(B992,'[1]новый без картинок'!$A$5:$F$2672,6,0)</f>
        <v>295</v>
      </c>
    </row>
    <row r="993" spans="1:14" ht="151.15" customHeight="1" x14ac:dyDescent="0.2">
      <c r="A993" s="3">
        <v>991</v>
      </c>
      <c r="B993" s="3">
        <v>199585</v>
      </c>
      <c r="C993" s="4" t="str">
        <f>HYPERLINK("http://optservis.net:5080/photo?tov_code_internet=199585","Увеличить")</f>
        <v>Увеличить</v>
      </c>
      <c r="D993" s="3" t="s">
        <v>2213</v>
      </c>
      <c r="E993" s="3"/>
      <c r="F993" s="3" t="s">
        <v>2218</v>
      </c>
      <c r="G993" s="3" t="s">
        <v>430</v>
      </c>
      <c r="H993" s="3">
        <v>0.5</v>
      </c>
      <c r="I993" s="3">
        <v>0</v>
      </c>
      <c r="J993" s="3" t="s">
        <v>18</v>
      </c>
      <c r="K993" s="5">
        <v>0.08</v>
      </c>
      <c r="L993" s="6">
        <v>0</v>
      </c>
      <c r="M993" s="7" t="s">
        <v>2219</v>
      </c>
      <c r="N993" s="8">
        <f>VLOOKUP(B993,'[1]новый без картинок'!$A$5:$F$2672,6,0)</f>
        <v>291</v>
      </c>
    </row>
    <row r="994" spans="1:14" ht="151.15" customHeight="1" x14ac:dyDescent="0.2">
      <c r="A994" s="3">
        <v>992</v>
      </c>
      <c r="B994" s="3">
        <v>209030</v>
      </c>
      <c r="C994" s="4" t="str">
        <f>HYPERLINK("http://optservis.net:5080/photo?tov_code_internet=209030","Увеличить")</f>
        <v>Увеличить</v>
      </c>
      <c r="D994" s="3" t="s">
        <v>2213</v>
      </c>
      <c r="E994" s="3" t="s">
        <v>2220</v>
      </c>
      <c r="F994" s="3" t="s">
        <v>2221</v>
      </c>
      <c r="G994" s="3" t="s">
        <v>430</v>
      </c>
      <c r="H994" s="3">
        <v>0.5</v>
      </c>
      <c r="I994" s="3">
        <v>0</v>
      </c>
      <c r="J994" s="3" t="s">
        <v>18</v>
      </c>
      <c r="K994" s="5">
        <v>0.08</v>
      </c>
      <c r="L994" s="6">
        <v>4690654020583</v>
      </c>
      <c r="M994" s="7" t="s">
        <v>2217</v>
      </c>
      <c r="N994" s="8">
        <f>VLOOKUP(B994,'[1]новый без картинок'!$A$5:$F$2672,6,0)</f>
        <v>291</v>
      </c>
    </row>
    <row r="995" spans="1:14" ht="151.15" customHeight="1" x14ac:dyDescent="0.2">
      <c r="A995" s="3">
        <v>993</v>
      </c>
      <c r="B995" s="3">
        <v>196664</v>
      </c>
      <c r="C995" s="4" t="str">
        <f>HYPERLINK("http://optservis.net:5080/photo?tov_code_internet=196664","Увеличить")</f>
        <v>Увеличить</v>
      </c>
      <c r="D995" s="3" t="s">
        <v>2222</v>
      </c>
      <c r="E995" s="3"/>
      <c r="F995" s="3" t="s">
        <v>2223</v>
      </c>
      <c r="G995" s="3" t="s">
        <v>430</v>
      </c>
      <c r="H995" s="3">
        <v>0.5</v>
      </c>
      <c r="I995" s="3">
        <v>0</v>
      </c>
      <c r="J995" s="3" t="s">
        <v>18</v>
      </c>
      <c r="K995" s="5">
        <v>0.08</v>
      </c>
      <c r="L995" s="6">
        <v>0</v>
      </c>
      <c r="M995" s="7" t="s">
        <v>2224</v>
      </c>
      <c r="N995" s="8">
        <f>VLOOKUP(B995,'[1]новый без картинок'!$A$5:$F$2672,6,0)</f>
        <v>345</v>
      </c>
    </row>
    <row r="996" spans="1:14" ht="151.15" customHeight="1" x14ac:dyDescent="0.2">
      <c r="A996" s="3">
        <v>994</v>
      </c>
      <c r="B996" s="3">
        <v>196665</v>
      </c>
      <c r="C996" s="4" t="str">
        <f>HYPERLINK("http://optservis.net:5080/photo?tov_code_internet=196665","Увеличить")</f>
        <v>Увеличить</v>
      </c>
      <c r="D996" s="3" t="s">
        <v>2222</v>
      </c>
      <c r="E996" s="3" t="s">
        <v>2225</v>
      </c>
      <c r="F996" s="3" t="s">
        <v>2226</v>
      </c>
      <c r="G996" s="3" t="s">
        <v>430</v>
      </c>
      <c r="H996" s="3">
        <v>0.5</v>
      </c>
      <c r="I996" s="3">
        <v>0</v>
      </c>
      <c r="J996" s="3" t="s">
        <v>18</v>
      </c>
      <c r="K996" s="5">
        <v>0.08</v>
      </c>
      <c r="L996" s="6">
        <v>4690654017460</v>
      </c>
      <c r="M996" s="7" t="s">
        <v>2224</v>
      </c>
      <c r="N996" s="8">
        <f>VLOOKUP(B996,'[1]новый без картинок'!$A$5:$F$2672,6,0)</f>
        <v>337</v>
      </c>
    </row>
    <row r="997" spans="1:14" ht="151.15" customHeight="1" x14ac:dyDescent="0.2">
      <c r="A997" s="3">
        <v>995</v>
      </c>
      <c r="B997" s="3">
        <v>188419</v>
      </c>
      <c r="C997" s="4" t="str">
        <f>HYPERLINK("http://optservis.net:5080/photo?tov_code_internet=188419","Увеличить")</f>
        <v>Увеличить</v>
      </c>
      <c r="D997" s="3" t="s">
        <v>2222</v>
      </c>
      <c r="E997" s="3" t="s">
        <v>2225</v>
      </c>
      <c r="F997" s="3" t="s">
        <v>2227</v>
      </c>
      <c r="G997" s="3" t="s">
        <v>430</v>
      </c>
      <c r="H997" s="3">
        <v>0.5</v>
      </c>
      <c r="I997" s="3">
        <v>0</v>
      </c>
      <c r="J997" s="3" t="s">
        <v>18</v>
      </c>
      <c r="K997" s="5">
        <v>0.08</v>
      </c>
      <c r="L997" s="6">
        <v>4690654015268</v>
      </c>
      <c r="M997" s="7" t="s">
        <v>2228</v>
      </c>
      <c r="N997" s="8">
        <f>VLOOKUP(B997,'[1]новый без картинок'!$A$5:$F$2672,6,0)</f>
        <v>334</v>
      </c>
    </row>
    <row r="998" spans="1:14" ht="151.15" customHeight="1" x14ac:dyDescent="0.2">
      <c r="A998" s="3">
        <v>996</v>
      </c>
      <c r="B998" s="3">
        <v>188420</v>
      </c>
      <c r="C998" s="4" t="str">
        <f>HYPERLINK("http://optservis.net:5080/photo?tov_code_internet=188420","Увеличить")</f>
        <v>Увеличить</v>
      </c>
      <c r="D998" s="3" t="s">
        <v>2229</v>
      </c>
      <c r="E998" s="3"/>
      <c r="F998" s="3" t="s">
        <v>2230</v>
      </c>
      <c r="G998" s="3" t="s">
        <v>430</v>
      </c>
      <c r="H998" s="3">
        <v>0.5</v>
      </c>
      <c r="I998" s="3">
        <v>0</v>
      </c>
      <c r="J998" s="3" t="s">
        <v>18</v>
      </c>
      <c r="K998" s="5">
        <v>0.1</v>
      </c>
      <c r="L998" s="6">
        <v>0</v>
      </c>
      <c r="M998" s="7" t="s">
        <v>2231</v>
      </c>
      <c r="N998" s="8">
        <f>VLOOKUP(B998,'[1]новый без картинок'!$A$5:$F$2672,6,0)</f>
        <v>404</v>
      </c>
    </row>
    <row r="999" spans="1:14" ht="151.15" customHeight="1" x14ac:dyDescent="0.2">
      <c r="A999" s="3">
        <v>997</v>
      </c>
      <c r="B999" s="3">
        <v>196660</v>
      </c>
      <c r="C999" s="4" t="str">
        <f>HYPERLINK("http://optservis.net:5080/photo?tov_code_internet=196660","Увеличить")</f>
        <v>Увеличить</v>
      </c>
      <c r="D999" s="3" t="s">
        <v>2232</v>
      </c>
      <c r="E999" s="3"/>
      <c r="F999" s="3" t="s">
        <v>2223</v>
      </c>
      <c r="G999" s="3" t="s">
        <v>430</v>
      </c>
      <c r="H999" s="3">
        <v>0.5</v>
      </c>
      <c r="I999" s="3">
        <v>0</v>
      </c>
      <c r="J999" s="3" t="s">
        <v>18</v>
      </c>
      <c r="K999" s="5">
        <v>0.08</v>
      </c>
      <c r="L999" s="6">
        <v>0</v>
      </c>
      <c r="M999" s="7" t="s">
        <v>2233</v>
      </c>
      <c r="N999" s="8">
        <f>VLOOKUP(B999,'[1]новый без картинок'!$A$5:$F$2672,6,0)</f>
        <v>348</v>
      </c>
    </row>
    <row r="1000" spans="1:14" ht="151.15" customHeight="1" x14ac:dyDescent="0.2">
      <c r="A1000" s="3">
        <v>998</v>
      </c>
      <c r="B1000" s="3">
        <v>196661</v>
      </c>
      <c r="C1000" s="4" t="str">
        <f>HYPERLINK("http://optservis.net:5080/photo?tov_code_internet=196661","Увеличить")</f>
        <v>Увеличить</v>
      </c>
      <c r="D1000" s="3" t="s">
        <v>2232</v>
      </c>
      <c r="E1000" s="3"/>
      <c r="F1000" s="3" t="s">
        <v>2226</v>
      </c>
      <c r="G1000" s="3" t="s">
        <v>430</v>
      </c>
      <c r="H1000" s="3">
        <v>0.5</v>
      </c>
      <c r="I1000" s="3">
        <v>0</v>
      </c>
      <c r="J1000" s="3" t="s">
        <v>18</v>
      </c>
      <c r="K1000" s="5">
        <v>0.08</v>
      </c>
      <c r="L1000" s="6">
        <v>0</v>
      </c>
      <c r="M1000" s="7" t="s">
        <v>2233</v>
      </c>
      <c r="N1000" s="8">
        <f>VLOOKUP(B1000,'[1]новый без картинок'!$A$5:$F$2672,6,0)</f>
        <v>343</v>
      </c>
    </row>
    <row r="1001" spans="1:14" ht="151.15" customHeight="1" x14ac:dyDescent="0.2">
      <c r="A1001" s="3">
        <v>999</v>
      </c>
      <c r="B1001" s="3">
        <v>188421</v>
      </c>
      <c r="C1001" s="4" t="str">
        <f>HYPERLINK("http://optservis.net:5080/photo?tov_code_internet=188421","Увеличить")</f>
        <v>Увеличить</v>
      </c>
      <c r="D1001" s="3" t="s">
        <v>2234</v>
      </c>
      <c r="E1001" s="3"/>
      <c r="F1001" s="3" t="s">
        <v>2134</v>
      </c>
      <c r="G1001" s="3" t="s">
        <v>430</v>
      </c>
      <c r="H1001" s="3">
        <v>0.5</v>
      </c>
      <c r="I1001" s="3">
        <v>0</v>
      </c>
      <c r="J1001" s="3" t="s">
        <v>18</v>
      </c>
      <c r="K1001" s="5">
        <v>0.1</v>
      </c>
      <c r="L1001" s="6">
        <v>0</v>
      </c>
      <c r="M1001" s="7" t="s">
        <v>2235</v>
      </c>
      <c r="N1001" s="8">
        <f>VLOOKUP(B1001,'[1]новый без картинок'!$A$5:$F$2672,6,0)</f>
        <v>426</v>
      </c>
    </row>
    <row r="1002" spans="1:14" ht="151.15" customHeight="1" x14ac:dyDescent="0.2">
      <c r="A1002" s="3">
        <v>1000</v>
      </c>
      <c r="B1002" s="3">
        <v>196666</v>
      </c>
      <c r="C1002" s="4" t="str">
        <f>HYPERLINK("http://optservis.net:5080/photo?tov_code_internet=196666","Увеличить")</f>
        <v>Увеличить</v>
      </c>
      <c r="D1002" s="3" t="s">
        <v>2236</v>
      </c>
      <c r="E1002" s="3"/>
      <c r="F1002" s="3" t="s">
        <v>2226</v>
      </c>
      <c r="G1002" s="3" t="s">
        <v>430</v>
      </c>
      <c r="H1002" s="3">
        <v>0.5</v>
      </c>
      <c r="I1002" s="3">
        <v>0</v>
      </c>
      <c r="J1002" s="3" t="s">
        <v>18</v>
      </c>
      <c r="K1002" s="5">
        <v>0.08</v>
      </c>
      <c r="L1002" s="6">
        <v>0</v>
      </c>
      <c r="M1002" s="7" t="s">
        <v>2224</v>
      </c>
      <c r="N1002" s="8">
        <f>VLOOKUP(B1002,'[1]новый без картинок'!$A$5:$F$2672,6,0)</f>
        <v>391</v>
      </c>
    </row>
    <row r="1003" spans="1:14" ht="151.15" customHeight="1" x14ac:dyDescent="0.2">
      <c r="A1003" s="3">
        <v>1001</v>
      </c>
      <c r="B1003" s="3">
        <v>187900</v>
      </c>
      <c r="C1003" s="4" t="str">
        <f>HYPERLINK("http://optservis.net:5080/photo?tov_code_internet=187900","Увеличить")</f>
        <v>Увеличить</v>
      </c>
      <c r="D1003" s="3" t="s">
        <v>2237</v>
      </c>
      <c r="E1003" s="3"/>
      <c r="F1003" s="3" t="s">
        <v>2147</v>
      </c>
      <c r="G1003" s="3" t="s">
        <v>1479</v>
      </c>
      <c r="H1003" s="3">
        <v>0.5</v>
      </c>
      <c r="I1003" s="3">
        <v>0</v>
      </c>
      <c r="J1003" s="3" t="s">
        <v>18</v>
      </c>
      <c r="K1003" s="5">
        <v>7.0000000000000007E-2</v>
      </c>
      <c r="L1003" s="6">
        <v>0</v>
      </c>
      <c r="M1003" s="7" t="s">
        <v>2238</v>
      </c>
      <c r="N1003" s="8">
        <f>VLOOKUP(B1003,'[1]новый без картинок'!$A$5:$F$2672,6,0)</f>
        <v>527</v>
      </c>
    </row>
    <row r="1004" spans="1:14" ht="151.15" customHeight="1" x14ac:dyDescent="0.2">
      <c r="A1004" s="3">
        <v>1002</v>
      </c>
      <c r="B1004" s="3">
        <v>210794</v>
      </c>
      <c r="C1004" s="4" t="str">
        <f>HYPERLINK("http://optservis.net:5080/photo?tov_code_internet=210794","Увеличить")</f>
        <v>Увеличить</v>
      </c>
      <c r="D1004" s="3" t="s">
        <v>2239</v>
      </c>
      <c r="E1004" s="3"/>
      <c r="F1004" s="3" t="s">
        <v>2240</v>
      </c>
      <c r="G1004" s="3" t="s">
        <v>430</v>
      </c>
      <c r="H1004" s="3">
        <v>0.5</v>
      </c>
      <c r="I1004" s="3">
        <v>0</v>
      </c>
      <c r="J1004" s="3" t="s">
        <v>18</v>
      </c>
      <c r="K1004" s="5">
        <v>0.06</v>
      </c>
      <c r="L1004" s="6">
        <v>0</v>
      </c>
      <c r="M1004" s="7" t="s">
        <v>2241</v>
      </c>
      <c r="N1004" s="8">
        <f>VLOOKUP(B1004,'[1]новый без картинок'!$A$5:$F$2672,6,0)</f>
        <v>408</v>
      </c>
    </row>
    <row r="1005" spans="1:14" ht="151.15" customHeight="1" x14ac:dyDescent="0.2">
      <c r="A1005" s="3">
        <v>1003</v>
      </c>
      <c r="B1005" s="3">
        <v>210795</v>
      </c>
      <c r="C1005" s="4" t="str">
        <f>HYPERLINK("http://optservis.net:5080/photo?tov_code_internet=210795","Увеличить")</f>
        <v>Увеличить</v>
      </c>
      <c r="D1005" s="3" t="s">
        <v>2239</v>
      </c>
      <c r="E1005" s="3"/>
      <c r="F1005" s="3" t="s">
        <v>2242</v>
      </c>
      <c r="G1005" s="3" t="s">
        <v>430</v>
      </c>
      <c r="H1005" s="3">
        <v>0.5</v>
      </c>
      <c r="I1005" s="3">
        <v>0</v>
      </c>
      <c r="J1005" s="3" t="s">
        <v>18</v>
      </c>
      <c r="K1005" s="5">
        <v>0.06</v>
      </c>
      <c r="L1005" s="6">
        <v>0</v>
      </c>
      <c r="M1005" s="7" t="s">
        <v>2241</v>
      </c>
      <c r="N1005" s="8">
        <f>VLOOKUP(B1005,'[1]новый без картинок'!$A$5:$F$2672,6,0)</f>
        <v>404</v>
      </c>
    </row>
    <row r="1006" spans="1:14" ht="151.15" customHeight="1" x14ac:dyDescent="0.2">
      <c r="A1006" s="3">
        <v>1004</v>
      </c>
      <c r="B1006" s="3">
        <v>210808</v>
      </c>
      <c r="C1006" s="4" t="str">
        <f>HYPERLINK("http://optservis.net:5080/photo?tov_code_internet=210808","Увеличить")</f>
        <v>Увеличить</v>
      </c>
      <c r="D1006" s="3" t="s">
        <v>2239</v>
      </c>
      <c r="E1006" s="3" t="s">
        <v>2243</v>
      </c>
      <c r="F1006" s="3" t="s">
        <v>2244</v>
      </c>
      <c r="G1006" s="3" t="s">
        <v>430</v>
      </c>
      <c r="H1006" s="3">
        <v>0.5</v>
      </c>
      <c r="I1006" s="3">
        <v>0</v>
      </c>
      <c r="J1006" s="3" t="s">
        <v>18</v>
      </c>
      <c r="K1006" s="5">
        <v>0.06</v>
      </c>
      <c r="L1006" s="6">
        <v>4690654019747</v>
      </c>
      <c r="M1006" s="7" t="s">
        <v>2245</v>
      </c>
      <c r="N1006" s="8">
        <f>VLOOKUP(B1006,'[1]новый без картинок'!$A$5:$F$2672,6,0)</f>
        <v>343</v>
      </c>
    </row>
    <row r="1007" spans="1:14" ht="151.15" customHeight="1" x14ac:dyDescent="0.2">
      <c r="A1007" s="3">
        <v>1005</v>
      </c>
      <c r="B1007" s="3">
        <v>196654</v>
      </c>
      <c r="C1007" s="4" t="str">
        <f>HYPERLINK("http://optservis.net:5080/photo?tov_code_internet=196654","Увеличить")</f>
        <v>Увеличить</v>
      </c>
      <c r="D1007" s="3" t="s">
        <v>2246</v>
      </c>
      <c r="E1007" s="3"/>
      <c r="F1007" s="3" t="s">
        <v>2247</v>
      </c>
      <c r="G1007" s="3" t="s">
        <v>430</v>
      </c>
      <c r="H1007" s="3">
        <v>0.5</v>
      </c>
      <c r="I1007" s="3">
        <v>0</v>
      </c>
      <c r="J1007" s="3" t="s">
        <v>18</v>
      </c>
      <c r="K1007" s="5">
        <v>0.08</v>
      </c>
      <c r="L1007" s="6">
        <v>0</v>
      </c>
      <c r="M1007" s="7" t="s">
        <v>2248</v>
      </c>
      <c r="N1007" s="8">
        <f>VLOOKUP(B1007,'[1]новый без картинок'!$A$5:$F$2672,6,0)</f>
        <v>326</v>
      </c>
    </row>
    <row r="1008" spans="1:14" ht="151.15" customHeight="1" x14ac:dyDescent="0.2">
      <c r="A1008" s="3">
        <v>1006</v>
      </c>
      <c r="B1008" s="3">
        <v>196656</v>
      </c>
      <c r="C1008" s="4" t="str">
        <f>HYPERLINK("http://optservis.net:5080/photo?tov_code_internet=196656","Увеличить")</f>
        <v>Увеличить</v>
      </c>
      <c r="D1008" s="3" t="s">
        <v>2246</v>
      </c>
      <c r="E1008" s="3"/>
      <c r="F1008" s="3" t="s">
        <v>2223</v>
      </c>
      <c r="G1008" s="3" t="s">
        <v>430</v>
      </c>
      <c r="H1008" s="3">
        <v>0.5</v>
      </c>
      <c r="I1008" s="3">
        <v>0</v>
      </c>
      <c r="J1008" s="3" t="s">
        <v>18</v>
      </c>
      <c r="K1008" s="5">
        <v>0.08</v>
      </c>
      <c r="L1008" s="6">
        <v>0</v>
      </c>
      <c r="M1008" s="7" t="s">
        <v>2248</v>
      </c>
      <c r="N1008" s="8">
        <f>VLOOKUP(B1008,'[1]новый без картинок'!$A$5:$F$2672,6,0)</f>
        <v>334</v>
      </c>
    </row>
    <row r="1009" spans="1:14" ht="151.15" customHeight="1" x14ac:dyDescent="0.2">
      <c r="A1009" s="3">
        <v>1007</v>
      </c>
      <c r="B1009" s="3">
        <v>196655</v>
      </c>
      <c r="C1009" s="4" t="str">
        <f>HYPERLINK("http://optservis.net:5080/photo?tov_code_internet=196655","Увеличить")</f>
        <v>Увеличить</v>
      </c>
      <c r="D1009" s="3" t="s">
        <v>2246</v>
      </c>
      <c r="E1009" s="3"/>
      <c r="F1009" s="3" t="s">
        <v>2249</v>
      </c>
      <c r="G1009" s="3" t="s">
        <v>430</v>
      </c>
      <c r="H1009" s="3">
        <v>0.5</v>
      </c>
      <c r="I1009" s="3">
        <v>0</v>
      </c>
      <c r="J1009" s="3" t="s">
        <v>18</v>
      </c>
      <c r="K1009" s="5">
        <v>0.09</v>
      </c>
      <c r="L1009" s="6">
        <v>0</v>
      </c>
      <c r="M1009" s="7" t="s">
        <v>2248</v>
      </c>
      <c r="N1009" s="8">
        <f>VLOOKUP(B1009,'[1]новый без картинок'!$A$5:$F$2672,6,0)</f>
        <v>329</v>
      </c>
    </row>
    <row r="1010" spans="1:14" ht="151.15" customHeight="1" x14ac:dyDescent="0.2">
      <c r="A1010" s="3">
        <v>1008</v>
      </c>
      <c r="B1010" s="3">
        <v>188414</v>
      </c>
      <c r="C1010" s="4" t="str">
        <f>HYPERLINK("http://optservis.net:5080/photo?tov_code_internet=188414","Увеличить")</f>
        <v>Увеличить</v>
      </c>
      <c r="D1010" s="3" t="s">
        <v>2246</v>
      </c>
      <c r="E1010" s="3"/>
      <c r="F1010" s="3" t="s">
        <v>2134</v>
      </c>
      <c r="G1010" s="3" t="s">
        <v>430</v>
      </c>
      <c r="H1010" s="3">
        <v>0.5</v>
      </c>
      <c r="I1010" s="3">
        <v>0</v>
      </c>
      <c r="J1010" s="3" t="s">
        <v>18</v>
      </c>
      <c r="K1010" s="5">
        <v>0.08</v>
      </c>
      <c r="L1010" s="6">
        <v>0</v>
      </c>
      <c r="M1010" s="7" t="s">
        <v>2250</v>
      </c>
      <c r="N1010" s="8">
        <f>VLOOKUP(B1010,'[1]новый без картинок'!$A$5:$F$2672,6,0)</f>
        <v>324</v>
      </c>
    </row>
    <row r="1011" spans="1:14" ht="151.15" customHeight="1" x14ac:dyDescent="0.2">
      <c r="A1011" s="3">
        <v>1009</v>
      </c>
      <c r="B1011" s="3">
        <v>188413</v>
      </c>
      <c r="C1011" s="4" t="str">
        <f>HYPERLINK("http://optservis.net:5080/photo?tov_code_internet=188413","Увеличить")</f>
        <v>Увеличить</v>
      </c>
      <c r="D1011" s="3" t="s">
        <v>2246</v>
      </c>
      <c r="E1011" s="3" t="s">
        <v>2251</v>
      </c>
      <c r="F1011" s="3" t="s">
        <v>2165</v>
      </c>
      <c r="G1011" s="3" t="s">
        <v>430</v>
      </c>
      <c r="H1011" s="3">
        <v>0.5</v>
      </c>
      <c r="I1011" s="3">
        <v>0</v>
      </c>
      <c r="J1011" s="3" t="s">
        <v>18</v>
      </c>
      <c r="K1011" s="5">
        <v>0.08</v>
      </c>
      <c r="L1011" s="6">
        <v>4690654017781</v>
      </c>
      <c r="M1011" s="7" t="s">
        <v>2252</v>
      </c>
      <c r="N1011" s="8">
        <f>VLOOKUP(B1011,'[1]новый без картинок'!$A$5:$F$2672,6,0)</f>
        <v>332</v>
      </c>
    </row>
    <row r="1012" spans="1:14" ht="151.15" customHeight="1" x14ac:dyDescent="0.2">
      <c r="A1012" s="3">
        <v>1010</v>
      </c>
      <c r="B1012" s="3">
        <v>188665</v>
      </c>
      <c r="C1012" s="4" t="str">
        <f>HYPERLINK("http://optservis.net:5080/photo?tov_code_internet=188665","Увеличить")</f>
        <v>Увеличить</v>
      </c>
      <c r="D1012" s="3" t="s">
        <v>2253</v>
      </c>
      <c r="E1012" s="3"/>
      <c r="F1012" s="3" t="s">
        <v>2166</v>
      </c>
      <c r="G1012" s="3" t="s">
        <v>430</v>
      </c>
      <c r="H1012" s="3">
        <v>0.5</v>
      </c>
      <c r="I1012" s="3">
        <v>0</v>
      </c>
      <c r="J1012" s="3" t="s">
        <v>18</v>
      </c>
      <c r="K1012" s="5">
        <v>0.06</v>
      </c>
      <c r="L1012" s="6">
        <v>0</v>
      </c>
      <c r="M1012" s="7" t="s">
        <v>2254</v>
      </c>
      <c r="N1012" s="8">
        <f>VLOOKUP(B1012,'[1]новый без картинок'!$A$5:$F$2672,6,0)</f>
        <v>319</v>
      </c>
    </row>
    <row r="1013" spans="1:14" ht="151.15" customHeight="1" x14ac:dyDescent="0.2">
      <c r="A1013" s="3">
        <v>1011</v>
      </c>
      <c r="B1013" s="3">
        <v>196658</v>
      </c>
      <c r="C1013" s="4" t="str">
        <f>HYPERLINK("http://optservis.net:5080/photo?tov_code_internet=196658","Увеличить")</f>
        <v>Увеличить</v>
      </c>
      <c r="D1013" s="3" t="s">
        <v>2255</v>
      </c>
      <c r="E1013" s="3"/>
      <c r="F1013" s="3" t="s">
        <v>2256</v>
      </c>
      <c r="G1013" s="3" t="s">
        <v>1469</v>
      </c>
      <c r="H1013" s="3">
        <v>0.5</v>
      </c>
      <c r="I1013" s="3">
        <v>0</v>
      </c>
      <c r="J1013" s="3" t="s">
        <v>18</v>
      </c>
      <c r="K1013" s="5">
        <v>7.0000000000000007E-2</v>
      </c>
      <c r="L1013" s="6">
        <v>0</v>
      </c>
      <c r="M1013" s="7" t="s">
        <v>2257</v>
      </c>
      <c r="N1013" s="8">
        <f>VLOOKUP(B1013,'[1]новый без картинок'!$A$5:$F$2672,6,0)</f>
        <v>426</v>
      </c>
    </row>
    <row r="1014" spans="1:14" ht="151.15" customHeight="1" x14ac:dyDescent="0.2">
      <c r="A1014" s="3">
        <v>1012</v>
      </c>
      <c r="B1014" s="3">
        <v>196659</v>
      </c>
      <c r="C1014" s="4" t="str">
        <f>HYPERLINK("http://optservis.net:5080/photo?tov_code_internet=196659","Увеличить")</f>
        <v>Увеличить</v>
      </c>
      <c r="D1014" s="3" t="s">
        <v>2255</v>
      </c>
      <c r="E1014" s="3"/>
      <c r="F1014" s="3" t="s">
        <v>2258</v>
      </c>
      <c r="G1014" s="3" t="s">
        <v>1469</v>
      </c>
      <c r="H1014" s="3">
        <v>0.5</v>
      </c>
      <c r="I1014" s="3">
        <v>0</v>
      </c>
      <c r="J1014" s="3" t="s">
        <v>18</v>
      </c>
      <c r="K1014" s="5">
        <v>7.0000000000000007E-2</v>
      </c>
      <c r="L1014" s="6">
        <v>0</v>
      </c>
      <c r="M1014" s="7" t="s">
        <v>2257</v>
      </c>
      <c r="N1014" s="8">
        <f>VLOOKUP(B1014,'[1]новый без картинок'!$A$5:$F$2672,6,0)</f>
        <v>447</v>
      </c>
    </row>
    <row r="1015" spans="1:14" ht="151.15" customHeight="1" x14ac:dyDescent="0.2">
      <c r="A1015" s="3">
        <v>1013</v>
      </c>
      <c r="B1015" s="3">
        <v>196657</v>
      </c>
      <c r="C1015" s="4" t="str">
        <f>HYPERLINK("http://optservis.net:5080/photo?tov_code_internet=196657","Увеличить")</f>
        <v>Увеличить</v>
      </c>
      <c r="D1015" s="3" t="s">
        <v>2255</v>
      </c>
      <c r="E1015" s="3"/>
      <c r="F1015" s="3" t="s">
        <v>2259</v>
      </c>
      <c r="G1015" s="3" t="s">
        <v>1469</v>
      </c>
      <c r="H1015" s="3">
        <v>0.5</v>
      </c>
      <c r="I1015" s="3">
        <v>0</v>
      </c>
      <c r="J1015" s="3" t="s">
        <v>18</v>
      </c>
      <c r="K1015" s="5">
        <v>7.0000000000000007E-2</v>
      </c>
      <c r="L1015" s="6">
        <v>0</v>
      </c>
      <c r="M1015" s="7" t="s">
        <v>2257</v>
      </c>
      <c r="N1015" s="8">
        <f>VLOOKUP(B1015,'[1]новый без картинок'!$A$5:$F$2672,6,0)</f>
        <v>434</v>
      </c>
    </row>
    <row r="1016" spans="1:14" ht="151.15" customHeight="1" x14ac:dyDescent="0.2">
      <c r="A1016" s="3">
        <v>1014</v>
      </c>
      <c r="B1016" s="3">
        <v>185176</v>
      </c>
      <c r="C1016" s="4" t="str">
        <f>HYPERLINK("http://optservis.net:5080/photo?tov_code_internet=185176","Увеличить")</f>
        <v>Увеличить</v>
      </c>
      <c r="D1016" s="3" t="s">
        <v>2255</v>
      </c>
      <c r="E1016" s="3"/>
      <c r="F1016" s="3" t="s">
        <v>2260</v>
      </c>
      <c r="G1016" s="3" t="s">
        <v>1469</v>
      </c>
      <c r="H1016" s="3">
        <v>0.5</v>
      </c>
      <c r="I1016" s="3">
        <v>0</v>
      </c>
      <c r="J1016" s="3" t="s">
        <v>18</v>
      </c>
      <c r="K1016" s="5">
        <v>0.08</v>
      </c>
      <c r="L1016" s="6">
        <v>0</v>
      </c>
      <c r="M1016" s="7" t="s">
        <v>2261</v>
      </c>
      <c r="N1016" s="8">
        <f>VLOOKUP(B1016,'[1]новый без картинок'!$A$5:$F$2672,6,0)</f>
        <v>442</v>
      </c>
    </row>
    <row r="1017" spans="1:14" ht="151.15" customHeight="1" x14ac:dyDescent="0.2">
      <c r="A1017" s="3">
        <v>1015</v>
      </c>
      <c r="B1017" s="3">
        <v>188415</v>
      </c>
      <c r="C1017" s="4" t="str">
        <f>HYPERLINK("http://optservis.net:5080/photo?tov_code_internet=188415","Увеличить")</f>
        <v>Увеличить</v>
      </c>
      <c r="D1017" s="3" t="s">
        <v>2255</v>
      </c>
      <c r="E1017" s="3" t="s">
        <v>2262</v>
      </c>
      <c r="F1017" s="3" t="s">
        <v>2263</v>
      </c>
      <c r="G1017" s="3" t="s">
        <v>1469</v>
      </c>
      <c r="H1017" s="3">
        <v>0.5</v>
      </c>
      <c r="I1017" s="3">
        <v>0</v>
      </c>
      <c r="J1017" s="3" t="s">
        <v>18</v>
      </c>
      <c r="K1017" s="5">
        <v>7.0000000000000007E-2</v>
      </c>
      <c r="L1017" s="6">
        <v>4690654014421</v>
      </c>
      <c r="M1017" s="7" t="s">
        <v>2264</v>
      </c>
      <c r="N1017" s="8">
        <f>VLOOKUP(B1017,'[1]новый без картинок'!$A$5:$F$2672,6,0)</f>
        <v>469</v>
      </c>
    </row>
    <row r="1018" spans="1:14" ht="151.15" customHeight="1" x14ac:dyDescent="0.2">
      <c r="A1018" s="3">
        <v>1016</v>
      </c>
      <c r="B1018" s="3">
        <v>188416</v>
      </c>
      <c r="C1018" s="4" t="str">
        <f>HYPERLINK("http://optservis.net:5080/photo?tov_code_internet=188416","Увеличить")</f>
        <v>Увеличить</v>
      </c>
      <c r="D1018" s="3" t="s">
        <v>2255</v>
      </c>
      <c r="E1018" s="3" t="s">
        <v>2262</v>
      </c>
      <c r="F1018" s="3" t="s">
        <v>2265</v>
      </c>
      <c r="G1018" s="3" t="s">
        <v>1469</v>
      </c>
      <c r="H1018" s="3">
        <v>0.5</v>
      </c>
      <c r="I1018" s="3">
        <v>0</v>
      </c>
      <c r="J1018" s="3" t="s">
        <v>18</v>
      </c>
      <c r="K1018" s="5">
        <v>7.0000000000000007E-2</v>
      </c>
      <c r="L1018" s="6">
        <v>4690654018535</v>
      </c>
      <c r="M1018" s="7" t="s">
        <v>2266</v>
      </c>
      <c r="N1018" s="8">
        <f>VLOOKUP(B1018,'[1]новый без картинок'!$A$5:$F$2672,6,0)</f>
        <v>439</v>
      </c>
    </row>
    <row r="1019" spans="1:14" ht="151.15" customHeight="1" x14ac:dyDescent="0.2">
      <c r="A1019" s="3">
        <v>1017</v>
      </c>
      <c r="B1019" s="3">
        <v>196667</v>
      </c>
      <c r="C1019" s="4" t="str">
        <f>HYPERLINK("http://optservis.net:5080/photo?tov_code_internet=196667","Увеличить")</f>
        <v>Увеличить</v>
      </c>
      <c r="D1019" s="3" t="s">
        <v>2267</v>
      </c>
      <c r="E1019" s="3"/>
      <c r="F1019" s="3" t="s">
        <v>2223</v>
      </c>
      <c r="G1019" s="3" t="s">
        <v>430</v>
      </c>
      <c r="H1019" s="3">
        <v>0.5</v>
      </c>
      <c r="I1019" s="3">
        <v>0</v>
      </c>
      <c r="J1019" s="3" t="s">
        <v>18</v>
      </c>
      <c r="K1019" s="5">
        <v>0.09</v>
      </c>
      <c r="L1019" s="6">
        <v>0</v>
      </c>
      <c r="M1019" s="7" t="s">
        <v>2268</v>
      </c>
      <c r="N1019" s="8">
        <f>VLOOKUP(B1019,'[1]новый без картинок'!$A$5:$F$2672,6,0)</f>
        <v>350</v>
      </c>
    </row>
    <row r="1020" spans="1:14" ht="151.15" customHeight="1" x14ac:dyDescent="0.2">
      <c r="A1020" s="3">
        <v>1018</v>
      </c>
      <c r="B1020" s="3">
        <v>196668</v>
      </c>
      <c r="C1020" s="4" t="str">
        <f>HYPERLINK("http://optservis.net:5080/photo?tov_code_internet=196668","Увеличить")</f>
        <v>Увеличить</v>
      </c>
      <c r="D1020" s="3" t="s">
        <v>2267</v>
      </c>
      <c r="E1020" s="3"/>
      <c r="F1020" s="3" t="s">
        <v>2226</v>
      </c>
      <c r="G1020" s="3" t="s">
        <v>430</v>
      </c>
      <c r="H1020" s="3">
        <v>0.5</v>
      </c>
      <c r="I1020" s="3">
        <v>0</v>
      </c>
      <c r="J1020" s="3" t="s">
        <v>18</v>
      </c>
      <c r="K1020" s="5">
        <v>0.09</v>
      </c>
      <c r="L1020" s="6">
        <v>0</v>
      </c>
      <c r="M1020" s="7" t="s">
        <v>2268</v>
      </c>
      <c r="N1020" s="8">
        <f>VLOOKUP(B1020,'[1]новый без картинок'!$A$5:$F$2672,6,0)</f>
        <v>341</v>
      </c>
    </row>
    <row r="1021" spans="1:14" ht="151.15" customHeight="1" x14ac:dyDescent="0.2">
      <c r="A1021" s="3">
        <v>1019</v>
      </c>
      <c r="B1021" s="3">
        <v>208647</v>
      </c>
      <c r="C1021" s="4" t="str">
        <f>HYPERLINK("http://optservis.net:5080/photo?tov_code_internet=208647","Увеличить")</f>
        <v>Увеличить</v>
      </c>
      <c r="D1021" s="3" t="s">
        <v>2267</v>
      </c>
      <c r="E1021" s="3"/>
      <c r="F1021" s="3" t="s">
        <v>2230</v>
      </c>
      <c r="G1021" s="3" t="s">
        <v>430</v>
      </c>
      <c r="H1021" s="3">
        <v>0.5</v>
      </c>
      <c r="I1021" s="3">
        <v>0</v>
      </c>
      <c r="J1021" s="3" t="s">
        <v>18</v>
      </c>
      <c r="K1021" s="5">
        <v>0.1</v>
      </c>
      <c r="L1021" s="6">
        <v>0</v>
      </c>
      <c r="M1021" s="7" t="s">
        <v>2268</v>
      </c>
      <c r="N1021" s="8">
        <f>VLOOKUP(B1021,'[1]новый без картинок'!$A$5:$F$2672,6,0)</f>
        <v>347</v>
      </c>
    </row>
    <row r="1022" spans="1:14" ht="151.15" customHeight="1" x14ac:dyDescent="0.2">
      <c r="A1022" s="3">
        <v>1020</v>
      </c>
      <c r="B1022" s="3">
        <v>196669</v>
      </c>
      <c r="C1022" s="4" t="str">
        <f>HYPERLINK("http://optservis.net:5080/photo?tov_code_internet=196669","Увеличить")</f>
        <v>Увеличить</v>
      </c>
      <c r="D1022" s="3" t="s">
        <v>2269</v>
      </c>
      <c r="E1022" s="3"/>
      <c r="F1022" s="3" t="s">
        <v>2270</v>
      </c>
      <c r="G1022" s="3" t="s">
        <v>1045</v>
      </c>
      <c r="H1022" s="3">
        <v>0.5</v>
      </c>
      <c r="I1022" s="3">
        <v>0</v>
      </c>
      <c r="J1022" s="3" t="s">
        <v>18</v>
      </c>
      <c r="K1022" s="5">
        <v>0.06</v>
      </c>
      <c r="L1022" s="6">
        <v>0</v>
      </c>
      <c r="M1022" s="7" t="s">
        <v>2271</v>
      </c>
      <c r="N1022" s="8">
        <f>VLOOKUP(B1022,'[1]новый без картинок'!$A$5:$F$2672,6,0)</f>
        <v>447</v>
      </c>
    </row>
    <row r="1023" spans="1:14" ht="151.15" customHeight="1" x14ac:dyDescent="0.2">
      <c r="A1023" s="3">
        <v>1021</v>
      </c>
      <c r="B1023" s="3">
        <v>196670</v>
      </c>
      <c r="C1023" s="4" t="str">
        <f>HYPERLINK("http://optservis.net:5080/photo?tov_code_internet=196670","Увеличить")</f>
        <v>Увеличить</v>
      </c>
      <c r="D1023" s="3" t="s">
        <v>2269</v>
      </c>
      <c r="E1023" s="3"/>
      <c r="F1023" s="3" t="s">
        <v>2272</v>
      </c>
      <c r="G1023" s="3" t="s">
        <v>1045</v>
      </c>
      <c r="H1023" s="3">
        <v>0.5</v>
      </c>
      <c r="I1023" s="3">
        <v>0</v>
      </c>
      <c r="J1023" s="3" t="s">
        <v>18</v>
      </c>
      <c r="K1023" s="5">
        <v>0.06</v>
      </c>
      <c r="L1023" s="6">
        <v>0</v>
      </c>
      <c r="M1023" s="7" t="s">
        <v>2271</v>
      </c>
      <c r="N1023" s="8">
        <f>VLOOKUP(B1023,'[1]новый без картинок'!$A$5:$F$2672,6,0)</f>
        <v>451</v>
      </c>
    </row>
    <row r="1024" spans="1:14" ht="151.15" customHeight="1" x14ac:dyDescent="0.2">
      <c r="A1024" s="3">
        <v>1022</v>
      </c>
      <c r="B1024" s="3">
        <v>188417</v>
      </c>
      <c r="C1024" s="4" t="str">
        <f>HYPERLINK("http://optservis.net:5080/photo?tov_code_internet=188417","Увеличить")</f>
        <v>Увеличить</v>
      </c>
      <c r="D1024" s="3" t="s">
        <v>2269</v>
      </c>
      <c r="E1024" s="3"/>
      <c r="F1024" s="3" t="s">
        <v>2147</v>
      </c>
      <c r="G1024" s="3" t="s">
        <v>1479</v>
      </c>
      <c r="H1024" s="3">
        <v>0.5</v>
      </c>
      <c r="I1024" s="3">
        <v>0</v>
      </c>
      <c r="J1024" s="3" t="s">
        <v>18</v>
      </c>
      <c r="K1024" s="5">
        <v>0.06</v>
      </c>
      <c r="L1024" s="6">
        <v>0</v>
      </c>
      <c r="M1024" s="7" t="s">
        <v>2273</v>
      </c>
      <c r="N1024" s="8">
        <f>VLOOKUP(B1024,'[1]новый без картинок'!$A$5:$F$2672,6,0)</f>
        <v>449</v>
      </c>
    </row>
    <row r="1025" spans="1:14" ht="151.15" customHeight="1" x14ac:dyDescent="0.2">
      <c r="A1025" s="3">
        <v>1023</v>
      </c>
      <c r="B1025" s="3">
        <v>192462</v>
      </c>
      <c r="C1025" s="4" t="str">
        <f>HYPERLINK("http://optservis.net:5080/photo?tov_code_internet=192462","Увеличить")</f>
        <v>Увеличить</v>
      </c>
      <c r="D1025" s="3" t="s">
        <v>2274</v>
      </c>
      <c r="E1025" s="3" t="s">
        <v>2275</v>
      </c>
      <c r="F1025" s="3" t="s">
        <v>2221</v>
      </c>
      <c r="G1025" s="3" t="s">
        <v>430</v>
      </c>
      <c r="H1025" s="3">
        <v>0.5</v>
      </c>
      <c r="I1025" s="3">
        <v>0</v>
      </c>
      <c r="J1025" s="3" t="s">
        <v>18</v>
      </c>
      <c r="K1025" s="5">
        <v>0.1</v>
      </c>
      <c r="L1025" s="6">
        <v>4690654014858</v>
      </c>
      <c r="M1025" s="7" t="s">
        <v>2276</v>
      </c>
      <c r="N1025" s="8">
        <f>VLOOKUP(B1025,'[1]новый без картинок'!$A$5:$F$2672,6,0)</f>
        <v>351</v>
      </c>
    </row>
    <row r="1026" spans="1:14" ht="151.15" customHeight="1" x14ac:dyDescent="0.2">
      <c r="A1026" s="3">
        <v>1024</v>
      </c>
      <c r="B1026" s="3">
        <v>196662</v>
      </c>
      <c r="C1026" s="4" t="str">
        <f>HYPERLINK("http://optservis.net:5080/photo?tov_code_internet=196662","Увеличить")</f>
        <v>Увеличить</v>
      </c>
      <c r="D1026" s="3" t="s">
        <v>2274</v>
      </c>
      <c r="E1026" s="3" t="s">
        <v>2277</v>
      </c>
      <c r="F1026" s="3" t="s">
        <v>2278</v>
      </c>
      <c r="G1026" s="3" t="s">
        <v>430</v>
      </c>
      <c r="H1026" s="3">
        <v>0.5</v>
      </c>
      <c r="I1026" s="3">
        <v>0</v>
      </c>
      <c r="J1026" s="3" t="s">
        <v>18</v>
      </c>
      <c r="K1026" s="5">
        <v>0.09</v>
      </c>
      <c r="L1026" s="6">
        <v>4690654016586</v>
      </c>
      <c r="M1026" s="7" t="s">
        <v>2279</v>
      </c>
      <c r="N1026" s="8">
        <f>VLOOKUP(B1026,'[1]новый без картинок'!$A$5:$F$2672,6,0)</f>
        <v>354</v>
      </c>
    </row>
    <row r="1027" spans="1:14" ht="151.15" customHeight="1" x14ac:dyDescent="0.2">
      <c r="A1027" s="3">
        <v>1025</v>
      </c>
      <c r="B1027" s="3">
        <v>199586</v>
      </c>
      <c r="C1027" s="4" t="str">
        <f>HYPERLINK("http://optservis.net:5080/photo?tov_code_internet=199586","Увеличить")</f>
        <v>Увеличить</v>
      </c>
      <c r="D1027" s="3" t="s">
        <v>2274</v>
      </c>
      <c r="E1027" s="3" t="s">
        <v>2277</v>
      </c>
      <c r="F1027" s="3" t="s">
        <v>2280</v>
      </c>
      <c r="G1027" s="3" t="s">
        <v>430</v>
      </c>
      <c r="H1027" s="3">
        <v>0.5</v>
      </c>
      <c r="I1027" s="3">
        <v>0</v>
      </c>
      <c r="J1027" s="3" t="s">
        <v>18</v>
      </c>
      <c r="K1027" s="5">
        <v>0.1</v>
      </c>
      <c r="L1027" s="6">
        <v>4690654016807</v>
      </c>
      <c r="M1027" s="7" t="s">
        <v>2281</v>
      </c>
      <c r="N1027" s="8">
        <f>VLOOKUP(B1027,'[1]новый без картинок'!$A$5:$F$2672,6,0)</f>
        <v>350</v>
      </c>
    </row>
    <row r="1028" spans="1:14" ht="151.15" customHeight="1" x14ac:dyDescent="0.2">
      <c r="A1028" s="3">
        <v>1026</v>
      </c>
      <c r="B1028" s="3">
        <v>204664</v>
      </c>
      <c r="C1028" s="4" t="str">
        <f>HYPERLINK("http://optservis.net:5080/photo?tov_code_internet=204664","Увеличить")</f>
        <v>Увеличить</v>
      </c>
      <c r="D1028" s="3" t="s">
        <v>2282</v>
      </c>
      <c r="E1028" s="3" t="s">
        <v>2283</v>
      </c>
      <c r="F1028" s="3" t="s">
        <v>2284</v>
      </c>
      <c r="G1028" s="3" t="s">
        <v>430</v>
      </c>
      <c r="H1028" s="3">
        <v>0.5</v>
      </c>
      <c r="I1028" s="3">
        <v>0</v>
      </c>
      <c r="J1028" s="3" t="s">
        <v>18</v>
      </c>
      <c r="K1028" s="5">
        <v>7.0000000000000007E-2</v>
      </c>
      <c r="L1028" s="6">
        <v>4690654020330</v>
      </c>
      <c r="M1028" s="7" t="s">
        <v>2285</v>
      </c>
      <c r="N1028" s="8">
        <f>VLOOKUP(B1028,'[1]новый без картинок'!$A$5:$F$2672,6,0)</f>
        <v>334</v>
      </c>
    </row>
    <row r="1029" spans="1:14" ht="151.15" customHeight="1" x14ac:dyDescent="0.2">
      <c r="A1029" s="3">
        <v>1027</v>
      </c>
      <c r="B1029" s="3">
        <v>204665</v>
      </c>
      <c r="C1029" s="4" t="str">
        <f>HYPERLINK("http://optservis.net:5080/photo?tov_code_internet=204665","Увеличить")</f>
        <v>Увеличить</v>
      </c>
      <c r="D1029" s="3" t="s">
        <v>2286</v>
      </c>
      <c r="E1029" s="3"/>
      <c r="F1029" s="3" t="s">
        <v>2284</v>
      </c>
      <c r="G1029" s="3" t="s">
        <v>430</v>
      </c>
      <c r="H1029" s="3">
        <v>0.5</v>
      </c>
      <c r="I1029" s="3">
        <v>0</v>
      </c>
      <c r="J1029" s="3" t="s">
        <v>18</v>
      </c>
      <c r="K1029" s="5">
        <v>0.09</v>
      </c>
      <c r="L1029" s="6">
        <v>0</v>
      </c>
      <c r="M1029" s="7" t="s">
        <v>2287</v>
      </c>
      <c r="N1029" s="8">
        <f>VLOOKUP(B1029,'[1]новый без картинок'!$A$5:$F$2672,6,0)</f>
        <v>398</v>
      </c>
    </row>
    <row r="1030" spans="1:14" ht="151.15" customHeight="1" x14ac:dyDescent="0.2">
      <c r="A1030" s="3">
        <v>1028</v>
      </c>
      <c r="B1030" s="3">
        <v>188645</v>
      </c>
      <c r="C1030" s="4" t="str">
        <f>HYPERLINK("http://optservis.net:5080/photo?tov_code_internet=188645","Увеличить")</f>
        <v>Увеличить</v>
      </c>
      <c r="D1030" s="3" t="s">
        <v>2286</v>
      </c>
      <c r="E1030" s="3"/>
      <c r="F1030" s="3" t="s">
        <v>2288</v>
      </c>
      <c r="G1030" s="3" t="s">
        <v>430</v>
      </c>
      <c r="H1030" s="3">
        <v>0.5</v>
      </c>
      <c r="I1030" s="3">
        <v>0</v>
      </c>
      <c r="J1030" s="3" t="s">
        <v>18</v>
      </c>
      <c r="K1030" s="5">
        <v>0.1</v>
      </c>
      <c r="L1030" s="6">
        <v>0</v>
      </c>
      <c r="M1030" s="7" t="s">
        <v>2289</v>
      </c>
      <c r="N1030" s="8">
        <f>VLOOKUP(B1030,'[1]новый без картинок'!$A$5:$F$2672,6,0)</f>
        <v>390</v>
      </c>
    </row>
    <row r="1031" spans="1:14" ht="151.15" customHeight="1" x14ac:dyDescent="0.2">
      <c r="A1031" s="3">
        <v>1029</v>
      </c>
      <c r="B1031" s="3">
        <v>188646</v>
      </c>
      <c r="C1031" s="4" t="str">
        <f>HYPERLINK("http://optservis.net:5080/photo?tov_code_internet=188646","Увеличить")</f>
        <v>Увеличить</v>
      </c>
      <c r="D1031" s="3" t="s">
        <v>2290</v>
      </c>
      <c r="E1031" s="3" t="s">
        <v>2291</v>
      </c>
      <c r="F1031" s="3" t="s">
        <v>2292</v>
      </c>
      <c r="G1031" s="3" t="s">
        <v>430</v>
      </c>
      <c r="H1031" s="3">
        <v>0.5</v>
      </c>
      <c r="I1031" s="3">
        <v>0</v>
      </c>
      <c r="J1031" s="3" t="s">
        <v>18</v>
      </c>
      <c r="K1031" s="5">
        <v>0.09</v>
      </c>
      <c r="L1031" s="6">
        <v>4690654013523</v>
      </c>
      <c r="M1031" s="7" t="s">
        <v>2293</v>
      </c>
      <c r="N1031" s="8">
        <f>VLOOKUP(B1031,'[1]новый без картинок'!$A$5:$F$2672,6,0)</f>
        <v>332</v>
      </c>
    </row>
    <row r="1032" spans="1:14" ht="151.15" customHeight="1" x14ac:dyDescent="0.2">
      <c r="A1032" s="3">
        <v>1030</v>
      </c>
      <c r="B1032" s="3">
        <v>204666</v>
      </c>
      <c r="C1032" s="4" t="str">
        <f>HYPERLINK("http://optservis.net:5080/photo?tov_code_internet=204666","Увеличить")</f>
        <v>Увеличить</v>
      </c>
      <c r="D1032" s="3" t="s">
        <v>2294</v>
      </c>
      <c r="E1032" s="3"/>
      <c r="F1032" s="3" t="s">
        <v>2284</v>
      </c>
      <c r="G1032" s="3" t="s">
        <v>430</v>
      </c>
      <c r="H1032" s="3">
        <v>0.5</v>
      </c>
      <c r="I1032" s="3">
        <v>0</v>
      </c>
      <c r="J1032" s="3" t="s">
        <v>18</v>
      </c>
      <c r="K1032" s="5">
        <v>0.1</v>
      </c>
      <c r="L1032" s="6">
        <v>0</v>
      </c>
      <c r="M1032" s="7" t="s">
        <v>2295</v>
      </c>
      <c r="N1032" s="8">
        <f>VLOOKUP(B1032,'[1]новый без картинок'!$A$5:$F$2672,6,0)</f>
        <v>426</v>
      </c>
    </row>
    <row r="1033" spans="1:14" ht="151.15" customHeight="1" x14ac:dyDescent="0.2">
      <c r="A1033" s="3">
        <v>1031</v>
      </c>
      <c r="B1033" s="3">
        <v>188666</v>
      </c>
      <c r="C1033" s="4" t="str">
        <f>HYPERLINK("http://optservis.net:5080/photo?tov_code_internet=188666","Увеличить")</f>
        <v>Увеличить</v>
      </c>
      <c r="D1033" s="3" t="s">
        <v>2296</v>
      </c>
      <c r="E1033" s="3"/>
      <c r="F1033" s="3" t="s">
        <v>2297</v>
      </c>
      <c r="G1033" s="3" t="s">
        <v>430</v>
      </c>
      <c r="H1033" s="3">
        <v>0.5</v>
      </c>
      <c r="I1033" s="3">
        <v>0</v>
      </c>
      <c r="J1033" s="3" t="s">
        <v>18</v>
      </c>
      <c r="K1033" s="5">
        <v>0</v>
      </c>
      <c r="L1033" s="6">
        <v>0</v>
      </c>
      <c r="M1033" s="7" t="s">
        <v>2298</v>
      </c>
      <c r="N1033" s="8">
        <f>VLOOKUP(B1033,'[1]новый без картинок'!$A$5:$F$2672,6,0)</f>
        <v>380</v>
      </c>
    </row>
    <row r="1034" spans="1:14" ht="151.15" customHeight="1" x14ac:dyDescent="0.2">
      <c r="A1034" s="3">
        <v>1032</v>
      </c>
      <c r="B1034" s="3">
        <v>185163</v>
      </c>
      <c r="C1034" s="4" t="str">
        <f>HYPERLINK("http://optservis.net:5080/photo?tov_code_internet=185163","Увеличить")</f>
        <v>Увеличить</v>
      </c>
      <c r="D1034" s="3" t="s">
        <v>2296</v>
      </c>
      <c r="E1034" s="3"/>
      <c r="F1034" s="3" t="s">
        <v>2288</v>
      </c>
      <c r="G1034" s="3" t="s">
        <v>430</v>
      </c>
      <c r="H1034" s="3">
        <v>0.5</v>
      </c>
      <c r="I1034" s="3">
        <v>0</v>
      </c>
      <c r="J1034" s="3" t="s">
        <v>18</v>
      </c>
      <c r="K1034" s="5">
        <v>0.08</v>
      </c>
      <c r="L1034" s="6">
        <v>0</v>
      </c>
      <c r="M1034" s="7" t="s">
        <v>2299</v>
      </c>
      <c r="N1034" s="8">
        <f>VLOOKUP(B1034,'[1]новый без картинок'!$A$5:$F$2672,6,0)</f>
        <v>380</v>
      </c>
    </row>
    <row r="1035" spans="1:14" ht="151.15" customHeight="1" x14ac:dyDescent="0.2">
      <c r="A1035" s="3">
        <v>1033</v>
      </c>
      <c r="B1035" s="3">
        <v>204667</v>
      </c>
      <c r="C1035" s="4" t="str">
        <f>HYPERLINK("http://optservis.net:5080/photo?tov_code_internet=204667","Увеличить")</f>
        <v>Увеличить</v>
      </c>
      <c r="D1035" s="3" t="s">
        <v>2296</v>
      </c>
      <c r="E1035" s="3" t="s">
        <v>2300</v>
      </c>
      <c r="F1035" s="3" t="s">
        <v>2284</v>
      </c>
      <c r="G1035" s="3" t="s">
        <v>430</v>
      </c>
      <c r="H1035" s="3">
        <v>0.5</v>
      </c>
      <c r="I1035" s="3">
        <v>0</v>
      </c>
      <c r="J1035" s="3" t="s">
        <v>18</v>
      </c>
      <c r="K1035" s="5">
        <v>7.0000000000000007E-2</v>
      </c>
      <c r="L1035" s="6">
        <v>4690654017088</v>
      </c>
      <c r="M1035" s="7" t="s">
        <v>2285</v>
      </c>
      <c r="N1035" s="8">
        <f>VLOOKUP(B1035,'[1]новый без картинок'!$A$5:$F$2672,6,0)</f>
        <v>389</v>
      </c>
    </row>
    <row r="1036" spans="1:14" ht="151.15" customHeight="1" x14ac:dyDescent="0.2">
      <c r="A1036" s="3">
        <v>1034</v>
      </c>
      <c r="B1036" s="3">
        <v>204671</v>
      </c>
      <c r="C1036" s="4" t="str">
        <f>HYPERLINK("http://optservis.net:5080/photo?tov_code_internet=204671","Увеличить")</f>
        <v>Увеличить</v>
      </c>
      <c r="D1036" s="3" t="s">
        <v>2301</v>
      </c>
      <c r="E1036" s="3" t="s">
        <v>2302</v>
      </c>
      <c r="F1036" s="3" t="s">
        <v>2303</v>
      </c>
      <c r="G1036" s="3" t="s">
        <v>1479</v>
      </c>
      <c r="H1036" s="3">
        <v>0.5</v>
      </c>
      <c r="I1036" s="3">
        <v>0</v>
      </c>
      <c r="J1036" s="3" t="s">
        <v>18</v>
      </c>
      <c r="K1036" s="5">
        <v>0.06</v>
      </c>
      <c r="L1036" s="6">
        <v>4690654017101</v>
      </c>
      <c r="M1036" s="7" t="s">
        <v>2304</v>
      </c>
      <c r="N1036" s="8">
        <f>VLOOKUP(B1036,'[1]новый без картинок'!$A$5:$F$2672,6,0)</f>
        <v>527</v>
      </c>
    </row>
    <row r="1037" spans="1:14" ht="151.15" customHeight="1" x14ac:dyDescent="0.2">
      <c r="A1037" s="3">
        <v>1035</v>
      </c>
      <c r="B1037" s="3">
        <v>188553</v>
      </c>
      <c r="C1037" s="4" t="str">
        <f>HYPERLINK("http://optservis.net:5080/photo?tov_code_internet=188553","Увеличить")</f>
        <v>Увеличить</v>
      </c>
      <c r="D1037" s="3" t="s">
        <v>2301</v>
      </c>
      <c r="E1037" s="3" t="s">
        <v>2302</v>
      </c>
      <c r="F1037" s="3" t="s">
        <v>2305</v>
      </c>
      <c r="G1037" s="3" t="s">
        <v>1469</v>
      </c>
      <c r="H1037" s="3">
        <v>0.5</v>
      </c>
      <c r="I1037" s="3">
        <v>0</v>
      </c>
      <c r="J1037" s="3" t="s">
        <v>18</v>
      </c>
      <c r="K1037" s="5">
        <v>7.0000000000000007E-2</v>
      </c>
      <c r="L1037" s="6">
        <v>4690654015565</v>
      </c>
      <c r="M1037" s="7" t="s">
        <v>2306</v>
      </c>
      <c r="N1037" s="8">
        <f>VLOOKUP(B1037,'[1]новый без картинок'!$A$5:$F$2672,6,0)</f>
        <v>517</v>
      </c>
    </row>
    <row r="1038" spans="1:14" ht="151.15" customHeight="1" x14ac:dyDescent="0.2">
      <c r="A1038" s="3">
        <v>1036</v>
      </c>
      <c r="B1038" s="3">
        <v>210796</v>
      </c>
      <c r="C1038" s="4" t="str">
        <f>HYPERLINK("http://optservis.net:5080/photo?tov_code_internet=210796","Увеличить")</f>
        <v>Увеличить</v>
      </c>
      <c r="D1038" s="3" t="s">
        <v>2307</v>
      </c>
      <c r="E1038" s="3"/>
      <c r="F1038" s="3" t="s">
        <v>2308</v>
      </c>
      <c r="G1038" s="3" t="s">
        <v>430</v>
      </c>
      <c r="H1038" s="3">
        <v>0.5</v>
      </c>
      <c r="I1038" s="3">
        <v>0</v>
      </c>
      <c r="J1038" s="3" t="s">
        <v>18</v>
      </c>
      <c r="K1038" s="5">
        <v>0.05</v>
      </c>
      <c r="L1038" s="6">
        <v>0</v>
      </c>
      <c r="M1038" s="7" t="s">
        <v>2309</v>
      </c>
      <c r="N1038" s="8">
        <f>VLOOKUP(B1038,'[1]новый без картинок'!$A$5:$F$2672,6,0)</f>
        <v>404</v>
      </c>
    </row>
    <row r="1039" spans="1:14" ht="151.15" customHeight="1" x14ac:dyDescent="0.2">
      <c r="A1039" s="3">
        <v>1037</v>
      </c>
      <c r="B1039" s="3">
        <v>210809</v>
      </c>
      <c r="C1039" s="4" t="str">
        <f>HYPERLINK("http://optservis.net:5080/photo?tov_code_internet=210809","Увеличить")</f>
        <v>Увеличить</v>
      </c>
      <c r="D1039" s="3" t="s">
        <v>2307</v>
      </c>
      <c r="E1039" s="3"/>
      <c r="F1039" s="3" t="s">
        <v>2310</v>
      </c>
      <c r="G1039" s="3" t="s">
        <v>430</v>
      </c>
      <c r="H1039" s="3">
        <v>0.5</v>
      </c>
      <c r="I1039" s="3">
        <v>0</v>
      </c>
      <c r="J1039" s="3" t="s">
        <v>18</v>
      </c>
      <c r="K1039" s="5">
        <v>0.06</v>
      </c>
      <c r="L1039" s="6">
        <v>0</v>
      </c>
      <c r="M1039" s="7" t="s">
        <v>2311</v>
      </c>
      <c r="N1039" s="8">
        <f>VLOOKUP(B1039,'[1]новый без картинок'!$A$5:$F$2672,6,0)</f>
        <v>334</v>
      </c>
    </row>
    <row r="1040" spans="1:14" ht="151.15" customHeight="1" x14ac:dyDescent="0.2">
      <c r="A1040" s="3">
        <v>1038</v>
      </c>
      <c r="B1040" s="3">
        <v>204658</v>
      </c>
      <c r="C1040" s="4" t="str">
        <f>HYPERLINK("http://optservis.net:5080/photo?tov_code_internet=204658","Увеличить")</f>
        <v>Увеличить</v>
      </c>
      <c r="D1040" s="3" t="s">
        <v>2312</v>
      </c>
      <c r="E1040" s="3"/>
      <c r="F1040" s="3" t="s">
        <v>2313</v>
      </c>
      <c r="G1040" s="3" t="s">
        <v>430</v>
      </c>
      <c r="H1040" s="3">
        <v>0.5</v>
      </c>
      <c r="I1040" s="3">
        <v>0</v>
      </c>
      <c r="J1040" s="3" t="s">
        <v>18</v>
      </c>
      <c r="K1040" s="5">
        <v>0.08</v>
      </c>
      <c r="L1040" s="6">
        <v>0</v>
      </c>
      <c r="M1040" s="7" t="s">
        <v>2285</v>
      </c>
      <c r="N1040" s="8">
        <f>VLOOKUP(B1040,'[1]новый без картинок'!$A$5:$F$2672,6,0)</f>
        <v>324</v>
      </c>
    </row>
    <row r="1041" spans="1:14" ht="151.15" customHeight="1" x14ac:dyDescent="0.2">
      <c r="A1041" s="3">
        <v>1039</v>
      </c>
      <c r="B1041" s="3">
        <v>204659</v>
      </c>
      <c r="C1041" s="4" t="str">
        <f>HYPERLINK("http://optservis.net:5080/photo?tov_code_internet=204659","Увеличить")</f>
        <v>Увеличить</v>
      </c>
      <c r="D1041" s="3" t="s">
        <v>2312</v>
      </c>
      <c r="E1041" s="3"/>
      <c r="F1041" s="3" t="s">
        <v>2314</v>
      </c>
      <c r="G1041" s="3" t="s">
        <v>430</v>
      </c>
      <c r="H1041" s="3">
        <v>0.5</v>
      </c>
      <c r="I1041" s="3">
        <v>0</v>
      </c>
      <c r="J1041" s="3" t="s">
        <v>18</v>
      </c>
      <c r="K1041" s="5">
        <v>0.08</v>
      </c>
      <c r="L1041" s="6">
        <v>0</v>
      </c>
      <c r="M1041" s="7" t="s">
        <v>2285</v>
      </c>
      <c r="N1041" s="8">
        <f>VLOOKUP(B1041,'[1]новый без картинок'!$A$5:$F$2672,6,0)</f>
        <v>324</v>
      </c>
    </row>
    <row r="1042" spans="1:14" ht="151.15" customHeight="1" x14ac:dyDescent="0.2">
      <c r="A1042" s="3">
        <v>1040</v>
      </c>
      <c r="B1042" s="3">
        <v>204657</v>
      </c>
      <c r="C1042" s="4" t="str">
        <f>HYPERLINK("http://optservis.net:5080/photo?tov_code_internet=204657","Увеличить")</f>
        <v>Увеличить</v>
      </c>
      <c r="D1042" s="3" t="s">
        <v>2312</v>
      </c>
      <c r="E1042" s="3"/>
      <c r="F1042" s="3" t="s">
        <v>2284</v>
      </c>
      <c r="G1042" s="3" t="s">
        <v>430</v>
      </c>
      <c r="H1042" s="3">
        <v>0.5</v>
      </c>
      <c r="I1042" s="3">
        <v>0</v>
      </c>
      <c r="J1042" s="3" t="s">
        <v>18</v>
      </c>
      <c r="K1042" s="5">
        <v>0.08</v>
      </c>
      <c r="L1042" s="6">
        <v>0</v>
      </c>
      <c r="M1042" s="7" t="s">
        <v>2285</v>
      </c>
      <c r="N1042" s="8">
        <f>VLOOKUP(B1042,'[1]новый без картинок'!$A$5:$F$2672,6,0)</f>
        <v>324</v>
      </c>
    </row>
    <row r="1043" spans="1:14" ht="149.44999999999999" customHeight="1" x14ac:dyDescent="0.2">
      <c r="A1043" s="3">
        <v>1041</v>
      </c>
      <c r="B1043" s="3">
        <v>188555</v>
      </c>
      <c r="C1043" s="4" t="str">
        <f>HYPERLINK("http://optservis.net:5080/photo?tov_code_internet=188555","Увеличить")</f>
        <v>Увеличить</v>
      </c>
      <c r="D1043" s="3" t="s">
        <v>2312</v>
      </c>
      <c r="E1043" s="3"/>
      <c r="F1043" s="3" t="s">
        <v>2288</v>
      </c>
      <c r="G1043" s="3" t="s">
        <v>430</v>
      </c>
      <c r="H1043" s="3">
        <v>0.5</v>
      </c>
      <c r="I1043" s="3">
        <v>0</v>
      </c>
      <c r="J1043" s="3" t="s">
        <v>18</v>
      </c>
      <c r="K1043" s="5">
        <v>0.08</v>
      </c>
      <c r="L1043" s="6">
        <v>0</v>
      </c>
      <c r="M1043" s="7" t="s">
        <v>2315</v>
      </c>
      <c r="N1043" s="8">
        <f>VLOOKUP(B1043,'[1]новый без картинок'!$A$5:$F$2672,6,0)</f>
        <v>315</v>
      </c>
    </row>
    <row r="1044" spans="1:14" ht="151.15" customHeight="1" x14ac:dyDescent="0.2">
      <c r="A1044" s="3">
        <v>1042</v>
      </c>
      <c r="B1044" s="3">
        <v>185161</v>
      </c>
      <c r="C1044" s="4" t="str">
        <f>HYPERLINK("http://optservis.net:5080/photo?tov_code_internet=185161","Увеличить")</f>
        <v>Увеличить</v>
      </c>
      <c r="D1044" s="3" t="s">
        <v>2312</v>
      </c>
      <c r="E1044" s="3" t="s">
        <v>2316</v>
      </c>
      <c r="F1044" s="3" t="s">
        <v>2297</v>
      </c>
      <c r="G1044" s="3" t="s">
        <v>430</v>
      </c>
      <c r="H1044" s="3">
        <v>0.5</v>
      </c>
      <c r="I1044" s="3">
        <v>0</v>
      </c>
      <c r="J1044" s="3" t="s">
        <v>18</v>
      </c>
      <c r="K1044" s="5">
        <v>0.09</v>
      </c>
      <c r="L1044" s="6">
        <v>4690654015527</v>
      </c>
      <c r="M1044" s="7" t="s">
        <v>2315</v>
      </c>
      <c r="N1044" s="8">
        <f>VLOOKUP(B1044,'[1]новый без картинок'!$A$5:$F$2672,6,0)</f>
        <v>324</v>
      </c>
    </row>
    <row r="1045" spans="1:14" ht="151.15" customHeight="1" x14ac:dyDescent="0.2">
      <c r="A1045" s="3">
        <v>1043</v>
      </c>
      <c r="B1045" s="3">
        <v>204660</v>
      </c>
      <c r="C1045" s="4" t="str">
        <f>HYPERLINK("http://optservis.net:5080/photo?tov_code_internet=204660","Увеличить")</f>
        <v>Увеличить</v>
      </c>
      <c r="D1045" s="3" t="s">
        <v>2317</v>
      </c>
      <c r="E1045" s="3"/>
      <c r="F1045" s="3" t="s">
        <v>444</v>
      </c>
      <c r="G1045" s="3" t="s">
        <v>430</v>
      </c>
      <c r="H1045" s="3">
        <v>0.5</v>
      </c>
      <c r="I1045" s="3">
        <v>0</v>
      </c>
      <c r="J1045" s="3" t="s">
        <v>18</v>
      </c>
      <c r="K1045" s="5">
        <v>7.0000000000000007E-2</v>
      </c>
      <c r="L1045" s="6">
        <v>0</v>
      </c>
      <c r="M1045" s="7" t="s">
        <v>2285</v>
      </c>
      <c r="N1045" s="8">
        <f>VLOOKUP(B1045,'[1]новый без картинок'!$A$5:$F$2672,6,0)</f>
        <v>345</v>
      </c>
    </row>
    <row r="1046" spans="1:14" ht="151.15" customHeight="1" x14ac:dyDescent="0.2">
      <c r="A1046" s="3">
        <v>1044</v>
      </c>
      <c r="B1046" s="3">
        <v>188647</v>
      </c>
      <c r="C1046" s="4" t="str">
        <f>HYPERLINK("http://optservis.net:5080/photo?tov_code_internet=188647","Увеличить")</f>
        <v>Увеличить</v>
      </c>
      <c r="D1046" s="3" t="s">
        <v>2317</v>
      </c>
      <c r="E1046" s="3"/>
      <c r="F1046" s="3" t="s">
        <v>2288</v>
      </c>
      <c r="G1046" s="3" t="s">
        <v>430</v>
      </c>
      <c r="H1046" s="3">
        <v>0.5</v>
      </c>
      <c r="I1046" s="3">
        <v>0</v>
      </c>
      <c r="J1046" s="3" t="s">
        <v>18</v>
      </c>
      <c r="K1046" s="5">
        <v>7.0000000000000007E-2</v>
      </c>
      <c r="L1046" s="6">
        <v>0</v>
      </c>
      <c r="M1046" s="7" t="s">
        <v>2318</v>
      </c>
      <c r="N1046" s="8">
        <f>VLOOKUP(B1046,'[1]новый без картинок'!$A$5:$F$2672,6,0)</f>
        <v>326</v>
      </c>
    </row>
    <row r="1047" spans="1:14" ht="151.15" customHeight="1" x14ac:dyDescent="0.2">
      <c r="A1047" s="3">
        <v>1045</v>
      </c>
      <c r="B1047" s="3">
        <v>204669</v>
      </c>
      <c r="C1047" s="4" t="str">
        <f>HYPERLINK("http://optservis.net:5080/photo?tov_code_internet=204669","Увеличить")</f>
        <v>Увеличить</v>
      </c>
      <c r="D1047" s="3" t="s">
        <v>2319</v>
      </c>
      <c r="E1047" s="3"/>
      <c r="F1047" s="3" t="s">
        <v>2320</v>
      </c>
      <c r="G1047" s="3" t="s">
        <v>1469</v>
      </c>
      <c r="H1047" s="3">
        <v>0.5</v>
      </c>
      <c r="I1047" s="3">
        <v>0</v>
      </c>
      <c r="J1047" s="3" t="s">
        <v>18</v>
      </c>
      <c r="K1047" s="5">
        <v>7.0000000000000007E-2</v>
      </c>
      <c r="L1047" s="6">
        <v>0</v>
      </c>
      <c r="M1047" s="7" t="s">
        <v>2321</v>
      </c>
      <c r="N1047" s="8">
        <f>VLOOKUP(B1047,'[1]новый без картинок'!$A$5:$F$2672,6,0)</f>
        <v>432</v>
      </c>
    </row>
    <row r="1048" spans="1:14" ht="151.15" customHeight="1" x14ac:dyDescent="0.2">
      <c r="A1048" s="3">
        <v>1046</v>
      </c>
      <c r="B1048" s="3">
        <v>204668</v>
      </c>
      <c r="C1048" s="4" t="str">
        <f>HYPERLINK("http://optservis.net:5080/photo?tov_code_internet=204668","Увеличить")</f>
        <v>Увеличить</v>
      </c>
      <c r="D1048" s="3" t="s">
        <v>2319</v>
      </c>
      <c r="E1048" s="3"/>
      <c r="F1048" s="3" t="s">
        <v>2322</v>
      </c>
      <c r="G1048" s="3" t="s">
        <v>1469</v>
      </c>
      <c r="H1048" s="3">
        <v>0.5</v>
      </c>
      <c r="I1048" s="3">
        <v>0</v>
      </c>
      <c r="J1048" s="3" t="s">
        <v>18</v>
      </c>
      <c r="K1048" s="5">
        <v>7.0000000000000007E-2</v>
      </c>
      <c r="L1048" s="6">
        <v>0</v>
      </c>
      <c r="M1048" s="7" t="s">
        <v>2321</v>
      </c>
      <c r="N1048" s="8">
        <f>VLOOKUP(B1048,'[1]новый без картинок'!$A$5:$F$2672,6,0)</f>
        <v>442</v>
      </c>
    </row>
    <row r="1049" spans="1:14" ht="151.15" customHeight="1" x14ac:dyDescent="0.2">
      <c r="A1049" s="3">
        <v>1047</v>
      </c>
      <c r="B1049" s="3">
        <v>188508</v>
      </c>
      <c r="C1049" s="4" t="str">
        <f>HYPERLINK("http://optservis.net:5080/photo?tov_code_internet=188508","Увеличить")</f>
        <v>Увеличить</v>
      </c>
      <c r="D1049" s="3" t="s">
        <v>2319</v>
      </c>
      <c r="E1049" s="3"/>
      <c r="F1049" s="3" t="s">
        <v>2323</v>
      </c>
      <c r="G1049" s="3" t="s">
        <v>1469</v>
      </c>
      <c r="H1049" s="3">
        <v>0.5</v>
      </c>
      <c r="I1049" s="3">
        <v>0</v>
      </c>
      <c r="J1049" s="3" t="s">
        <v>18</v>
      </c>
      <c r="K1049" s="5">
        <v>0.08</v>
      </c>
      <c r="L1049" s="6">
        <v>0</v>
      </c>
      <c r="M1049" s="7" t="s">
        <v>2324</v>
      </c>
      <c r="N1049" s="8">
        <f>VLOOKUP(B1049,'[1]новый без картинок'!$A$5:$F$2672,6,0)</f>
        <v>433</v>
      </c>
    </row>
    <row r="1050" spans="1:14" ht="151.15" customHeight="1" x14ac:dyDescent="0.2">
      <c r="A1050" s="3">
        <v>1048</v>
      </c>
      <c r="B1050" s="3">
        <v>188548</v>
      </c>
      <c r="C1050" s="4" t="str">
        <f>HYPERLINK("http://optservis.net:5080/photo?tov_code_internet=188548","Увеличить")</f>
        <v>Увеличить</v>
      </c>
      <c r="D1050" s="3" t="s">
        <v>2319</v>
      </c>
      <c r="E1050" s="3"/>
      <c r="F1050" s="3" t="s">
        <v>2325</v>
      </c>
      <c r="G1050" s="3" t="s">
        <v>1469</v>
      </c>
      <c r="H1050" s="3">
        <v>0.5</v>
      </c>
      <c r="I1050" s="3">
        <v>0</v>
      </c>
      <c r="J1050" s="3" t="s">
        <v>18</v>
      </c>
      <c r="K1050" s="5">
        <v>7.0000000000000007E-2</v>
      </c>
      <c r="L1050" s="6">
        <v>0</v>
      </c>
      <c r="M1050" s="7" t="s">
        <v>2264</v>
      </c>
      <c r="N1050" s="8">
        <f>VLOOKUP(B1050,'[1]новый без картинок'!$A$5:$F$2672,6,0)</f>
        <v>460</v>
      </c>
    </row>
    <row r="1051" spans="1:14" ht="151.15" customHeight="1" x14ac:dyDescent="0.2">
      <c r="A1051" s="3">
        <v>1049</v>
      </c>
      <c r="B1051" s="3">
        <v>208649</v>
      </c>
      <c r="C1051" s="4" t="str">
        <f>HYPERLINK("http://optservis.net:5080/photo?tov_code_internet=208649","Увеличить")</f>
        <v>Увеличить</v>
      </c>
      <c r="D1051" s="3" t="s">
        <v>2326</v>
      </c>
      <c r="E1051" s="3"/>
      <c r="F1051" s="3" t="s">
        <v>444</v>
      </c>
      <c r="G1051" s="3" t="s">
        <v>430</v>
      </c>
      <c r="H1051" s="3">
        <v>0.5</v>
      </c>
      <c r="I1051" s="3">
        <v>0</v>
      </c>
      <c r="J1051" s="3" t="s">
        <v>18</v>
      </c>
      <c r="K1051" s="5">
        <v>0.09</v>
      </c>
      <c r="L1051" s="6">
        <v>0</v>
      </c>
      <c r="M1051" s="7" t="s">
        <v>2268</v>
      </c>
      <c r="N1051" s="8">
        <f>VLOOKUP(B1051,'[1]новый без картинок'!$A$5:$F$2672,6,0)</f>
        <v>347</v>
      </c>
    </row>
    <row r="1052" spans="1:14" ht="151.15" customHeight="1" x14ac:dyDescent="0.2">
      <c r="A1052" s="3">
        <v>1050</v>
      </c>
      <c r="B1052" s="3">
        <v>208648</v>
      </c>
      <c r="C1052" s="4" t="str">
        <f>HYPERLINK("http://optservis.net:5080/photo?tov_code_internet=208648","Увеличить")</f>
        <v>Увеличить</v>
      </c>
      <c r="D1052" s="3" t="s">
        <v>2326</v>
      </c>
      <c r="E1052" s="3"/>
      <c r="F1052" s="3" t="s">
        <v>2297</v>
      </c>
      <c r="G1052" s="3" t="s">
        <v>430</v>
      </c>
      <c r="H1052" s="3">
        <v>0.5</v>
      </c>
      <c r="I1052" s="3">
        <v>0</v>
      </c>
      <c r="J1052" s="3" t="s">
        <v>18</v>
      </c>
      <c r="K1052" s="5">
        <v>0.1</v>
      </c>
      <c r="L1052" s="6">
        <v>0</v>
      </c>
      <c r="M1052" s="7" t="s">
        <v>2268</v>
      </c>
      <c r="N1052" s="8">
        <f>VLOOKUP(B1052,'[1]новый без картинок'!$A$5:$F$2672,6,0)</f>
        <v>338</v>
      </c>
    </row>
    <row r="1053" spans="1:14" ht="151.15" customHeight="1" x14ac:dyDescent="0.2">
      <c r="A1053" s="3">
        <v>1051</v>
      </c>
      <c r="B1053" s="3">
        <v>204670</v>
      </c>
      <c r="C1053" s="4" t="str">
        <f>HYPERLINK("http://optservis.net:5080/photo?tov_code_internet=204670","Увеличить")</f>
        <v>Увеличить</v>
      </c>
      <c r="D1053" s="3" t="s">
        <v>2327</v>
      </c>
      <c r="E1053" s="3"/>
      <c r="F1053" s="3" t="s">
        <v>2328</v>
      </c>
      <c r="G1053" s="3" t="s">
        <v>1479</v>
      </c>
      <c r="H1053" s="3">
        <v>0.5</v>
      </c>
      <c r="I1053" s="3">
        <v>0</v>
      </c>
      <c r="J1053" s="3" t="s">
        <v>18</v>
      </c>
      <c r="K1053" s="5">
        <v>0.05</v>
      </c>
      <c r="L1053" s="6">
        <v>0</v>
      </c>
      <c r="M1053" s="7" t="s">
        <v>2329</v>
      </c>
      <c r="N1053" s="8">
        <f>VLOOKUP(B1053,'[1]новый без картинок'!$A$5:$F$2672,6,0)</f>
        <v>449</v>
      </c>
    </row>
    <row r="1054" spans="1:14" ht="151.15" customHeight="1" x14ac:dyDescent="0.2">
      <c r="A1054" s="3">
        <v>1052</v>
      </c>
      <c r="B1054" s="3">
        <v>188552</v>
      </c>
      <c r="C1054" s="4" t="str">
        <f>HYPERLINK("http://optservis.net:5080/photo?tov_code_internet=188552","Увеличить")</f>
        <v>Увеличить</v>
      </c>
      <c r="D1054" s="3" t="s">
        <v>2327</v>
      </c>
      <c r="E1054" s="3"/>
      <c r="F1054" s="3" t="s">
        <v>2330</v>
      </c>
      <c r="G1054" s="3" t="s">
        <v>1479</v>
      </c>
      <c r="H1054" s="3">
        <v>0.5</v>
      </c>
      <c r="I1054" s="3">
        <v>0</v>
      </c>
      <c r="J1054" s="3" t="s">
        <v>18</v>
      </c>
      <c r="K1054" s="5">
        <v>0.06</v>
      </c>
      <c r="L1054" s="6">
        <v>0</v>
      </c>
      <c r="M1054" s="7" t="s">
        <v>2331</v>
      </c>
      <c r="N1054" s="8">
        <f>VLOOKUP(B1054,'[1]новый без картинок'!$A$5:$F$2672,6,0)</f>
        <v>439</v>
      </c>
    </row>
    <row r="1055" spans="1:14" ht="151.15" customHeight="1" x14ac:dyDescent="0.2">
      <c r="A1055" s="3">
        <v>1053</v>
      </c>
      <c r="B1055" s="3">
        <v>188307</v>
      </c>
      <c r="C1055" s="4" t="str">
        <f>HYPERLINK("http://optservis.net:5080/photo?tov_code_internet=188307","Увеличить")</f>
        <v>Увеличить</v>
      </c>
      <c r="D1055" s="3" t="s">
        <v>2332</v>
      </c>
      <c r="E1055" s="3"/>
      <c r="F1055" s="3" t="s">
        <v>2288</v>
      </c>
      <c r="G1055" s="3" t="s">
        <v>430</v>
      </c>
      <c r="H1055" s="3">
        <v>0.5</v>
      </c>
      <c r="I1055" s="3">
        <v>0</v>
      </c>
      <c r="J1055" s="3" t="s">
        <v>18</v>
      </c>
      <c r="K1055" s="5">
        <v>0.14000000000000001</v>
      </c>
      <c r="L1055" s="6">
        <v>0</v>
      </c>
      <c r="M1055" s="7" t="s">
        <v>2333</v>
      </c>
      <c r="N1055" s="8">
        <f>VLOOKUP(B1055,'[1]новый без картинок'!$A$5:$F$2672,6,0)</f>
        <v>458</v>
      </c>
    </row>
    <row r="1056" spans="1:14" ht="151.15" customHeight="1" x14ac:dyDescent="0.2">
      <c r="A1056" s="3">
        <v>1054</v>
      </c>
      <c r="B1056" s="3">
        <v>204662</v>
      </c>
      <c r="C1056" s="4" t="str">
        <f>HYPERLINK("http://optservis.net:5080/photo?tov_code_internet=204662","Увеличить")</f>
        <v>Увеличить</v>
      </c>
      <c r="D1056" s="3" t="s">
        <v>2334</v>
      </c>
      <c r="E1056" s="3"/>
      <c r="F1056" s="3" t="s">
        <v>2335</v>
      </c>
      <c r="G1056" s="3" t="s">
        <v>430</v>
      </c>
      <c r="H1056" s="3">
        <v>0.5</v>
      </c>
      <c r="I1056" s="3">
        <v>0</v>
      </c>
      <c r="J1056" s="3" t="s">
        <v>18</v>
      </c>
      <c r="K1056" s="5">
        <v>0.09</v>
      </c>
      <c r="L1056" s="6">
        <v>0</v>
      </c>
      <c r="M1056" s="7" t="s">
        <v>2336</v>
      </c>
      <c r="N1056" s="8">
        <f>VLOOKUP(B1056,'[1]новый без картинок'!$A$5:$F$2672,6,0)</f>
        <v>350</v>
      </c>
    </row>
    <row r="1057" spans="1:14" ht="151.15" customHeight="1" x14ac:dyDescent="0.2">
      <c r="A1057" s="3">
        <v>1055</v>
      </c>
      <c r="B1057" s="3">
        <v>204663</v>
      </c>
      <c r="C1057" s="4" t="str">
        <f>HYPERLINK("http://optservis.net:5080/photo?tov_code_internet=204663","Увеличить")</f>
        <v>Увеличить</v>
      </c>
      <c r="D1057" s="3" t="s">
        <v>2334</v>
      </c>
      <c r="E1057" s="3"/>
      <c r="F1057" s="3" t="s">
        <v>2337</v>
      </c>
      <c r="G1057" s="3" t="s">
        <v>430</v>
      </c>
      <c r="H1057" s="3">
        <v>0.5</v>
      </c>
      <c r="I1057" s="3">
        <v>0</v>
      </c>
      <c r="J1057" s="3" t="s">
        <v>18</v>
      </c>
      <c r="K1057" s="5">
        <v>0.09</v>
      </c>
      <c r="L1057" s="6">
        <v>0</v>
      </c>
      <c r="M1057" s="7" t="s">
        <v>2336</v>
      </c>
      <c r="N1057" s="8">
        <f>VLOOKUP(B1057,'[1]новый без картинок'!$A$5:$F$2672,6,0)</f>
        <v>351</v>
      </c>
    </row>
    <row r="1058" spans="1:14" ht="151.15" customHeight="1" x14ac:dyDescent="0.2">
      <c r="A1058" s="3">
        <v>1056</v>
      </c>
      <c r="B1058" s="3">
        <v>199587</v>
      </c>
      <c r="C1058" s="4" t="str">
        <f>HYPERLINK("http://optservis.net:5080/photo?tov_code_internet=199587","Увеличить")</f>
        <v>Увеличить</v>
      </c>
      <c r="D1058" s="3" t="s">
        <v>2334</v>
      </c>
      <c r="E1058" s="3"/>
      <c r="F1058" s="3" t="s">
        <v>2338</v>
      </c>
      <c r="G1058" s="3" t="s">
        <v>430</v>
      </c>
      <c r="H1058" s="3">
        <v>0.5</v>
      </c>
      <c r="I1058" s="3">
        <v>0</v>
      </c>
      <c r="J1058" s="3" t="s">
        <v>18</v>
      </c>
      <c r="K1058" s="5">
        <v>0.1</v>
      </c>
      <c r="L1058" s="6">
        <v>0</v>
      </c>
      <c r="M1058" s="7" t="s">
        <v>2339</v>
      </c>
      <c r="N1058" s="8">
        <f>VLOOKUP(B1058,'[1]новый без картинок'!$A$5:$F$2672,6,0)</f>
        <v>341</v>
      </c>
    </row>
    <row r="1059" spans="1:14" ht="151.15" customHeight="1" x14ac:dyDescent="0.2">
      <c r="A1059" s="3">
        <v>1057</v>
      </c>
      <c r="B1059" s="3">
        <v>192463</v>
      </c>
      <c r="C1059" s="4" t="str">
        <f>HYPERLINK("http://optservis.net:5080/photo?tov_code_internet=192463","Увеличить")</f>
        <v>Увеличить</v>
      </c>
      <c r="D1059" s="3" t="s">
        <v>2334</v>
      </c>
      <c r="E1059" s="3"/>
      <c r="F1059" s="3" t="s">
        <v>2340</v>
      </c>
      <c r="G1059" s="3" t="s">
        <v>430</v>
      </c>
      <c r="H1059" s="3">
        <v>0.5</v>
      </c>
      <c r="I1059" s="3">
        <v>0</v>
      </c>
      <c r="J1059" s="3" t="s">
        <v>18</v>
      </c>
      <c r="K1059" s="5">
        <v>0.1</v>
      </c>
      <c r="L1059" s="6">
        <v>0</v>
      </c>
      <c r="M1059" s="7" t="s">
        <v>2341</v>
      </c>
      <c r="N1059" s="8">
        <f>VLOOKUP(B1059,'[1]новый без картинок'!$A$5:$F$2672,6,0)</f>
        <v>343</v>
      </c>
    </row>
    <row r="1060" spans="1:14" ht="151.15" customHeight="1" x14ac:dyDescent="0.2">
      <c r="A1060" s="3">
        <v>1058</v>
      </c>
      <c r="B1060" s="3">
        <v>192464</v>
      </c>
      <c r="C1060" s="4" t="str">
        <f>HYPERLINK("http://optservis.net:5080/photo?tov_code_internet=192464","Увеличить")</f>
        <v>Увеличить</v>
      </c>
      <c r="D1060" s="3" t="s">
        <v>2334</v>
      </c>
      <c r="E1060" s="3" t="s">
        <v>2342</v>
      </c>
      <c r="F1060" s="3" t="s">
        <v>2288</v>
      </c>
      <c r="G1060" s="3" t="s">
        <v>430</v>
      </c>
      <c r="H1060" s="3">
        <v>0.5</v>
      </c>
      <c r="I1060" s="3">
        <v>0</v>
      </c>
      <c r="J1060" s="3" t="s">
        <v>18</v>
      </c>
      <c r="K1060" s="5">
        <v>0.1</v>
      </c>
      <c r="L1060" s="6">
        <v>4690654017187</v>
      </c>
      <c r="M1060" s="7" t="s">
        <v>2341</v>
      </c>
      <c r="N1060" s="8">
        <f>VLOOKUP(B1060,'[1]новый без картинок'!$A$5:$F$2672,6,0)</f>
        <v>339</v>
      </c>
    </row>
    <row r="1061" spans="1:14" ht="151.15" customHeight="1" x14ac:dyDescent="0.2">
      <c r="A1061" s="3">
        <v>1059</v>
      </c>
      <c r="B1061" s="3">
        <v>205216</v>
      </c>
      <c r="C1061" s="4" t="str">
        <f>HYPERLINK("http://optservis.net:5080/photo?tov_code_internet=205216","Увеличить")</f>
        <v>Увеличить</v>
      </c>
      <c r="D1061" s="3" t="s">
        <v>2343</v>
      </c>
      <c r="E1061" s="3"/>
      <c r="F1061" s="3" t="s">
        <v>2344</v>
      </c>
      <c r="G1061" s="3" t="s">
        <v>430</v>
      </c>
      <c r="H1061" s="3">
        <v>0.5</v>
      </c>
      <c r="I1061" s="3">
        <v>0</v>
      </c>
      <c r="J1061" s="3" t="s">
        <v>18</v>
      </c>
      <c r="K1061" s="5">
        <v>0.09</v>
      </c>
      <c r="L1061" s="6">
        <v>0</v>
      </c>
      <c r="M1061" s="7" t="s">
        <v>2345</v>
      </c>
      <c r="N1061" s="8">
        <f>VLOOKUP(B1061,'[1]новый без картинок'!$A$5:$F$2672,6,0)</f>
        <v>400</v>
      </c>
    </row>
    <row r="1062" spans="1:14" ht="151.15" customHeight="1" x14ac:dyDescent="0.2">
      <c r="A1062" s="3">
        <v>1060</v>
      </c>
      <c r="B1062" s="3">
        <v>205215</v>
      </c>
      <c r="C1062" s="4" t="str">
        <f>HYPERLINK("http://optservis.net:5080/photo?tov_code_internet=205215","Увеличить")</f>
        <v>Увеличить</v>
      </c>
      <c r="D1062" s="3" t="s">
        <v>2346</v>
      </c>
      <c r="E1062" s="3"/>
      <c r="F1062" s="3" t="s">
        <v>2347</v>
      </c>
      <c r="G1062" s="3" t="s">
        <v>430</v>
      </c>
      <c r="H1062" s="3">
        <v>0.5</v>
      </c>
      <c r="I1062" s="3">
        <v>0</v>
      </c>
      <c r="J1062" s="3" t="s">
        <v>18</v>
      </c>
      <c r="K1062" s="5">
        <v>0.08</v>
      </c>
      <c r="L1062" s="6">
        <v>0</v>
      </c>
      <c r="M1062" s="7" t="s">
        <v>2348</v>
      </c>
      <c r="N1062" s="8">
        <f>VLOOKUP(B1062,'[1]новый без картинок'!$A$5:$F$2672,6,0)</f>
        <v>347</v>
      </c>
    </row>
    <row r="1063" spans="1:14" ht="151.15" customHeight="1" x14ac:dyDescent="0.2">
      <c r="A1063" s="3">
        <v>1061</v>
      </c>
      <c r="B1063" s="3">
        <v>205218</v>
      </c>
      <c r="C1063" s="4" t="str">
        <f>HYPERLINK("http://optservis.net:5080/photo?tov_code_internet=205218","Увеличить")</f>
        <v>Увеличить</v>
      </c>
      <c r="D1063" s="3" t="s">
        <v>2349</v>
      </c>
      <c r="E1063" s="3"/>
      <c r="F1063" s="3" t="s">
        <v>2344</v>
      </c>
      <c r="G1063" s="3" t="s">
        <v>430</v>
      </c>
      <c r="H1063" s="3">
        <v>0.5</v>
      </c>
      <c r="I1063" s="3">
        <v>0</v>
      </c>
      <c r="J1063" s="3" t="s">
        <v>18</v>
      </c>
      <c r="K1063" s="5">
        <v>0.1</v>
      </c>
      <c r="L1063" s="6">
        <v>0</v>
      </c>
      <c r="M1063" s="7" t="s">
        <v>2350</v>
      </c>
      <c r="N1063" s="8">
        <f>VLOOKUP(B1063,'[1]новый без картинок'!$A$5:$F$2672,6,0)</f>
        <v>429</v>
      </c>
    </row>
    <row r="1064" spans="1:14" ht="151.15" customHeight="1" x14ac:dyDescent="0.2">
      <c r="A1064" s="3">
        <v>1062</v>
      </c>
      <c r="B1064" s="3">
        <v>205217</v>
      </c>
      <c r="C1064" s="4" t="str">
        <f>HYPERLINK("http://optservis.net:5080/photo?tov_code_internet=205217","Увеличить")</f>
        <v>Увеличить</v>
      </c>
      <c r="D1064" s="3" t="s">
        <v>2351</v>
      </c>
      <c r="E1064" s="3"/>
      <c r="F1064" s="3" t="s">
        <v>2344</v>
      </c>
      <c r="G1064" s="3" t="s">
        <v>430</v>
      </c>
      <c r="H1064" s="3">
        <v>0.5</v>
      </c>
      <c r="I1064" s="3">
        <v>0</v>
      </c>
      <c r="J1064" s="3" t="s">
        <v>18</v>
      </c>
      <c r="K1064" s="5">
        <v>7.0000000000000007E-2</v>
      </c>
      <c r="L1064" s="6">
        <v>0</v>
      </c>
      <c r="M1064" s="7" t="s">
        <v>2348</v>
      </c>
      <c r="N1064" s="8">
        <f>VLOOKUP(B1064,'[1]новый без картинок'!$A$5:$F$2672,6,0)</f>
        <v>390</v>
      </c>
    </row>
    <row r="1065" spans="1:14" ht="151.15" customHeight="1" x14ac:dyDescent="0.2">
      <c r="A1065" s="3">
        <v>1063</v>
      </c>
      <c r="B1065" s="3">
        <v>205219</v>
      </c>
      <c r="C1065" s="4" t="str">
        <f>HYPERLINK("http://optservis.net:5080/photo?tov_code_internet=205219","Увеличить")</f>
        <v>Увеличить</v>
      </c>
      <c r="D1065" s="3" t="s">
        <v>2352</v>
      </c>
      <c r="E1065" s="3"/>
      <c r="F1065" s="3" t="s">
        <v>2353</v>
      </c>
      <c r="G1065" s="3" t="s">
        <v>1479</v>
      </c>
      <c r="H1065" s="3">
        <v>0.5</v>
      </c>
      <c r="I1065" s="3">
        <v>0</v>
      </c>
      <c r="J1065" s="3" t="s">
        <v>18</v>
      </c>
      <c r="K1065" s="5">
        <v>0.06</v>
      </c>
      <c r="L1065" s="6">
        <v>0</v>
      </c>
      <c r="M1065" s="7" t="s">
        <v>2354</v>
      </c>
      <c r="N1065" s="8">
        <f>VLOOKUP(B1065,'[1]новый без картинок'!$A$5:$F$2672,6,0)</f>
        <v>529</v>
      </c>
    </row>
    <row r="1066" spans="1:14" ht="151.15" customHeight="1" x14ac:dyDescent="0.2">
      <c r="A1066" s="3">
        <v>1064</v>
      </c>
      <c r="B1066" s="3">
        <v>205205</v>
      </c>
      <c r="C1066" s="4" t="str">
        <f>HYPERLINK("http://optservis.net:5080/photo?tov_code_internet=205205","Увеличить")</f>
        <v>Увеличить</v>
      </c>
      <c r="D1066" s="3" t="s">
        <v>2355</v>
      </c>
      <c r="E1066" s="3"/>
      <c r="F1066" s="3" t="s">
        <v>2356</v>
      </c>
      <c r="G1066" s="3" t="s">
        <v>430</v>
      </c>
      <c r="H1066" s="3">
        <v>0.5</v>
      </c>
      <c r="I1066" s="3">
        <v>0</v>
      </c>
      <c r="J1066" s="3" t="s">
        <v>18</v>
      </c>
      <c r="K1066" s="5">
        <v>0.08</v>
      </c>
      <c r="L1066" s="6">
        <v>0</v>
      </c>
      <c r="M1066" s="7" t="s">
        <v>2348</v>
      </c>
      <c r="N1066" s="8">
        <f>VLOOKUP(B1066,'[1]новый без картинок'!$A$5:$F$2672,6,0)</f>
        <v>334</v>
      </c>
    </row>
    <row r="1067" spans="1:14" ht="151.15" customHeight="1" x14ac:dyDescent="0.2">
      <c r="A1067" s="3">
        <v>1065</v>
      </c>
      <c r="B1067" s="3">
        <v>205204</v>
      </c>
      <c r="C1067" s="4" t="str">
        <f>HYPERLINK("http://optservis.net:5080/photo?tov_code_internet=205204","Увеличить")</f>
        <v>Увеличить</v>
      </c>
      <c r="D1067" s="3" t="s">
        <v>2355</v>
      </c>
      <c r="E1067" s="3" t="s">
        <v>2357</v>
      </c>
      <c r="F1067" s="3" t="s">
        <v>2344</v>
      </c>
      <c r="G1067" s="3" t="s">
        <v>430</v>
      </c>
      <c r="H1067" s="3">
        <v>0.5</v>
      </c>
      <c r="I1067" s="3">
        <v>0</v>
      </c>
      <c r="J1067" s="3" t="s">
        <v>18</v>
      </c>
      <c r="K1067" s="5">
        <v>0.08</v>
      </c>
      <c r="L1067" s="6">
        <v>4690654017415</v>
      </c>
      <c r="M1067" s="7" t="s">
        <v>2348</v>
      </c>
      <c r="N1067" s="8">
        <f>VLOOKUP(B1067,'[1]новый без картинок'!$A$5:$F$2672,6,0)</f>
        <v>326</v>
      </c>
    </row>
    <row r="1068" spans="1:14" ht="151.15" customHeight="1" x14ac:dyDescent="0.2">
      <c r="A1068" s="3">
        <v>1066</v>
      </c>
      <c r="B1068" s="3">
        <v>205206</v>
      </c>
      <c r="C1068" s="4" t="str">
        <f>HYPERLINK("http://optservis.net:5080/photo?tov_code_internet=205206","Увеличить")</f>
        <v>Увеличить</v>
      </c>
      <c r="D1068" s="3" t="s">
        <v>2358</v>
      </c>
      <c r="E1068" s="3"/>
      <c r="F1068" s="3" t="s">
        <v>2344</v>
      </c>
      <c r="G1068" s="3" t="s">
        <v>430</v>
      </c>
      <c r="H1068" s="3">
        <v>0.5</v>
      </c>
      <c r="I1068" s="3">
        <v>0</v>
      </c>
      <c r="J1068" s="3" t="s">
        <v>18</v>
      </c>
      <c r="K1068" s="5">
        <v>7.0000000000000007E-2</v>
      </c>
      <c r="L1068" s="6">
        <v>0</v>
      </c>
      <c r="M1068" s="7" t="s">
        <v>2348</v>
      </c>
      <c r="N1068" s="8">
        <f>VLOOKUP(B1068,'[1]новый без картинок'!$A$5:$F$2672,6,0)</f>
        <v>337</v>
      </c>
    </row>
    <row r="1069" spans="1:14" ht="151.15" customHeight="1" x14ac:dyDescent="0.2">
      <c r="A1069" s="3">
        <v>1067</v>
      </c>
      <c r="B1069" s="3">
        <v>205209</v>
      </c>
      <c r="C1069" s="4" t="str">
        <f>HYPERLINK("http://optservis.net:5080/photo?tov_code_internet=205209","Увеличить")</f>
        <v>Увеличить</v>
      </c>
      <c r="D1069" s="3" t="s">
        <v>2359</v>
      </c>
      <c r="E1069" s="3"/>
      <c r="F1069" s="3" t="s">
        <v>2360</v>
      </c>
      <c r="G1069" s="3" t="s">
        <v>1469</v>
      </c>
      <c r="H1069" s="3">
        <v>0.5</v>
      </c>
      <c r="I1069" s="3">
        <v>0</v>
      </c>
      <c r="J1069" s="3" t="s">
        <v>18</v>
      </c>
      <c r="K1069" s="5">
        <v>7.0000000000000007E-2</v>
      </c>
      <c r="L1069" s="6">
        <v>0</v>
      </c>
      <c r="M1069" s="7" t="s">
        <v>2361</v>
      </c>
      <c r="N1069" s="8">
        <f>VLOOKUP(B1069,'[1]новый без картинок'!$A$5:$F$2672,6,0)</f>
        <v>445</v>
      </c>
    </row>
    <row r="1070" spans="1:14" ht="151.15" customHeight="1" x14ac:dyDescent="0.2">
      <c r="A1070" s="3">
        <v>1068</v>
      </c>
      <c r="B1070" s="3">
        <v>205208</v>
      </c>
      <c r="C1070" s="4" t="str">
        <f>HYPERLINK("http://optservis.net:5080/photo?tov_code_internet=205208","Увеличить")</f>
        <v>Увеличить</v>
      </c>
      <c r="D1070" s="3" t="s">
        <v>2359</v>
      </c>
      <c r="E1070" s="3"/>
      <c r="F1070" s="3" t="s">
        <v>2362</v>
      </c>
      <c r="G1070" s="3" t="s">
        <v>1469</v>
      </c>
      <c r="H1070" s="3">
        <v>0.5</v>
      </c>
      <c r="I1070" s="3">
        <v>0</v>
      </c>
      <c r="J1070" s="3" t="s">
        <v>18</v>
      </c>
      <c r="K1070" s="5">
        <v>7.0000000000000007E-2</v>
      </c>
      <c r="L1070" s="6">
        <v>0</v>
      </c>
      <c r="M1070" s="7" t="s">
        <v>2361</v>
      </c>
      <c r="N1070" s="8">
        <f>VLOOKUP(B1070,'[1]новый без картинок'!$A$5:$F$2672,6,0)</f>
        <v>434</v>
      </c>
    </row>
    <row r="1071" spans="1:14" ht="151.15" customHeight="1" x14ac:dyDescent="0.2">
      <c r="A1071" s="3">
        <v>1069</v>
      </c>
      <c r="B1071" s="3">
        <v>205207</v>
      </c>
      <c r="C1071" s="4" t="str">
        <f>HYPERLINK("http://optservis.net:5080/photo?tov_code_internet=205207","Увеличить")</f>
        <v>Увеличить</v>
      </c>
      <c r="D1071" s="3" t="s">
        <v>2359</v>
      </c>
      <c r="E1071" s="3"/>
      <c r="F1071" s="3" t="s">
        <v>2363</v>
      </c>
      <c r="G1071" s="3" t="s">
        <v>1469</v>
      </c>
      <c r="H1071" s="3">
        <v>0.5</v>
      </c>
      <c r="I1071" s="3">
        <v>0</v>
      </c>
      <c r="J1071" s="3" t="s">
        <v>18</v>
      </c>
      <c r="K1071" s="5">
        <v>7.0000000000000007E-2</v>
      </c>
      <c r="L1071" s="6">
        <v>0</v>
      </c>
      <c r="M1071" s="7" t="s">
        <v>2361</v>
      </c>
      <c r="N1071" s="8">
        <f>VLOOKUP(B1071,'[1]новый без картинок'!$A$5:$F$2672,6,0)</f>
        <v>445</v>
      </c>
    </row>
    <row r="1072" spans="1:14" ht="151.15" customHeight="1" x14ac:dyDescent="0.2">
      <c r="A1072" s="3">
        <v>1070</v>
      </c>
      <c r="B1072" s="3">
        <v>208650</v>
      </c>
      <c r="C1072" s="4" t="str">
        <f>HYPERLINK("http://optservis.net:5080/photo?tov_code_internet=208650","Увеличить")</f>
        <v>Увеличить</v>
      </c>
      <c r="D1072" s="3" t="s">
        <v>2364</v>
      </c>
      <c r="E1072" s="3"/>
      <c r="F1072" s="3" t="s">
        <v>2347</v>
      </c>
      <c r="G1072" s="3" t="s">
        <v>430</v>
      </c>
      <c r="H1072" s="3">
        <v>0.5</v>
      </c>
      <c r="I1072" s="3">
        <v>0</v>
      </c>
      <c r="J1072" s="3" t="s">
        <v>18</v>
      </c>
      <c r="K1072" s="5">
        <v>0.09</v>
      </c>
      <c r="L1072" s="6">
        <v>0</v>
      </c>
      <c r="M1072" s="7" t="s">
        <v>2268</v>
      </c>
      <c r="N1072" s="8">
        <f>VLOOKUP(B1072,'[1]новый без картинок'!$A$5:$F$2672,6,0)</f>
        <v>348</v>
      </c>
    </row>
    <row r="1073" spans="1:14" ht="151.15" customHeight="1" x14ac:dyDescent="0.2">
      <c r="A1073" s="3">
        <v>1071</v>
      </c>
      <c r="B1073" s="3">
        <v>205210</v>
      </c>
      <c r="C1073" s="4" t="str">
        <f>HYPERLINK("http://optservis.net:5080/photo?tov_code_internet=205210","Увеличить")</f>
        <v>Увеличить</v>
      </c>
      <c r="D1073" s="3" t="s">
        <v>2364</v>
      </c>
      <c r="E1073" s="3"/>
      <c r="F1073" s="3" t="s">
        <v>2344</v>
      </c>
      <c r="G1073" s="3" t="s">
        <v>430</v>
      </c>
      <c r="H1073" s="3">
        <v>0.5</v>
      </c>
      <c r="I1073" s="3">
        <v>0</v>
      </c>
      <c r="J1073" s="3" t="s">
        <v>18</v>
      </c>
      <c r="K1073" s="5">
        <v>0.09</v>
      </c>
      <c r="L1073" s="6">
        <v>0</v>
      </c>
      <c r="M1073" s="7" t="s">
        <v>2348</v>
      </c>
      <c r="N1073" s="8">
        <f>VLOOKUP(B1073,'[1]новый без картинок'!$A$5:$F$2672,6,0)</f>
        <v>341</v>
      </c>
    </row>
    <row r="1074" spans="1:14" ht="151.15" customHeight="1" x14ac:dyDescent="0.2">
      <c r="A1074" s="3">
        <v>1072</v>
      </c>
      <c r="B1074" s="3">
        <v>205211</v>
      </c>
      <c r="C1074" s="4" t="str">
        <f>HYPERLINK("http://optservis.net:5080/photo?tov_code_internet=205211","Увеличить")</f>
        <v>Увеличить</v>
      </c>
      <c r="D1074" s="3" t="s">
        <v>2365</v>
      </c>
      <c r="E1074" s="3"/>
      <c r="F1074" s="3" t="s">
        <v>2366</v>
      </c>
      <c r="G1074" s="3" t="s">
        <v>1479</v>
      </c>
      <c r="H1074" s="3">
        <v>0.5</v>
      </c>
      <c r="I1074" s="3">
        <v>0</v>
      </c>
      <c r="J1074" s="3" t="s">
        <v>18</v>
      </c>
      <c r="K1074" s="5">
        <v>0.05</v>
      </c>
      <c r="L1074" s="6">
        <v>0</v>
      </c>
      <c r="M1074" s="7" t="s">
        <v>2367</v>
      </c>
      <c r="N1074" s="8">
        <f>VLOOKUP(B1074,'[1]новый без картинок'!$A$5:$F$2672,6,0)</f>
        <v>446</v>
      </c>
    </row>
    <row r="1075" spans="1:14" ht="151.15" customHeight="1" x14ac:dyDescent="0.2">
      <c r="A1075" s="3">
        <v>1073</v>
      </c>
      <c r="B1075" s="3">
        <v>205214</v>
      </c>
      <c r="C1075" s="4" t="str">
        <f>HYPERLINK("http://optservis.net:5080/photo?tov_code_internet=205214","Увеличить")</f>
        <v>Увеличить</v>
      </c>
      <c r="D1075" s="3" t="s">
        <v>2368</v>
      </c>
      <c r="E1075" s="3"/>
      <c r="F1075" s="3" t="s">
        <v>2369</v>
      </c>
      <c r="G1075" s="3" t="s">
        <v>430</v>
      </c>
      <c r="H1075" s="3">
        <v>0.5</v>
      </c>
      <c r="I1075" s="3">
        <v>0</v>
      </c>
      <c r="J1075" s="3" t="s">
        <v>18</v>
      </c>
      <c r="K1075" s="5">
        <v>0.09</v>
      </c>
      <c r="L1075" s="6">
        <v>0</v>
      </c>
      <c r="M1075" s="7" t="s">
        <v>2370</v>
      </c>
      <c r="N1075" s="8">
        <f>VLOOKUP(B1075,'[1]новый без картинок'!$A$5:$F$2672,6,0)</f>
        <v>354</v>
      </c>
    </row>
    <row r="1076" spans="1:14" ht="151.15" customHeight="1" x14ac:dyDescent="0.2">
      <c r="A1076" s="3">
        <v>1074</v>
      </c>
      <c r="B1076" s="3">
        <v>209465</v>
      </c>
      <c r="C1076" s="4" t="str">
        <f>HYPERLINK("http://optservis.net:5080/photo?tov_code_internet=209465","Увеличить")</f>
        <v>Увеличить</v>
      </c>
      <c r="D1076" s="3" t="s">
        <v>2371</v>
      </c>
      <c r="E1076" s="3"/>
      <c r="F1076" s="3" t="s">
        <v>429</v>
      </c>
      <c r="G1076" s="3" t="s">
        <v>430</v>
      </c>
      <c r="H1076" s="3">
        <v>0.5</v>
      </c>
      <c r="I1076" s="3">
        <v>0</v>
      </c>
      <c r="J1076" s="3" t="s">
        <v>18</v>
      </c>
      <c r="K1076" s="5">
        <v>0.08</v>
      </c>
      <c r="L1076" s="6">
        <v>0</v>
      </c>
      <c r="M1076" s="7" t="s">
        <v>2372</v>
      </c>
      <c r="N1076" s="8">
        <f>VLOOKUP(B1076,'[1]новый без картинок'!$A$5:$F$2672,6,0)</f>
        <v>329</v>
      </c>
    </row>
    <row r="1077" spans="1:14" ht="151.15" customHeight="1" x14ac:dyDescent="0.2">
      <c r="A1077" s="3">
        <v>1075</v>
      </c>
      <c r="B1077" s="3">
        <v>209634</v>
      </c>
      <c r="C1077" s="4" t="str">
        <f>HYPERLINK("http://optservis.net:5080/photo?tov_code_internet=209634","Увеличить")</f>
        <v>Увеличить</v>
      </c>
      <c r="D1077" s="3" t="s">
        <v>2373</v>
      </c>
      <c r="E1077" s="3"/>
      <c r="F1077" s="3" t="s">
        <v>2374</v>
      </c>
      <c r="G1077" s="3" t="s">
        <v>430</v>
      </c>
      <c r="H1077" s="3">
        <v>0.5</v>
      </c>
      <c r="I1077" s="3">
        <v>0</v>
      </c>
      <c r="J1077" s="3" t="s">
        <v>18</v>
      </c>
      <c r="K1077" s="5">
        <v>0.09</v>
      </c>
      <c r="L1077" s="6">
        <v>0</v>
      </c>
      <c r="M1077" s="7" t="s">
        <v>2375</v>
      </c>
      <c r="N1077" s="8">
        <f>VLOOKUP(B1077,'[1]новый без картинок'!$A$5:$F$2672,6,0)</f>
        <v>393</v>
      </c>
    </row>
    <row r="1078" spans="1:14" ht="151.15" customHeight="1" x14ac:dyDescent="0.2">
      <c r="A1078" s="3">
        <v>1076</v>
      </c>
      <c r="B1078" s="3">
        <v>209633</v>
      </c>
      <c r="C1078" s="4" t="str">
        <f>HYPERLINK("http://optservis.net:5080/photo?tov_code_internet=209633","Увеличить")</f>
        <v>Увеличить</v>
      </c>
      <c r="D1078" s="3" t="s">
        <v>2376</v>
      </c>
      <c r="E1078" s="3" t="s">
        <v>2377</v>
      </c>
      <c r="F1078" s="3" t="s">
        <v>2374</v>
      </c>
      <c r="G1078" s="3" t="s">
        <v>430</v>
      </c>
      <c r="H1078" s="3">
        <v>0.5</v>
      </c>
      <c r="I1078" s="3">
        <v>0</v>
      </c>
      <c r="J1078" s="3" t="s">
        <v>18</v>
      </c>
      <c r="K1078" s="5">
        <v>0.08</v>
      </c>
      <c r="L1078" s="6">
        <v>4690654021160</v>
      </c>
      <c r="M1078" s="7" t="s">
        <v>2372</v>
      </c>
      <c r="N1078" s="8">
        <f>VLOOKUP(B1078,'[1]новый без картинок'!$A$5:$F$2672,6,0)</f>
        <v>334</v>
      </c>
    </row>
    <row r="1079" spans="1:14" ht="151.15" customHeight="1" x14ac:dyDescent="0.2">
      <c r="A1079" s="3">
        <v>1077</v>
      </c>
      <c r="B1079" s="3">
        <v>209466</v>
      </c>
      <c r="C1079" s="4" t="str">
        <f>HYPERLINK("http://optservis.net:5080/photo?tov_code_internet=209466","Увеличить")</f>
        <v>Увеличить</v>
      </c>
      <c r="D1079" s="3" t="s">
        <v>2378</v>
      </c>
      <c r="E1079" s="3"/>
      <c r="F1079" s="3" t="s">
        <v>429</v>
      </c>
      <c r="G1079" s="3" t="s">
        <v>430</v>
      </c>
      <c r="H1079" s="3">
        <v>0.5</v>
      </c>
      <c r="I1079" s="3">
        <v>0</v>
      </c>
      <c r="J1079" s="3" t="s">
        <v>18</v>
      </c>
      <c r="K1079" s="5">
        <v>0.08</v>
      </c>
      <c r="L1079" s="6">
        <v>0</v>
      </c>
      <c r="M1079" s="7" t="s">
        <v>2372</v>
      </c>
      <c r="N1079" s="8">
        <f>VLOOKUP(B1079,'[1]новый без картинок'!$A$5:$F$2672,6,0)</f>
        <v>382</v>
      </c>
    </row>
    <row r="1080" spans="1:14" ht="151.15" customHeight="1" x14ac:dyDescent="0.2">
      <c r="A1080" s="3">
        <v>1078</v>
      </c>
      <c r="B1080" s="3">
        <v>209632</v>
      </c>
      <c r="C1080" s="4" t="str">
        <f>HYPERLINK("http://optservis.net:5080/photo?tov_code_internet=209632","Увеличить")</f>
        <v>Увеличить</v>
      </c>
      <c r="D1080" s="3" t="s">
        <v>2378</v>
      </c>
      <c r="E1080" s="3"/>
      <c r="F1080" s="3" t="s">
        <v>2374</v>
      </c>
      <c r="G1080" s="3" t="s">
        <v>430</v>
      </c>
      <c r="H1080" s="3">
        <v>0.5</v>
      </c>
      <c r="I1080" s="3">
        <v>0</v>
      </c>
      <c r="J1080" s="3" t="s">
        <v>18</v>
      </c>
      <c r="K1080" s="5">
        <v>0.08</v>
      </c>
      <c r="L1080" s="6">
        <v>0</v>
      </c>
      <c r="M1080" s="7" t="s">
        <v>2372</v>
      </c>
      <c r="N1080" s="8">
        <f>VLOOKUP(B1080,'[1]новый без картинок'!$A$5:$F$2672,6,0)</f>
        <v>382</v>
      </c>
    </row>
    <row r="1081" spans="1:14" ht="151.15" customHeight="1" x14ac:dyDescent="0.2">
      <c r="A1081" s="3">
        <v>1079</v>
      </c>
      <c r="B1081" s="3">
        <v>209467</v>
      </c>
      <c r="C1081" s="4" t="str">
        <f>HYPERLINK("http://optservis.net:5080/photo?tov_code_internet=209467","Увеличить")</f>
        <v>Увеличить</v>
      </c>
      <c r="D1081" s="3" t="s">
        <v>2379</v>
      </c>
      <c r="E1081" s="3"/>
      <c r="F1081" s="3" t="s">
        <v>2380</v>
      </c>
      <c r="G1081" s="3" t="s">
        <v>1479</v>
      </c>
      <c r="H1081" s="3">
        <v>0.5</v>
      </c>
      <c r="I1081" s="3">
        <v>0</v>
      </c>
      <c r="J1081" s="3" t="s">
        <v>18</v>
      </c>
      <c r="K1081" s="5">
        <v>0.06</v>
      </c>
      <c r="L1081" s="6">
        <v>0</v>
      </c>
      <c r="M1081" s="7" t="s">
        <v>2381</v>
      </c>
      <c r="N1081" s="8">
        <f>VLOOKUP(B1081,'[1]новый без картинок'!$A$5:$F$2672,6,0)</f>
        <v>521</v>
      </c>
    </row>
    <row r="1082" spans="1:14" ht="151.15" customHeight="1" x14ac:dyDescent="0.2">
      <c r="A1082" s="3">
        <v>1080</v>
      </c>
      <c r="B1082" s="3">
        <v>209631</v>
      </c>
      <c r="C1082" s="4" t="str">
        <f>HYPERLINK("http://optservis.net:5080/photo?tov_code_internet=209631","Увеличить")</f>
        <v>Увеличить</v>
      </c>
      <c r="D1082" s="3" t="s">
        <v>2379</v>
      </c>
      <c r="E1082" s="3"/>
      <c r="F1082" s="3" t="s">
        <v>2382</v>
      </c>
      <c r="G1082" s="3" t="s">
        <v>1479</v>
      </c>
      <c r="H1082" s="3">
        <v>0.5</v>
      </c>
      <c r="I1082" s="3">
        <v>0</v>
      </c>
      <c r="J1082" s="3" t="s">
        <v>18</v>
      </c>
      <c r="K1082" s="5">
        <v>0.06</v>
      </c>
      <c r="L1082" s="6">
        <v>0</v>
      </c>
      <c r="M1082" s="7" t="s">
        <v>2381</v>
      </c>
      <c r="N1082" s="8">
        <f>VLOOKUP(B1082,'[1]новый без картинок'!$A$5:$F$2672,6,0)</f>
        <v>521</v>
      </c>
    </row>
    <row r="1083" spans="1:14" ht="151.15" customHeight="1" x14ac:dyDescent="0.2">
      <c r="A1083" s="3">
        <v>1081</v>
      </c>
      <c r="B1083" s="3">
        <v>210811</v>
      </c>
      <c r="C1083" s="4" t="str">
        <f>HYPERLINK("http://optservis.net:5080/photo?tov_code_internet=210811","Увеличить")</f>
        <v>Увеличить</v>
      </c>
      <c r="D1083" s="3" t="s">
        <v>2383</v>
      </c>
      <c r="E1083" s="3"/>
      <c r="F1083" s="3" t="s">
        <v>2384</v>
      </c>
      <c r="G1083" s="3" t="s">
        <v>430</v>
      </c>
      <c r="H1083" s="3">
        <v>0.5</v>
      </c>
      <c r="I1083" s="3">
        <v>0</v>
      </c>
      <c r="J1083" s="3" t="s">
        <v>18</v>
      </c>
      <c r="K1083" s="5">
        <v>0.06</v>
      </c>
      <c r="L1083" s="6">
        <v>0</v>
      </c>
      <c r="M1083" s="7" t="s">
        <v>2385</v>
      </c>
      <c r="N1083" s="8">
        <f>VLOOKUP(B1083,'[1]новый без картинок'!$A$5:$F$2672,6,0)</f>
        <v>337</v>
      </c>
    </row>
    <row r="1084" spans="1:14" ht="151.15" customHeight="1" x14ac:dyDescent="0.2">
      <c r="A1084" s="3">
        <v>1082</v>
      </c>
      <c r="B1084" s="3">
        <v>210810</v>
      </c>
      <c r="C1084" s="4" t="str">
        <f>HYPERLINK("http://optservis.net:5080/photo?tov_code_internet=210810","Увеличить")</f>
        <v>Увеличить</v>
      </c>
      <c r="D1084" s="3" t="s">
        <v>2383</v>
      </c>
      <c r="E1084" s="3"/>
      <c r="F1084" s="3" t="s">
        <v>2386</v>
      </c>
      <c r="G1084" s="3" t="s">
        <v>430</v>
      </c>
      <c r="H1084" s="3">
        <v>0.5</v>
      </c>
      <c r="I1084" s="3">
        <v>0</v>
      </c>
      <c r="J1084" s="3" t="s">
        <v>18</v>
      </c>
      <c r="K1084" s="5">
        <v>0.06</v>
      </c>
      <c r="L1084" s="6">
        <v>0</v>
      </c>
      <c r="M1084" s="7" t="s">
        <v>2385</v>
      </c>
      <c r="N1084" s="8">
        <f>VLOOKUP(B1084,'[1]новый без картинок'!$A$5:$F$2672,6,0)</f>
        <v>337</v>
      </c>
    </row>
    <row r="1085" spans="1:14" ht="151.15" customHeight="1" x14ac:dyDescent="0.2">
      <c r="A1085" s="3">
        <v>1083</v>
      </c>
      <c r="B1085" s="3">
        <v>210797</v>
      </c>
      <c r="C1085" s="4" t="str">
        <f>HYPERLINK("http://optservis.net:5080/photo?tov_code_internet=210797","Увеличить")</f>
        <v>Увеличить</v>
      </c>
      <c r="D1085" s="3" t="s">
        <v>2383</v>
      </c>
      <c r="E1085" s="3"/>
      <c r="F1085" s="3" t="s">
        <v>2387</v>
      </c>
      <c r="G1085" s="3" t="s">
        <v>430</v>
      </c>
      <c r="H1085" s="3">
        <v>0.5</v>
      </c>
      <c r="I1085" s="3">
        <v>0</v>
      </c>
      <c r="J1085" s="3" t="s">
        <v>18</v>
      </c>
      <c r="K1085" s="5">
        <v>0.06</v>
      </c>
      <c r="L1085" s="6">
        <v>0</v>
      </c>
      <c r="M1085" s="7" t="s">
        <v>2388</v>
      </c>
      <c r="N1085" s="8">
        <f>VLOOKUP(B1085,'[1]новый без картинок'!$A$5:$F$2672,6,0)</f>
        <v>399</v>
      </c>
    </row>
    <row r="1086" spans="1:14" ht="151.15" customHeight="1" x14ac:dyDescent="0.2">
      <c r="A1086" s="3">
        <v>1084</v>
      </c>
      <c r="B1086" s="3">
        <v>209455</v>
      </c>
      <c r="C1086" s="4" t="str">
        <f>HYPERLINK("http://optservis.net:5080/photo?tov_code_internet=209455","Увеличить")</f>
        <v>Увеличить</v>
      </c>
      <c r="D1086" s="3" t="s">
        <v>2389</v>
      </c>
      <c r="E1086" s="3"/>
      <c r="F1086" s="3" t="s">
        <v>1486</v>
      </c>
      <c r="G1086" s="3" t="s">
        <v>430</v>
      </c>
      <c r="H1086" s="3">
        <v>0.5</v>
      </c>
      <c r="I1086" s="3">
        <v>0</v>
      </c>
      <c r="J1086" s="3" t="s">
        <v>18</v>
      </c>
      <c r="K1086" s="5">
        <v>0.08</v>
      </c>
      <c r="L1086" s="6">
        <v>0</v>
      </c>
      <c r="M1086" s="7" t="s">
        <v>2390</v>
      </c>
      <c r="N1086" s="8">
        <f>VLOOKUP(B1086,'[1]новый без картинок'!$A$5:$F$2672,6,0)</f>
        <v>319</v>
      </c>
    </row>
    <row r="1087" spans="1:14" ht="151.15" customHeight="1" x14ac:dyDescent="0.2">
      <c r="A1087" s="3">
        <v>1085</v>
      </c>
      <c r="B1087" s="3">
        <v>209457</v>
      </c>
      <c r="C1087" s="4" t="str">
        <f>HYPERLINK("http://optservis.net:5080/photo?tov_code_internet=209457","Увеличить")</f>
        <v>Увеличить</v>
      </c>
      <c r="D1087" s="3" t="s">
        <v>2389</v>
      </c>
      <c r="E1087" s="3"/>
      <c r="F1087" s="3" t="s">
        <v>1488</v>
      </c>
      <c r="G1087" s="3" t="s">
        <v>430</v>
      </c>
      <c r="H1087" s="3">
        <v>0.5</v>
      </c>
      <c r="I1087" s="3">
        <v>0</v>
      </c>
      <c r="J1087" s="3" t="s">
        <v>18</v>
      </c>
      <c r="K1087" s="5">
        <v>0.08</v>
      </c>
      <c r="L1087" s="6">
        <v>0</v>
      </c>
      <c r="M1087" s="7" t="s">
        <v>2390</v>
      </c>
      <c r="N1087" s="8">
        <f>VLOOKUP(B1087,'[1]новый без картинок'!$A$5:$F$2672,6,0)</f>
        <v>319</v>
      </c>
    </row>
    <row r="1088" spans="1:14" ht="151.15" customHeight="1" x14ac:dyDescent="0.2">
      <c r="A1088" s="3">
        <v>1086</v>
      </c>
      <c r="B1088" s="3">
        <v>209456</v>
      </c>
      <c r="C1088" s="4" t="str">
        <f>HYPERLINK("http://optservis.net:5080/photo?tov_code_internet=209456","Увеличить")</f>
        <v>Увеличить</v>
      </c>
      <c r="D1088" s="3" t="s">
        <v>2389</v>
      </c>
      <c r="E1088" s="3"/>
      <c r="F1088" s="3" t="s">
        <v>2391</v>
      </c>
      <c r="G1088" s="3" t="s">
        <v>430</v>
      </c>
      <c r="H1088" s="3">
        <v>0.5</v>
      </c>
      <c r="I1088" s="3">
        <v>0</v>
      </c>
      <c r="J1088" s="3" t="s">
        <v>18</v>
      </c>
      <c r="K1088" s="5">
        <v>0.08</v>
      </c>
      <c r="L1088" s="6">
        <v>0</v>
      </c>
      <c r="M1088" s="7" t="s">
        <v>2390</v>
      </c>
      <c r="N1088" s="8">
        <f>VLOOKUP(B1088,'[1]новый без картинок'!$A$5:$F$2672,6,0)</f>
        <v>326</v>
      </c>
    </row>
    <row r="1089" spans="1:14" ht="151.15" customHeight="1" x14ac:dyDescent="0.2">
      <c r="A1089" s="3">
        <v>1087</v>
      </c>
      <c r="B1089" s="3">
        <v>209623</v>
      </c>
      <c r="C1089" s="4" t="str">
        <f>HYPERLINK("http://optservis.net:5080/photo?tov_code_internet=209623","Увеличить")</f>
        <v>Увеличить</v>
      </c>
      <c r="D1089" s="3" t="s">
        <v>2389</v>
      </c>
      <c r="E1089" s="3"/>
      <c r="F1089" s="3" t="s">
        <v>2392</v>
      </c>
      <c r="G1089" s="3" t="s">
        <v>430</v>
      </c>
      <c r="H1089" s="3">
        <v>0.5</v>
      </c>
      <c r="I1089" s="3">
        <v>0</v>
      </c>
      <c r="J1089" s="3" t="s">
        <v>18</v>
      </c>
      <c r="K1089" s="5">
        <v>0.08</v>
      </c>
      <c r="L1089" s="6">
        <v>0</v>
      </c>
      <c r="M1089" s="7" t="s">
        <v>2390</v>
      </c>
      <c r="N1089" s="8">
        <f>VLOOKUP(B1089,'[1]новый без картинок'!$A$5:$F$2672,6,0)</f>
        <v>326</v>
      </c>
    </row>
    <row r="1090" spans="1:14" ht="151.15" customHeight="1" x14ac:dyDescent="0.2">
      <c r="A1090" s="3">
        <v>1088</v>
      </c>
      <c r="B1090" s="3">
        <v>209622</v>
      </c>
      <c r="C1090" s="4" t="str">
        <f>HYPERLINK("http://optservis.net:5080/photo?tov_code_internet=209622","Увеличить")</f>
        <v>Увеличить</v>
      </c>
      <c r="D1090" s="3" t="s">
        <v>2389</v>
      </c>
      <c r="E1090" s="3"/>
      <c r="F1090" s="3" t="s">
        <v>2393</v>
      </c>
      <c r="G1090" s="3" t="s">
        <v>430</v>
      </c>
      <c r="H1090" s="3">
        <v>0.5</v>
      </c>
      <c r="I1090" s="3">
        <v>0</v>
      </c>
      <c r="J1090" s="3" t="s">
        <v>18</v>
      </c>
      <c r="K1090" s="5">
        <v>0.08</v>
      </c>
      <c r="L1090" s="6">
        <v>0</v>
      </c>
      <c r="M1090" s="7" t="s">
        <v>2390</v>
      </c>
      <c r="N1090" s="8">
        <f>VLOOKUP(B1090,'[1]новый без картинок'!$A$5:$F$2672,6,0)</f>
        <v>319</v>
      </c>
    </row>
    <row r="1091" spans="1:14" ht="151.15" customHeight="1" x14ac:dyDescent="0.2">
      <c r="A1091" s="3">
        <v>1089</v>
      </c>
      <c r="B1091" s="3">
        <v>209624</v>
      </c>
      <c r="C1091" s="4" t="str">
        <f>HYPERLINK("http://optservis.net:5080/photo?tov_code_internet=209624","Увеличить")</f>
        <v>Увеличить</v>
      </c>
      <c r="D1091" s="3" t="s">
        <v>2389</v>
      </c>
      <c r="E1091" s="3"/>
      <c r="F1091" s="3" t="s">
        <v>2374</v>
      </c>
      <c r="G1091" s="3" t="s">
        <v>430</v>
      </c>
      <c r="H1091" s="3">
        <v>0.5</v>
      </c>
      <c r="I1091" s="3">
        <v>0</v>
      </c>
      <c r="J1091" s="3" t="s">
        <v>18</v>
      </c>
      <c r="K1091" s="5">
        <v>0.08</v>
      </c>
      <c r="L1091" s="6">
        <v>0</v>
      </c>
      <c r="M1091" s="7" t="s">
        <v>2390</v>
      </c>
      <c r="N1091" s="8">
        <f>VLOOKUP(B1091,'[1]новый без картинок'!$A$5:$F$2672,6,0)</f>
        <v>319</v>
      </c>
    </row>
    <row r="1092" spans="1:14" ht="151.15" customHeight="1" x14ac:dyDescent="0.2">
      <c r="A1092" s="3">
        <v>1090</v>
      </c>
      <c r="B1092" s="3">
        <v>209458</v>
      </c>
      <c r="C1092" s="4" t="str">
        <f>HYPERLINK("http://optservis.net:5080/photo?tov_code_internet=209458","Увеличить")</f>
        <v>Увеличить</v>
      </c>
      <c r="D1092" s="3" t="s">
        <v>2394</v>
      </c>
      <c r="E1092" s="3"/>
      <c r="F1092" s="3" t="s">
        <v>429</v>
      </c>
      <c r="G1092" s="3" t="s">
        <v>430</v>
      </c>
      <c r="H1092" s="3">
        <v>0.5</v>
      </c>
      <c r="I1092" s="3">
        <v>0</v>
      </c>
      <c r="J1092" s="3" t="s">
        <v>18</v>
      </c>
      <c r="K1092" s="5">
        <v>7.0000000000000007E-2</v>
      </c>
      <c r="L1092" s="6">
        <v>0</v>
      </c>
      <c r="M1092" s="7" t="s">
        <v>2390</v>
      </c>
      <c r="N1092" s="8">
        <f>VLOOKUP(B1092,'[1]новый без картинок'!$A$5:$F$2672,6,0)</f>
        <v>329</v>
      </c>
    </row>
    <row r="1093" spans="1:14" ht="151.15" customHeight="1" x14ac:dyDescent="0.2">
      <c r="A1093" s="3">
        <v>1091</v>
      </c>
      <c r="B1093" s="3">
        <v>209625</v>
      </c>
      <c r="C1093" s="4" t="str">
        <f>HYPERLINK("http://optservis.net:5080/photo?tov_code_internet=209625","Увеличить")</f>
        <v>Увеличить</v>
      </c>
      <c r="D1093" s="3" t="s">
        <v>2394</v>
      </c>
      <c r="E1093" s="3"/>
      <c r="F1093" s="3" t="s">
        <v>2374</v>
      </c>
      <c r="G1093" s="3" t="s">
        <v>430</v>
      </c>
      <c r="H1093" s="3">
        <v>0.5</v>
      </c>
      <c r="I1093" s="3">
        <v>0</v>
      </c>
      <c r="J1093" s="3" t="s">
        <v>18</v>
      </c>
      <c r="K1093" s="5">
        <v>7.0000000000000007E-2</v>
      </c>
      <c r="L1093" s="6">
        <v>0</v>
      </c>
      <c r="M1093" s="7" t="s">
        <v>2390</v>
      </c>
      <c r="N1093" s="8">
        <f>VLOOKUP(B1093,'[1]новый без картинок'!$A$5:$F$2672,6,0)</f>
        <v>329</v>
      </c>
    </row>
    <row r="1094" spans="1:14" ht="151.15" customHeight="1" x14ac:dyDescent="0.2">
      <c r="A1094" s="3">
        <v>1092</v>
      </c>
      <c r="B1094" s="3">
        <v>209459</v>
      </c>
      <c r="C1094" s="4" t="str">
        <f>HYPERLINK("http://optservis.net:5080/photo?tov_code_internet=209459","Увеличить")</f>
        <v>Увеличить</v>
      </c>
      <c r="D1094" s="3" t="s">
        <v>2395</v>
      </c>
      <c r="E1094" s="3"/>
      <c r="F1094" s="3" t="s">
        <v>1490</v>
      </c>
      <c r="G1094" s="3" t="s">
        <v>1469</v>
      </c>
      <c r="H1094" s="3">
        <v>0.5</v>
      </c>
      <c r="I1094" s="3">
        <v>0</v>
      </c>
      <c r="J1094" s="3" t="s">
        <v>18</v>
      </c>
      <c r="K1094" s="5">
        <v>7.0000000000000007E-2</v>
      </c>
      <c r="L1094" s="6">
        <v>0</v>
      </c>
      <c r="M1094" s="7" t="s">
        <v>2396</v>
      </c>
      <c r="N1094" s="8">
        <f>VLOOKUP(B1094,'[1]новый без картинок'!$A$5:$F$2672,6,0)</f>
        <v>426</v>
      </c>
    </row>
    <row r="1095" spans="1:14" ht="151.15" customHeight="1" x14ac:dyDescent="0.2">
      <c r="A1095" s="3">
        <v>1093</v>
      </c>
      <c r="B1095" s="3">
        <v>209460</v>
      </c>
      <c r="C1095" s="4" t="str">
        <f>HYPERLINK("http://optservis.net:5080/photo?tov_code_internet=209460","Увеличить")</f>
        <v>Увеличить</v>
      </c>
      <c r="D1095" s="3" t="s">
        <v>2395</v>
      </c>
      <c r="E1095" s="3"/>
      <c r="F1095" s="3" t="s">
        <v>2397</v>
      </c>
      <c r="G1095" s="3" t="s">
        <v>1469</v>
      </c>
      <c r="H1095" s="3">
        <v>0.5</v>
      </c>
      <c r="I1095" s="3">
        <v>0</v>
      </c>
      <c r="J1095" s="3" t="s">
        <v>18</v>
      </c>
      <c r="K1095" s="5">
        <v>7.0000000000000007E-2</v>
      </c>
      <c r="L1095" s="6">
        <v>0</v>
      </c>
      <c r="M1095" s="7" t="s">
        <v>2396</v>
      </c>
      <c r="N1095" s="8">
        <f>VLOOKUP(B1095,'[1]новый без картинок'!$A$5:$F$2672,6,0)</f>
        <v>433</v>
      </c>
    </row>
    <row r="1096" spans="1:14" ht="151.15" customHeight="1" x14ac:dyDescent="0.2">
      <c r="A1096" s="3">
        <v>1094</v>
      </c>
      <c r="B1096" s="3">
        <v>209626</v>
      </c>
      <c r="C1096" s="4" t="str">
        <f>HYPERLINK("http://optservis.net:5080/photo?tov_code_internet=209626","Увеличить")</f>
        <v>Увеличить</v>
      </c>
      <c r="D1096" s="3" t="s">
        <v>2395</v>
      </c>
      <c r="E1096" s="3"/>
      <c r="F1096" s="3" t="s">
        <v>2398</v>
      </c>
      <c r="G1096" s="3" t="s">
        <v>1469</v>
      </c>
      <c r="H1096" s="3">
        <v>0.5</v>
      </c>
      <c r="I1096" s="3">
        <v>0</v>
      </c>
      <c r="J1096" s="3" t="s">
        <v>18</v>
      </c>
      <c r="K1096" s="5">
        <v>7.0000000000000007E-2</v>
      </c>
      <c r="L1096" s="6">
        <v>0</v>
      </c>
      <c r="M1096" s="7" t="s">
        <v>2396</v>
      </c>
      <c r="N1096" s="8">
        <f>VLOOKUP(B1096,'[1]новый без картинок'!$A$5:$F$2672,6,0)</f>
        <v>433</v>
      </c>
    </row>
    <row r="1097" spans="1:14" ht="151.15" customHeight="1" x14ac:dyDescent="0.2">
      <c r="A1097" s="3">
        <v>1095</v>
      </c>
      <c r="B1097" s="3">
        <v>209627</v>
      </c>
      <c r="C1097" s="4" t="str">
        <f>HYPERLINK("http://optservis.net:5080/photo?tov_code_internet=209627","Увеличить")</f>
        <v>Увеличить</v>
      </c>
      <c r="D1097" s="3" t="s">
        <v>2395</v>
      </c>
      <c r="E1097" s="3"/>
      <c r="F1097" s="3" t="s">
        <v>2399</v>
      </c>
      <c r="G1097" s="3" t="s">
        <v>1469</v>
      </c>
      <c r="H1097" s="3">
        <v>0.5</v>
      </c>
      <c r="I1097" s="3">
        <v>0</v>
      </c>
      <c r="J1097" s="3" t="s">
        <v>18</v>
      </c>
      <c r="K1097" s="5">
        <v>7.0000000000000007E-2</v>
      </c>
      <c r="L1097" s="6">
        <v>0</v>
      </c>
      <c r="M1097" s="7" t="s">
        <v>2396</v>
      </c>
      <c r="N1097" s="8">
        <f>VLOOKUP(B1097,'[1]новый без картинок'!$A$5:$F$2672,6,0)</f>
        <v>437</v>
      </c>
    </row>
    <row r="1098" spans="1:14" ht="151.15" customHeight="1" x14ac:dyDescent="0.2">
      <c r="A1098" s="3">
        <v>1096</v>
      </c>
      <c r="B1098" s="3">
        <v>209461</v>
      </c>
      <c r="C1098" s="4" t="str">
        <f>HYPERLINK("http://optservis.net:5080/photo?tov_code_internet=209461","Увеличить")</f>
        <v>Увеличить</v>
      </c>
      <c r="D1098" s="3" t="s">
        <v>2400</v>
      </c>
      <c r="E1098" s="3"/>
      <c r="F1098" s="3" t="s">
        <v>2391</v>
      </c>
      <c r="G1098" s="3" t="s">
        <v>430</v>
      </c>
      <c r="H1098" s="3">
        <v>0.5</v>
      </c>
      <c r="I1098" s="3">
        <v>0</v>
      </c>
      <c r="J1098" s="3" t="s">
        <v>18</v>
      </c>
      <c r="K1098" s="5">
        <v>0.09</v>
      </c>
      <c r="L1098" s="6">
        <v>0</v>
      </c>
      <c r="M1098" s="7" t="s">
        <v>2401</v>
      </c>
      <c r="N1098" s="8">
        <f>VLOOKUP(B1098,'[1]новый без картинок'!$A$5:$F$2672,6,0)</f>
        <v>341</v>
      </c>
    </row>
    <row r="1099" spans="1:14" ht="151.15" customHeight="1" x14ac:dyDescent="0.2">
      <c r="A1099" s="3">
        <v>1097</v>
      </c>
      <c r="B1099" s="3">
        <v>209462</v>
      </c>
      <c r="C1099" s="4" t="str">
        <f>HYPERLINK("http://optservis.net:5080/photo?tov_code_internet=209462","Увеличить")</f>
        <v>Увеличить</v>
      </c>
      <c r="D1099" s="3" t="s">
        <v>2402</v>
      </c>
      <c r="E1099" s="3"/>
      <c r="F1099" s="3" t="s">
        <v>2403</v>
      </c>
      <c r="G1099" s="3" t="s">
        <v>1479</v>
      </c>
      <c r="H1099" s="3">
        <v>0.5</v>
      </c>
      <c r="I1099" s="3">
        <v>0</v>
      </c>
      <c r="J1099" s="3" t="s">
        <v>18</v>
      </c>
      <c r="K1099" s="5">
        <v>0.06</v>
      </c>
      <c r="L1099" s="6">
        <v>0</v>
      </c>
      <c r="M1099" s="7" t="s">
        <v>2404</v>
      </c>
      <c r="N1099" s="8">
        <f>VLOOKUP(B1099,'[1]новый без картинок'!$A$5:$F$2672,6,0)</f>
        <v>438</v>
      </c>
    </row>
    <row r="1100" spans="1:14" ht="151.15" customHeight="1" x14ac:dyDescent="0.2">
      <c r="A1100" s="3">
        <v>1098</v>
      </c>
      <c r="B1100" s="3">
        <v>209628</v>
      </c>
      <c r="C1100" s="4" t="str">
        <f>HYPERLINK("http://optservis.net:5080/photo?tov_code_internet=209628","Увеличить")</f>
        <v>Увеличить</v>
      </c>
      <c r="D1100" s="3" t="s">
        <v>2402</v>
      </c>
      <c r="E1100" s="3"/>
      <c r="F1100" s="3" t="s">
        <v>2405</v>
      </c>
      <c r="G1100" s="3" t="s">
        <v>1479</v>
      </c>
      <c r="H1100" s="3">
        <v>0.5</v>
      </c>
      <c r="I1100" s="3">
        <v>0</v>
      </c>
      <c r="J1100" s="3" t="s">
        <v>18</v>
      </c>
      <c r="K1100" s="5">
        <v>0.06</v>
      </c>
      <c r="L1100" s="6">
        <v>0</v>
      </c>
      <c r="M1100" s="7" t="s">
        <v>2404</v>
      </c>
      <c r="N1100" s="8">
        <f>VLOOKUP(B1100,'[1]новый без картинок'!$A$5:$F$2672,6,0)</f>
        <v>442</v>
      </c>
    </row>
    <row r="1101" spans="1:14" ht="151.15" customHeight="1" x14ac:dyDescent="0.2">
      <c r="A1101" s="3">
        <v>1099</v>
      </c>
      <c r="B1101" s="3">
        <v>209464</v>
      </c>
      <c r="C1101" s="4" t="str">
        <f>HYPERLINK("http://optservis.net:5080/photo?tov_code_internet=209464","Увеличить")</f>
        <v>Увеличить</v>
      </c>
      <c r="D1101" s="3" t="s">
        <v>2406</v>
      </c>
      <c r="E1101" s="3"/>
      <c r="F1101" s="3" t="s">
        <v>2407</v>
      </c>
      <c r="G1101" s="3" t="s">
        <v>430</v>
      </c>
      <c r="H1101" s="3">
        <v>0.5</v>
      </c>
      <c r="I1101" s="3">
        <v>0</v>
      </c>
      <c r="J1101" s="3" t="s">
        <v>18</v>
      </c>
      <c r="K1101" s="5">
        <v>0.09</v>
      </c>
      <c r="L1101" s="6">
        <v>0</v>
      </c>
      <c r="M1101" s="7" t="s">
        <v>2408</v>
      </c>
      <c r="N1101" s="8">
        <f>VLOOKUP(B1101,'[1]новый без картинок'!$A$5:$F$2672,6,0)</f>
        <v>343</v>
      </c>
    </row>
    <row r="1102" spans="1:14" ht="151.15" customHeight="1" x14ac:dyDescent="0.2">
      <c r="A1102" s="3">
        <v>1100</v>
      </c>
      <c r="B1102" s="3">
        <v>209635</v>
      </c>
      <c r="C1102" s="4" t="str">
        <f>HYPERLINK("http://optservis.net:5080/photo?tov_code_internet=209635","Увеличить")</f>
        <v>Увеличить</v>
      </c>
      <c r="D1102" s="3" t="s">
        <v>2406</v>
      </c>
      <c r="E1102" s="3" t="s">
        <v>2409</v>
      </c>
      <c r="F1102" s="3" t="s">
        <v>2410</v>
      </c>
      <c r="G1102" s="3" t="s">
        <v>430</v>
      </c>
      <c r="H1102" s="3">
        <v>0.5</v>
      </c>
      <c r="I1102" s="3">
        <v>0</v>
      </c>
      <c r="J1102" s="3" t="s">
        <v>18</v>
      </c>
      <c r="K1102" s="5">
        <v>0.09</v>
      </c>
      <c r="L1102" s="6">
        <v>4690654018757</v>
      </c>
      <c r="M1102" s="7" t="s">
        <v>2408</v>
      </c>
      <c r="N1102" s="8">
        <f>VLOOKUP(B1102,'[1]новый без картинок'!$A$5:$F$2672,6,0)</f>
        <v>346</v>
      </c>
    </row>
    <row r="1103" spans="1:14" ht="151.15" customHeight="1" x14ac:dyDescent="0.2">
      <c r="A1103" s="3">
        <v>1101</v>
      </c>
      <c r="B1103" s="3">
        <v>212260</v>
      </c>
      <c r="C1103" s="4" t="str">
        <f>HYPERLINK("http://optservis.net:5080/photo?tov_code_internet=212260","Увеличить")</f>
        <v>Увеличить</v>
      </c>
      <c r="D1103" s="3" t="s">
        <v>2411</v>
      </c>
      <c r="E1103" s="3"/>
      <c r="F1103" s="3" t="s">
        <v>2130</v>
      </c>
      <c r="G1103" s="3" t="s">
        <v>430</v>
      </c>
      <c r="H1103" s="3">
        <v>0.5</v>
      </c>
      <c r="I1103" s="3">
        <v>0</v>
      </c>
      <c r="J1103" s="3" t="s">
        <v>18</v>
      </c>
      <c r="K1103" s="5">
        <v>0.06</v>
      </c>
      <c r="L1103" s="6">
        <v>0</v>
      </c>
      <c r="M1103" s="7" t="s">
        <v>2412</v>
      </c>
      <c r="N1103" s="8">
        <f>VLOOKUP(B1103,'[1]новый без картинок'!$A$5:$F$2672,6,0)</f>
        <v>337</v>
      </c>
    </row>
    <row r="1104" spans="1:14" ht="151.15" customHeight="1" x14ac:dyDescent="0.2">
      <c r="A1104" s="3">
        <v>1102</v>
      </c>
      <c r="B1104" s="3">
        <v>211899</v>
      </c>
      <c r="C1104" s="4" t="str">
        <f>HYPERLINK("http://optservis.net:5080/photo?tov_code_internet=211899","Увеличить")</f>
        <v>Увеличить</v>
      </c>
      <c r="D1104" s="3" t="s">
        <v>2413</v>
      </c>
      <c r="E1104" s="3"/>
      <c r="F1104" s="3" t="s">
        <v>2130</v>
      </c>
      <c r="G1104" s="3" t="s">
        <v>430</v>
      </c>
      <c r="H1104" s="3">
        <v>0.5</v>
      </c>
      <c r="I1104" s="3">
        <v>0</v>
      </c>
      <c r="J1104" s="3" t="s">
        <v>18</v>
      </c>
      <c r="K1104" s="5">
        <v>0.08</v>
      </c>
      <c r="L1104" s="6">
        <v>0</v>
      </c>
      <c r="M1104" s="7" t="s">
        <v>2414</v>
      </c>
      <c r="N1104" s="8">
        <f>VLOOKUP(B1104,'[1]новый без картинок'!$A$5:$F$2672,6,0)</f>
        <v>400</v>
      </c>
    </row>
    <row r="1105" spans="1:14" ht="151.15" customHeight="1" x14ac:dyDescent="0.2">
      <c r="A1105" s="3">
        <v>1103</v>
      </c>
      <c r="B1105" s="3">
        <v>180795</v>
      </c>
      <c r="C1105" s="4" t="str">
        <f>HYPERLINK("http://optservis.net:5080/photo?tov_code_internet=180795","Увеличить")</f>
        <v>Увеличить</v>
      </c>
      <c r="D1105" s="3" t="s">
        <v>2413</v>
      </c>
      <c r="E1105" s="3"/>
      <c r="F1105" s="3" t="s">
        <v>2415</v>
      </c>
      <c r="G1105" s="3" t="s">
        <v>430</v>
      </c>
      <c r="H1105" s="3">
        <v>0.5</v>
      </c>
      <c r="I1105" s="3">
        <v>0</v>
      </c>
      <c r="J1105" s="3" t="s">
        <v>18</v>
      </c>
      <c r="K1105" s="5">
        <v>0.1</v>
      </c>
      <c r="L1105" s="6">
        <v>0</v>
      </c>
      <c r="M1105" s="7" t="s">
        <v>2414</v>
      </c>
      <c r="N1105" s="8">
        <f>VLOOKUP(B1105,'[1]новый без картинок'!$A$5:$F$2672,6,0)</f>
        <v>399</v>
      </c>
    </row>
    <row r="1106" spans="1:14" ht="151.15" customHeight="1" x14ac:dyDescent="0.2">
      <c r="A1106" s="3">
        <v>1104</v>
      </c>
      <c r="B1106" s="3">
        <v>180799</v>
      </c>
      <c r="C1106" s="4" t="str">
        <f>HYPERLINK("http://optservis.net:5080/photo?tov_code_internet=180799","Увеличить")</f>
        <v>Увеличить</v>
      </c>
      <c r="D1106" s="3" t="s">
        <v>2416</v>
      </c>
      <c r="E1106" s="3" t="s">
        <v>2417</v>
      </c>
      <c r="F1106" s="3" t="s">
        <v>2415</v>
      </c>
      <c r="G1106" s="3" t="s">
        <v>430</v>
      </c>
      <c r="H1106" s="3">
        <v>0.5</v>
      </c>
      <c r="I1106" s="3">
        <v>0</v>
      </c>
      <c r="J1106" s="3" t="s">
        <v>18</v>
      </c>
      <c r="K1106" s="5">
        <v>0.09</v>
      </c>
      <c r="L1106" s="6">
        <v>4690654013691</v>
      </c>
      <c r="M1106" s="7" t="s">
        <v>2418</v>
      </c>
      <c r="N1106" s="8">
        <f>VLOOKUP(B1106,'[1]новый без картинок'!$A$5:$F$2672,6,0)</f>
        <v>429</v>
      </c>
    </row>
    <row r="1107" spans="1:14" ht="151.15" customHeight="1" x14ac:dyDescent="0.2">
      <c r="A1107" s="3">
        <v>1105</v>
      </c>
      <c r="B1107" s="3">
        <v>211900</v>
      </c>
      <c r="C1107" s="4" t="str">
        <f>HYPERLINK("http://optservis.net:5080/photo?tov_code_internet=211900","Увеличить")</f>
        <v>Увеличить</v>
      </c>
      <c r="D1107" s="3" t="s">
        <v>2419</v>
      </c>
      <c r="E1107" s="3"/>
      <c r="F1107" s="3" t="s">
        <v>2130</v>
      </c>
      <c r="G1107" s="3" t="s">
        <v>430</v>
      </c>
      <c r="H1107" s="3">
        <v>0.5</v>
      </c>
      <c r="I1107" s="3">
        <v>0</v>
      </c>
      <c r="J1107" s="3" t="s">
        <v>18</v>
      </c>
      <c r="K1107" s="5">
        <v>0.06</v>
      </c>
      <c r="L1107" s="6">
        <v>0</v>
      </c>
      <c r="M1107" s="7" t="s">
        <v>2418</v>
      </c>
      <c r="N1107" s="8">
        <f>VLOOKUP(B1107,'[1]новый без картинок'!$A$5:$F$2672,6,0)</f>
        <v>390</v>
      </c>
    </row>
    <row r="1108" spans="1:14" ht="151.15" customHeight="1" x14ac:dyDescent="0.2">
      <c r="A1108" s="3">
        <v>1106</v>
      </c>
      <c r="B1108" s="3">
        <v>212259</v>
      </c>
      <c r="C1108" s="4" t="str">
        <f>HYPERLINK("http://optservis.net:5080/photo?tov_code_internet=212259","Увеличить")</f>
        <v>Увеличить</v>
      </c>
      <c r="D1108" s="3" t="s">
        <v>2420</v>
      </c>
      <c r="E1108" s="3"/>
      <c r="F1108" s="3" t="s">
        <v>2143</v>
      </c>
      <c r="G1108" s="3" t="s">
        <v>1469</v>
      </c>
      <c r="H1108" s="3">
        <v>0.5</v>
      </c>
      <c r="I1108" s="3">
        <v>0</v>
      </c>
      <c r="J1108" s="3" t="s">
        <v>18</v>
      </c>
      <c r="K1108" s="5">
        <v>0.05</v>
      </c>
      <c r="L1108" s="6">
        <v>0</v>
      </c>
      <c r="M1108" s="7" t="s">
        <v>2421</v>
      </c>
      <c r="N1108" s="8">
        <f>VLOOKUP(B1108,'[1]новый без картинок'!$A$5:$F$2672,6,0)</f>
        <v>529</v>
      </c>
    </row>
    <row r="1109" spans="1:14" ht="151.15" customHeight="1" x14ac:dyDescent="0.2">
      <c r="A1109" s="3">
        <v>1107</v>
      </c>
      <c r="B1109" s="3">
        <v>211894</v>
      </c>
      <c r="C1109" s="4" t="str">
        <f>HYPERLINK("http://optservis.net:5080/photo?tov_code_internet=211894","Увеличить")</f>
        <v>Увеличить</v>
      </c>
      <c r="D1109" s="3" t="s">
        <v>2422</v>
      </c>
      <c r="E1109" s="3"/>
      <c r="F1109" s="3" t="s">
        <v>2151</v>
      </c>
      <c r="G1109" s="3" t="s">
        <v>430</v>
      </c>
      <c r="H1109" s="3">
        <v>0.5</v>
      </c>
      <c r="I1109" s="3">
        <v>0</v>
      </c>
      <c r="J1109" s="3" t="s">
        <v>18</v>
      </c>
      <c r="K1109" s="5">
        <v>0.04</v>
      </c>
      <c r="L1109" s="6">
        <v>0</v>
      </c>
      <c r="M1109" s="7" t="s">
        <v>2423</v>
      </c>
      <c r="N1109" s="8">
        <f>VLOOKUP(B1109,'[1]новый без картинок'!$A$5:$F$2672,6,0)</f>
        <v>407</v>
      </c>
    </row>
    <row r="1110" spans="1:14" ht="151.15" customHeight="1" x14ac:dyDescent="0.2">
      <c r="A1110" s="3">
        <v>1108</v>
      </c>
      <c r="B1110" s="3">
        <v>210798</v>
      </c>
      <c r="C1110" s="4" t="str">
        <f>HYPERLINK("http://optservis.net:5080/photo?tov_code_internet=210798","Увеличить")</f>
        <v>Увеличить</v>
      </c>
      <c r="D1110" s="3" t="s">
        <v>2422</v>
      </c>
      <c r="E1110" s="3"/>
      <c r="F1110" s="3" t="s">
        <v>2424</v>
      </c>
      <c r="G1110" s="3" t="s">
        <v>430</v>
      </c>
      <c r="H1110" s="3">
        <v>0.5</v>
      </c>
      <c r="I1110" s="3">
        <v>0</v>
      </c>
      <c r="J1110" s="3" t="s">
        <v>18</v>
      </c>
      <c r="K1110" s="5">
        <v>7.0000000000000007E-2</v>
      </c>
      <c r="L1110" s="6">
        <v>0</v>
      </c>
      <c r="M1110" s="7" t="s">
        <v>2423</v>
      </c>
      <c r="N1110" s="8">
        <f>VLOOKUP(B1110,'[1]новый без картинок'!$A$5:$F$2672,6,0)</f>
        <v>399</v>
      </c>
    </row>
    <row r="1111" spans="1:14" ht="151.15" customHeight="1" x14ac:dyDescent="0.2">
      <c r="A1111" s="3">
        <v>1109</v>
      </c>
      <c r="B1111" s="3">
        <v>210812</v>
      </c>
      <c r="C1111" s="4" t="str">
        <f>HYPERLINK("http://optservis.net:5080/photo?tov_code_internet=210812","Увеличить")</f>
        <v>Увеличить</v>
      </c>
      <c r="D1111" s="3" t="s">
        <v>2422</v>
      </c>
      <c r="E1111" s="3"/>
      <c r="F1111" s="3" t="s">
        <v>2425</v>
      </c>
      <c r="G1111" s="3" t="s">
        <v>430</v>
      </c>
      <c r="H1111" s="3">
        <v>0.5</v>
      </c>
      <c r="I1111" s="3">
        <v>0</v>
      </c>
      <c r="J1111" s="3" t="s">
        <v>18</v>
      </c>
      <c r="K1111" s="5">
        <v>7.0000000000000007E-2</v>
      </c>
      <c r="L1111" s="6">
        <v>0</v>
      </c>
      <c r="M1111" s="7" t="s">
        <v>2426</v>
      </c>
      <c r="N1111" s="8">
        <f>VLOOKUP(B1111,'[1]новый без картинок'!$A$5:$F$2672,6,0)</f>
        <v>338</v>
      </c>
    </row>
    <row r="1112" spans="1:14" ht="151.15" customHeight="1" x14ac:dyDescent="0.2">
      <c r="A1112" s="3">
        <v>1110</v>
      </c>
      <c r="B1112" s="3">
        <v>211891</v>
      </c>
      <c r="C1112" s="4" t="str">
        <f>HYPERLINK("http://optservis.net:5080/photo?tov_code_internet=211891","Увеличить")</f>
        <v>Увеличить</v>
      </c>
      <c r="D1112" s="3" t="s">
        <v>2427</v>
      </c>
      <c r="E1112" s="3"/>
      <c r="F1112" s="3" t="s">
        <v>2162</v>
      </c>
      <c r="G1112" s="3" t="s">
        <v>430</v>
      </c>
      <c r="H1112" s="3">
        <v>0.5</v>
      </c>
      <c r="I1112" s="3">
        <v>0</v>
      </c>
      <c r="J1112" s="3" t="s">
        <v>18</v>
      </c>
      <c r="K1112" s="5">
        <v>7.0000000000000007E-2</v>
      </c>
      <c r="L1112" s="6">
        <v>0</v>
      </c>
      <c r="M1112" s="7" t="s">
        <v>2428</v>
      </c>
      <c r="N1112" s="8">
        <f>VLOOKUP(B1112,'[1]новый без картинок'!$A$5:$F$2672,6,0)</f>
        <v>326</v>
      </c>
    </row>
    <row r="1113" spans="1:14" ht="151.15" customHeight="1" x14ac:dyDescent="0.2">
      <c r="A1113" s="3">
        <v>1111</v>
      </c>
      <c r="B1113" s="3">
        <v>188815</v>
      </c>
      <c r="C1113" s="4" t="str">
        <f>HYPERLINK("http://optservis.net:5080/photo?tov_code_internet=188815","Увеличить")</f>
        <v>Увеличить</v>
      </c>
      <c r="D1113" s="3" t="s">
        <v>2427</v>
      </c>
      <c r="E1113" s="3" t="s">
        <v>2429</v>
      </c>
      <c r="F1113" s="3" t="s">
        <v>2430</v>
      </c>
      <c r="G1113" s="3" t="s">
        <v>430</v>
      </c>
      <c r="H1113" s="3">
        <v>0.5</v>
      </c>
      <c r="I1113" s="3">
        <v>0</v>
      </c>
      <c r="J1113" s="3" t="s">
        <v>18</v>
      </c>
      <c r="K1113" s="5">
        <v>0.1</v>
      </c>
      <c r="L1113" s="6">
        <v>4690654015336</v>
      </c>
      <c r="M1113" s="7" t="s">
        <v>2431</v>
      </c>
      <c r="N1113" s="8">
        <f>VLOOKUP(B1113,'[1]новый без картинок'!$A$5:$F$2672,6,0)</f>
        <v>326</v>
      </c>
    </row>
    <row r="1114" spans="1:14" ht="151.15" customHeight="1" x14ac:dyDescent="0.2">
      <c r="A1114" s="3">
        <v>1112</v>
      </c>
      <c r="B1114" s="3">
        <v>180759</v>
      </c>
      <c r="C1114" s="4" t="str">
        <f>HYPERLINK("http://optservis.net:5080/photo?tov_code_internet=180759","Увеличить")</f>
        <v>Увеличить</v>
      </c>
      <c r="D1114" s="3" t="s">
        <v>2427</v>
      </c>
      <c r="E1114" s="3" t="s">
        <v>2429</v>
      </c>
      <c r="F1114" s="3" t="s">
        <v>2432</v>
      </c>
      <c r="G1114" s="3" t="s">
        <v>430</v>
      </c>
      <c r="H1114" s="3">
        <v>0.5</v>
      </c>
      <c r="I1114" s="3">
        <v>0</v>
      </c>
      <c r="J1114" s="3" t="s">
        <v>18</v>
      </c>
      <c r="K1114" s="5">
        <v>0.1</v>
      </c>
      <c r="L1114" s="6">
        <v>4690654011574</v>
      </c>
      <c r="M1114" s="7" t="s">
        <v>2428</v>
      </c>
      <c r="N1114" s="8">
        <f>VLOOKUP(B1114,'[1]новый без картинок'!$A$5:$F$2672,6,0)</f>
        <v>319</v>
      </c>
    </row>
    <row r="1115" spans="1:14" ht="151.15" customHeight="1" x14ac:dyDescent="0.2">
      <c r="A1115" s="3">
        <v>1113</v>
      </c>
      <c r="B1115" s="3">
        <v>180792</v>
      </c>
      <c r="C1115" s="4" t="str">
        <f>HYPERLINK("http://optservis.net:5080/photo?tov_code_internet=180792","Увеличить")</f>
        <v>Увеличить</v>
      </c>
      <c r="D1115" s="3" t="s">
        <v>2427</v>
      </c>
      <c r="E1115" s="3" t="s">
        <v>2429</v>
      </c>
      <c r="F1115" s="3" t="s">
        <v>2433</v>
      </c>
      <c r="G1115" s="3" t="s">
        <v>430</v>
      </c>
      <c r="H1115" s="3">
        <v>0.5</v>
      </c>
      <c r="I1115" s="3">
        <v>0</v>
      </c>
      <c r="J1115" s="3" t="s">
        <v>18</v>
      </c>
      <c r="K1115" s="5">
        <v>0.1</v>
      </c>
      <c r="L1115" s="6">
        <v>4690654012878</v>
      </c>
      <c r="M1115" s="7" t="s">
        <v>2428</v>
      </c>
      <c r="N1115" s="8">
        <f>VLOOKUP(B1115,'[1]новый без картинок'!$A$5:$F$2672,6,0)</f>
        <v>319</v>
      </c>
    </row>
    <row r="1116" spans="1:14" ht="151.15" customHeight="1" x14ac:dyDescent="0.2">
      <c r="A1116" s="3">
        <v>1114</v>
      </c>
      <c r="B1116" s="3">
        <v>211897</v>
      </c>
      <c r="C1116" s="4" t="str">
        <f>HYPERLINK("http://optservis.net:5080/photo?tov_code_internet=211897","Увеличить")</f>
        <v>Увеличить</v>
      </c>
      <c r="D1116" s="3" t="s">
        <v>2434</v>
      </c>
      <c r="E1116" s="3"/>
      <c r="F1116" s="3" t="s">
        <v>2130</v>
      </c>
      <c r="G1116" s="3" t="s">
        <v>430</v>
      </c>
      <c r="H1116" s="3">
        <v>0.5</v>
      </c>
      <c r="I1116" s="3">
        <v>0</v>
      </c>
      <c r="J1116" s="3" t="s">
        <v>18</v>
      </c>
      <c r="K1116" s="5">
        <v>0.06</v>
      </c>
      <c r="L1116" s="6">
        <v>0</v>
      </c>
      <c r="M1116" s="7" t="s">
        <v>2435</v>
      </c>
      <c r="N1116" s="8">
        <f>VLOOKUP(B1116,'[1]новый без картинок'!$A$5:$F$2672,6,0)</f>
        <v>337</v>
      </c>
    </row>
    <row r="1117" spans="1:14" ht="151.15" customHeight="1" x14ac:dyDescent="0.2">
      <c r="A1117" s="3">
        <v>1115</v>
      </c>
      <c r="B1117" s="3">
        <v>180768</v>
      </c>
      <c r="C1117" s="4" t="str">
        <f>HYPERLINK("http://optservis.net:5080/photo?tov_code_internet=180768","Увеличить")</f>
        <v>Увеличить</v>
      </c>
      <c r="D1117" s="3" t="s">
        <v>2434</v>
      </c>
      <c r="E1117" s="3"/>
      <c r="F1117" s="3" t="s">
        <v>2436</v>
      </c>
      <c r="G1117" s="3" t="s">
        <v>430</v>
      </c>
      <c r="H1117" s="3">
        <v>0.5</v>
      </c>
      <c r="I1117" s="3">
        <v>0</v>
      </c>
      <c r="J1117" s="3" t="s">
        <v>18</v>
      </c>
      <c r="K1117" s="5">
        <v>0.08</v>
      </c>
      <c r="L1117" s="6">
        <v>0</v>
      </c>
      <c r="M1117" s="7" t="s">
        <v>2435</v>
      </c>
      <c r="N1117" s="8">
        <f>VLOOKUP(B1117,'[1]новый без картинок'!$A$5:$F$2672,6,0)</f>
        <v>329</v>
      </c>
    </row>
    <row r="1118" spans="1:14" ht="151.15" customHeight="1" x14ac:dyDescent="0.2">
      <c r="A1118" s="3">
        <v>1116</v>
      </c>
      <c r="B1118" s="3">
        <v>211892</v>
      </c>
      <c r="C1118" s="4" t="str">
        <f>HYPERLINK("http://optservis.net:5080/photo?tov_code_internet=211892","Увеличить")</f>
        <v>Увеличить</v>
      </c>
      <c r="D1118" s="3" t="s">
        <v>2437</v>
      </c>
      <c r="E1118" s="3"/>
      <c r="F1118" s="3" t="s">
        <v>2438</v>
      </c>
      <c r="G1118" s="3" t="s">
        <v>1469</v>
      </c>
      <c r="H1118" s="3">
        <v>0.5</v>
      </c>
      <c r="I1118" s="3">
        <v>0</v>
      </c>
      <c r="J1118" s="3" t="s">
        <v>18</v>
      </c>
      <c r="K1118" s="5">
        <v>0.06</v>
      </c>
      <c r="L1118" s="6">
        <v>0</v>
      </c>
      <c r="M1118" s="7" t="s">
        <v>2439</v>
      </c>
      <c r="N1118" s="8">
        <f>VLOOKUP(B1118,'[1]новый без картинок'!$A$5:$F$2672,6,0)</f>
        <v>445</v>
      </c>
    </row>
    <row r="1119" spans="1:14" ht="151.15" customHeight="1" x14ac:dyDescent="0.2">
      <c r="A1119" s="3">
        <v>1117</v>
      </c>
      <c r="B1119" s="3">
        <v>211893</v>
      </c>
      <c r="C1119" s="4" t="str">
        <f>HYPERLINK("http://optservis.net:5080/photo?tov_code_internet=211893","Увеличить")</f>
        <v>Увеличить</v>
      </c>
      <c r="D1119" s="3" t="s">
        <v>2437</v>
      </c>
      <c r="E1119" s="3"/>
      <c r="F1119" s="3" t="s">
        <v>2440</v>
      </c>
      <c r="G1119" s="3" t="s">
        <v>1469</v>
      </c>
      <c r="H1119" s="3">
        <v>0.5</v>
      </c>
      <c r="I1119" s="3">
        <v>0</v>
      </c>
      <c r="J1119" s="3" t="s">
        <v>18</v>
      </c>
      <c r="K1119" s="5">
        <v>0.05</v>
      </c>
      <c r="L1119" s="6">
        <v>0</v>
      </c>
      <c r="M1119" s="7" t="s">
        <v>2439</v>
      </c>
      <c r="N1119" s="8">
        <f>VLOOKUP(B1119,'[1]новый без картинок'!$A$5:$F$2672,6,0)</f>
        <v>434</v>
      </c>
    </row>
    <row r="1120" spans="1:14" ht="151.15" customHeight="1" x14ac:dyDescent="0.2">
      <c r="A1120" s="3">
        <v>1118</v>
      </c>
      <c r="B1120" s="3">
        <v>180769</v>
      </c>
      <c r="C1120" s="4" t="str">
        <f>HYPERLINK("http://optservis.net:5080/photo?tov_code_internet=180769","Увеличить")</f>
        <v>Увеличить</v>
      </c>
      <c r="D1120" s="3" t="s">
        <v>2437</v>
      </c>
      <c r="E1120" s="3" t="s">
        <v>2441</v>
      </c>
      <c r="F1120" s="3" t="s">
        <v>2442</v>
      </c>
      <c r="G1120" s="3" t="s">
        <v>1469</v>
      </c>
      <c r="H1120" s="3">
        <v>0.5</v>
      </c>
      <c r="I1120" s="3">
        <v>0</v>
      </c>
      <c r="J1120" s="3" t="s">
        <v>18</v>
      </c>
      <c r="K1120" s="5">
        <v>0.08</v>
      </c>
      <c r="L1120" s="6">
        <v>4690654012052</v>
      </c>
      <c r="M1120" s="7" t="s">
        <v>2439</v>
      </c>
      <c r="N1120" s="8">
        <f>VLOOKUP(B1120,'[1]новый без картинок'!$A$5:$F$2672,6,0)</f>
        <v>437</v>
      </c>
    </row>
    <row r="1121" spans="1:14" ht="151.15" customHeight="1" x14ac:dyDescent="0.2">
      <c r="A1121" s="3">
        <v>1119</v>
      </c>
      <c r="B1121" s="3">
        <v>180801</v>
      </c>
      <c r="C1121" s="4" t="str">
        <f>HYPERLINK("http://optservis.net:5080/photo?tov_code_internet=180801","Увеличить")</f>
        <v>Увеличить</v>
      </c>
      <c r="D1121" s="3" t="s">
        <v>2437</v>
      </c>
      <c r="E1121" s="3" t="s">
        <v>2441</v>
      </c>
      <c r="F1121" s="3" t="s">
        <v>2443</v>
      </c>
      <c r="G1121" s="3" t="s">
        <v>1469</v>
      </c>
      <c r="H1121" s="3">
        <v>0.5</v>
      </c>
      <c r="I1121" s="3">
        <v>0</v>
      </c>
      <c r="J1121" s="3" t="s">
        <v>18</v>
      </c>
      <c r="K1121" s="5">
        <v>0.08</v>
      </c>
      <c r="L1121" s="6">
        <v>4690654012069</v>
      </c>
      <c r="M1121" s="7" t="s">
        <v>2439</v>
      </c>
      <c r="N1121" s="8">
        <f>VLOOKUP(B1121,'[1]новый без картинок'!$A$5:$F$2672,6,0)</f>
        <v>426</v>
      </c>
    </row>
    <row r="1122" spans="1:14" ht="151.15" customHeight="1" x14ac:dyDescent="0.2">
      <c r="A1122" s="3">
        <v>1120</v>
      </c>
      <c r="B1122" s="3">
        <v>211898</v>
      </c>
      <c r="C1122" s="4" t="str">
        <f>HYPERLINK("http://optservis.net:5080/photo?tov_code_internet=211898","Увеличить")</f>
        <v>Увеличить</v>
      </c>
      <c r="D1122" s="3" t="s">
        <v>2444</v>
      </c>
      <c r="E1122" s="3"/>
      <c r="F1122" s="3" t="s">
        <v>2130</v>
      </c>
      <c r="G1122" s="3" t="s">
        <v>430</v>
      </c>
      <c r="H1122" s="3">
        <v>0.5</v>
      </c>
      <c r="I1122" s="3">
        <v>0</v>
      </c>
      <c r="J1122" s="3" t="s">
        <v>18</v>
      </c>
      <c r="K1122" s="5">
        <v>0.08</v>
      </c>
      <c r="L1122" s="6">
        <v>0</v>
      </c>
      <c r="M1122" s="7" t="s">
        <v>2445</v>
      </c>
      <c r="N1122" s="8">
        <f>VLOOKUP(B1122,'[1]новый без картинок'!$A$5:$F$2672,6,0)</f>
        <v>341</v>
      </c>
    </row>
    <row r="1123" spans="1:14" ht="151.15" customHeight="1" x14ac:dyDescent="0.2">
      <c r="A1123" s="3">
        <v>1121</v>
      </c>
      <c r="B1123" s="3">
        <v>451449</v>
      </c>
      <c r="C1123" s="4" t="str">
        <f>HYPERLINK("http://optservis.net:5080/photo?tov_code_internet=451449","Увеличить")</f>
        <v>Увеличить</v>
      </c>
      <c r="D1123" s="3" t="s">
        <v>2444</v>
      </c>
      <c r="E1123" s="3"/>
      <c r="F1123" s="3" t="s">
        <v>2436</v>
      </c>
      <c r="G1123" s="3" t="s">
        <v>430</v>
      </c>
      <c r="H1123" s="3">
        <v>0.5</v>
      </c>
      <c r="I1123" s="3">
        <v>0</v>
      </c>
      <c r="J1123" s="3" t="s">
        <v>18</v>
      </c>
      <c r="K1123" s="5">
        <v>0.1</v>
      </c>
      <c r="L1123" s="6">
        <v>0</v>
      </c>
      <c r="M1123" s="7" t="s">
        <v>2445</v>
      </c>
      <c r="N1123" s="8">
        <f>VLOOKUP(B1123,'[1]новый без картинок'!$A$5:$F$2672,6,0)</f>
        <v>333</v>
      </c>
    </row>
    <row r="1124" spans="1:14" ht="151.15" customHeight="1" x14ac:dyDescent="0.2">
      <c r="A1124" s="3">
        <v>1122</v>
      </c>
      <c r="B1124" s="3">
        <v>208645</v>
      </c>
      <c r="C1124" s="4" t="str">
        <f>HYPERLINK("http://optservis.net:5080/photo?tov_code_internet=208645","Увеличить")</f>
        <v>Увеличить</v>
      </c>
      <c r="D1124" s="3" t="s">
        <v>2444</v>
      </c>
      <c r="E1124" s="3" t="s">
        <v>2446</v>
      </c>
      <c r="F1124" s="3" t="s">
        <v>2415</v>
      </c>
      <c r="G1124" s="3" t="s">
        <v>430</v>
      </c>
      <c r="H1124" s="3">
        <v>0.5</v>
      </c>
      <c r="I1124" s="3">
        <v>0</v>
      </c>
      <c r="J1124" s="3" t="s">
        <v>18</v>
      </c>
      <c r="K1124" s="5">
        <v>0.1</v>
      </c>
      <c r="L1124" s="6">
        <v>4690654019280</v>
      </c>
      <c r="M1124" s="7" t="s">
        <v>2445</v>
      </c>
      <c r="N1124" s="8">
        <f>VLOOKUP(B1124,'[1]новый без картинок'!$A$5:$F$2672,6,0)</f>
        <v>342</v>
      </c>
    </row>
    <row r="1125" spans="1:14" ht="151.15" customHeight="1" x14ac:dyDescent="0.2">
      <c r="A1125" s="3">
        <v>1123</v>
      </c>
      <c r="B1125" s="3">
        <v>211896</v>
      </c>
      <c r="C1125" s="4" t="str">
        <f>HYPERLINK("http://optservis.net:5080/photo?tov_code_internet=211896","Увеличить")</f>
        <v>Увеличить</v>
      </c>
      <c r="D1125" s="3" t="s">
        <v>2447</v>
      </c>
      <c r="E1125" s="3"/>
      <c r="F1125" s="3" t="s">
        <v>2180</v>
      </c>
      <c r="G1125" s="3" t="s">
        <v>1469</v>
      </c>
      <c r="H1125" s="3">
        <v>0.5</v>
      </c>
      <c r="I1125" s="3">
        <v>0</v>
      </c>
      <c r="J1125" s="3" t="s">
        <v>18</v>
      </c>
      <c r="K1125" s="5">
        <v>0.04</v>
      </c>
      <c r="L1125" s="6">
        <v>0</v>
      </c>
      <c r="M1125" s="7" t="s">
        <v>2448</v>
      </c>
      <c r="N1125" s="8">
        <f>VLOOKUP(B1125,'[1]новый без картинок'!$A$5:$F$2672,6,0)</f>
        <v>451</v>
      </c>
    </row>
    <row r="1126" spans="1:14" ht="151.15" customHeight="1" x14ac:dyDescent="0.2">
      <c r="A1126" s="3">
        <v>1124</v>
      </c>
      <c r="B1126" s="3">
        <v>185537</v>
      </c>
      <c r="C1126" s="4" t="str">
        <f>HYPERLINK("http://optservis.net:5080/photo?tov_code_internet=185537","Увеличить")</f>
        <v>Увеличить</v>
      </c>
      <c r="D1126" s="3" t="s">
        <v>2447</v>
      </c>
      <c r="E1126" s="3"/>
      <c r="F1126" s="3" t="s">
        <v>2442</v>
      </c>
      <c r="G1126" s="3" t="s">
        <v>1469</v>
      </c>
      <c r="H1126" s="3">
        <v>0.5</v>
      </c>
      <c r="I1126" s="3">
        <v>0</v>
      </c>
      <c r="J1126" s="3" t="s">
        <v>18</v>
      </c>
      <c r="K1126" s="5">
        <v>7.0000000000000007E-2</v>
      </c>
      <c r="L1126" s="6">
        <v>0</v>
      </c>
      <c r="M1126" s="7" t="s">
        <v>2449</v>
      </c>
      <c r="N1126" s="8">
        <f>VLOOKUP(B1126,'[1]новый без картинок'!$A$5:$F$2672,6,0)</f>
        <v>443</v>
      </c>
    </row>
    <row r="1127" spans="1:14" ht="151.15" customHeight="1" x14ac:dyDescent="0.2">
      <c r="A1127" s="3">
        <v>1125</v>
      </c>
      <c r="B1127" s="3">
        <v>185556</v>
      </c>
      <c r="C1127" s="4" t="str">
        <f>HYPERLINK("http://optservis.net:5080/photo?tov_code_internet=185556","Увеличить")</f>
        <v>Увеличить</v>
      </c>
      <c r="D1127" s="3" t="s">
        <v>2447</v>
      </c>
      <c r="E1127" s="3"/>
      <c r="F1127" s="3" t="s">
        <v>2443</v>
      </c>
      <c r="G1127" s="3" t="s">
        <v>1469</v>
      </c>
      <c r="H1127" s="3">
        <v>0.5</v>
      </c>
      <c r="I1127" s="3">
        <v>0</v>
      </c>
      <c r="J1127" s="3" t="s">
        <v>18</v>
      </c>
      <c r="K1127" s="5">
        <v>7.0000000000000007E-2</v>
      </c>
      <c r="L1127" s="6">
        <v>0</v>
      </c>
      <c r="M1127" s="7" t="s">
        <v>2449</v>
      </c>
      <c r="N1127" s="8">
        <f>VLOOKUP(B1127,'[1]новый без картинок'!$A$5:$F$2672,6,0)</f>
        <v>439</v>
      </c>
    </row>
    <row r="1128" spans="1:14" ht="151.15" customHeight="1" x14ac:dyDescent="0.2">
      <c r="A1128" s="3">
        <v>1126</v>
      </c>
      <c r="B1128" s="3">
        <v>211895</v>
      </c>
      <c r="C1128" s="4" t="str">
        <f>HYPERLINK("http://optservis.net:5080/photo?tov_code_internet=211895","Увеличить")</f>
        <v>Увеличить</v>
      </c>
      <c r="D1128" s="3" t="s">
        <v>2450</v>
      </c>
      <c r="E1128" s="3"/>
      <c r="F1128" s="3" t="s">
        <v>2216</v>
      </c>
      <c r="G1128" s="3" t="s">
        <v>430</v>
      </c>
      <c r="H1128" s="3">
        <v>0.5</v>
      </c>
      <c r="I1128" s="3">
        <v>0</v>
      </c>
      <c r="J1128" s="3" t="s">
        <v>18</v>
      </c>
      <c r="K1128" s="5">
        <v>0.08</v>
      </c>
      <c r="L1128" s="6">
        <v>0</v>
      </c>
      <c r="M1128" s="7" t="s">
        <v>2451</v>
      </c>
      <c r="N1128" s="8">
        <f>VLOOKUP(B1128,'[1]новый без картинок'!$A$5:$F$2672,6,0)</f>
        <v>354</v>
      </c>
    </row>
    <row r="1129" spans="1:14" ht="151.15" customHeight="1" x14ac:dyDescent="0.2">
      <c r="A1129" s="3">
        <v>1127</v>
      </c>
      <c r="B1129" s="3">
        <v>192465</v>
      </c>
      <c r="C1129" s="4" t="str">
        <f>HYPERLINK("http://optservis.net:5080/photo?tov_code_internet=192465","Увеличить")</f>
        <v>Увеличить</v>
      </c>
      <c r="D1129" s="3" t="s">
        <v>2450</v>
      </c>
      <c r="E1129" s="3"/>
      <c r="F1129" s="3" t="s">
        <v>2452</v>
      </c>
      <c r="G1129" s="3" t="s">
        <v>430</v>
      </c>
      <c r="H1129" s="3">
        <v>0.5</v>
      </c>
      <c r="I1129" s="3">
        <v>0</v>
      </c>
      <c r="J1129" s="3" t="s">
        <v>18</v>
      </c>
      <c r="K1129" s="5">
        <v>0.1</v>
      </c>
      <c r="L1129" s="6">
        <v>0</v>
      </c>
      <c r="M1129" s="7" t="s">
        <v>2451</v>
      </c>
      <c r="N1129" s="8">
        <f>VLOOKUP(B1129,'[1]новый без картинок'!$A$5:$F$2672,6,0)</f>
        <v>346</v>
      </c>
    </row>
    <row r="1130" spans="1:14" ht="151.15" customHeight="1" x14ac:dyDescent="0.2">
      <c r="A1130" s="3">
        <v>1128</v>
      </c>
      <c r="B1130" s="3">
        <v>199588</v>
      </c>
      <c r="C1130" s="4" t="str">
        <f>HYPERLINK("http://optservis.net:5080/photo?tov_code_internet=199588","Увеличить")</f>
        <v>Увеличить</v>
      </c>
      <c r="D1130" s="3" t="s">
        <v>2450</v>
      </c>
      <c r="E1130" s="3"/>
      <c r="F1130" s="3" t="s">
        <v>2453</v>
      </c>
      <c r="G1130" s="3" t="s">
        <v>430</v>
      </c>
      <c r="H1130" s="3">
        <v>0.5</v>
      </c>
      <c r="I1130" s="3">
        <v>0</v>
      </c>
      <c r="J1130" s="3" t="s">
        <v>18</v>
      </c>
      <c r="K1130" s="5">
        <v>0.1</v>
      </c>
      <c r="L1130" s="6">
        <v>0</v>
      </c>
      <c r="M1130" s="7" t="s">
        <v>2454</v>
      </c>
      <c r="N1130" s="8">
        <f>VLOOKUP(B1130,'[1]новый без картинок'!$A$5:$F$2672,6,0)</f>
        <v>345</v>
      </c>
    </row>
    <row r="1131" spans="1:14" ht="151.15" customHeight="1" x14ac:dyDescent="0.2">
      <c r="A1131" s="3">
        <v>1129</v>
      </c>
      <c r="B1131" s="3">
        <v>192466</v>
      </c>
      <c r="C1131" s="4" t="str">
        <f>HYPERLINK("http://optservis.net:5080/photo?tov_code_internet=192466","Увеличить")</f>
        <v>Увеличить</v>
      </c>
      <c r="D1131" s="3" t="s">
        <v>2450</v>
      </c>
      <c r="E1131" s="3" t="s">
        <v>2455</v>
      </c>
      <c r="F1131" s="3" t="s">
        <v>2433</v>
      </c>
      <c r="G1131" s="3" t="s">
        <v>430</v>
      </c>
      <c r="H1131" s="3">
        <v>0.5</v>
      </c>
      <c r="I1131" s="3">
        <v>0</v>
      </c>
      <c r="J1131" s="3" t="s">
        <v>18</v>
      </c>
      <c r="K1131" s="5">
        <v>0.1</v>
      </c>
      <c r="L1131" s="6">
        <v>4690654016340</v>
      </c>
      <c r="M1131" s="7" t="s">
        <v>2451</v>
      </c>
      <c r="N1131" s="8">
        <f>VLOOKUP(B1131,'[1]новый без картинок'!$A$5:$F$2672,6,0)</f>
        <v>343</v>
      </c>
    </row>
    <row r="1132" spans="1:14" ht="151.15" customHeight="1" x14ac:dyDescent="0.2">
      <c r="A1132" s="3">
        <v>1130</v>
      </c>
      <c r="B1132" s="3">
        <v>191799</v>
      </c>
      <c r="C1132" s="4" t="str">
        <f>HYPERLINK("http://optservis.net:5080/photo?tov_code_internet=191799","Увеличить")</f>
        <v>Увеличить</v>
      </c>
      <c r="D1132" s="3" t="s">
        <v>2456</v>
      </c>
      <c r="E1132" s="3"/>
      <c r="F1132" s="3" t="s">
        <v>2457</v>
      </c>
      <c r="G1132" s="3" t="s">
        <v>430</v>
      </c>
      <c r="H1132" s="3">
        <v>0.5</v>
      </c>
      <c r="I1132" s="3">
        <v>0</v>
      </c>
      <c r="J1132" s="3" t="s">
        <v>18</v>
      </c>
      <c r="K1132" s="5">
        <v>0.09</v>
      </c>
      <c r="L1132" s="6">
        <v>0</v>
      </c>
      <c r="M1132" s="7" t="s">
        <v>2458</v>
      </c>
      <c r="N1132" s="8">
        <f>VLOOKUP(B1132,'[1]новый без картинок'!$A$5:$F$2672,6,0)</f>
        <v>363</v>
      </c>
    </row>
    <row r="1133" spans="1:14" ht="151.15" customHeight="1" x14ac:dyDescent="0.2">
      <c r="A1133" s="3">
        <v>1131</v>
      </c>
      <c r="B1133" s="3">
        <v>191800</v>
      </c>
      <c r="C1133" s="4" t="str">
        <f>HYPERLINK("http://optservis.net:5080/photo?tov_code_internet=191800","Увеличить")</f>
        <v>Увеличить</v>
      </c>
      <c r="D1133" s="3" t="s">
        <v>2459</v>
      </c>
      <c r="E1133" s="3"/>
      <c r="F1133" s="3" t="s">
        <v>2460</v>
      </c>
      <c r="G1133" s="3" t="s">
        <v>430</v>
      </c>
      <c r="H1133" s="3">
        <v>0.5</v>
      </c>
      <c r="I1133" s="3">
        <v>0</v>
      </c>
      <c r="J1133" s="3" t="s">
        <v>18</v>
      </c>
      <c r="K1133" s="5">
        <v>0.1</v>
      </c>
      <c r="L1133" s="6">
        <v>0</v>
      </c>
      <c r="M1133" s="7" t="s">
        <v>2461</v>
      </c>
      <c r="N1133" s="8">
        <f>VLOOKUP(B1133,'[1]новый без картинок'!$A$5:$F$2672,6,0)</f>
        <v>433</v>
      </c>
    </row>
    <row r="1134" spans="1:14" ht="151.15" customHeight="1" x14ac:dyDescent="0.2">
      <c r="A1134" s="3">
        <v>1132</v>
      </c>
      <c r="B1134" s="3">
        <v>191829</v>
      </c>
      <c r="C1134" s="4" t="str">
        <f>HYPERLINK("http://optservis.net:5080/photo?tov_code_internet=191829","Увеличить")</f>
        <v>Увеличить</v>
      </c>
      <c r="D1134" s="3" t="s">
        <v>2462</v>
      </c>
      <c r="E1134" s="3"/>
      <c r="F1134" s="3" t="s">
        <v>2457</v>
      </c>
      <c r="G1134" s="3" t="s">
        <v>430</v>
      </c>
      <c r="H1134" s="3">
        <v>0.5</v>
      </c>
      <c r="I1134" s="3">
        <v>0</v>
      </c>
      <c r="J1134" s="3" t="s">
        <v>18</v>
      </c>
      <c r="K1134" s="5">
        <v>0.11</v>
      </c>
      <c r="L1134" s="6">
        <v>0</v>
      </c>
      <c r="M1134" s="7" t="s">
        <v>2463</v>
      </c>
      <c r="N1134" s="8">
        <f>VLOOKUP(B1134,'[1]новый без картинок'!$A$5:$F$2672,6,0)</f>
        <v>455</v>
      </c>
    </row>
    <row r="1135" spans="1:14" ht="151.15" customHeight="1" x14ac:dyDescent="0.2">
      <c r="A1135" s="3">
        <v>1133</v>
      </c>
      <c r="B1135" s="3">
        <v>191826</v>
      </c>
      <c r="C1135" s="4" t="str">
        <f>HYPERLINK("http://optservis.net:5080/photo?tov_code_internet=191826","Увеличить")</f>
        <v>Увеличить</v>
      </c>
      <c r="D1135" s="3" t="s">
        <v>2464</v>
      </c>
      <c r="E1135" s="3"/>
      <c r="F1135" s="3" t="s">
        <v>2457</v>
      </c>
      <c r="G1135" s="3" t="s">
        <v>430</v>
      </c>
      <c r="H1135" s="3">
        <v>0.5</v>
      </c>
      <c r="I1135" s="3">
        <v>0</v>
      </c>
      <c r="J1135" s="3" t="s">
        <v>18</v>
      </c>
      <c r="K1135" s="5">
        <v>0.09</v>
      </c>
      <c r="L1135" s="6">
        <v>0</v>
      </c>
      <c r="M1135" s="7" t="s">
        <v>2465</v>
      </c>
      <c r="N1135" s="8">
        <f>VLOOKUP(B1135,'[1]новый без картинок'!$A$5:$F$2672,6,0)</f>
        <v>417</v>
      </c>
    </row>
    <row r="1136" spans="1:14" ht="151.15" customHeight="1" x14ac:dyDescent="0.2">
      <c r="A1136" s="3">
        <v>1134</v>
      </c>
      <c r="B1136" s="3">
        <v>191823</v>
      </c>
      <c r="C1136" s="4" t="str">
        <f>HYPERLINK("http://optservis.net:5080/photo?tov_code_internet=191823","Увеличить")</f>
        <v>Увеличить</v>
      </c>
      <c r="D1136" s="3" t="s">
        <v>2466</v>
      </c>
      <c r="E1136" s="3" t="s">
        <v>2467</v>
      </c>
      <c r="F1136" s="3" t="s">
        <v>2468</v>
      </c>
      <c r="G1136" s="3" t="s">
        <v>1479</v>
      </c>
      <c r="H1136" s="3">
        <v>0.5</v>
      </c>
      <c r="I1136" s="3">
        <v>0</v>
      </c>
      <c r="J1136" s="3" t="s">
        <v>18</v>
      </c>
      <c r="K1136" s="5">
        <v>7.0000000000000007E-2</v>
      </c>
      <c r="L1136" s="6">
        <v>4690654018511</v>
      </c>
      <c r="M1136" s="7" t="s">
        <v>2469</v>
      </c>
      <c r="N1136" s="8">
        <f>VLOOKUP(B1136,'[1]новый без картинок'!$A$5:$F$2672,6,0)</f>
        <v>555</v>
      </c>
    </row>
    <row r="1137" spans="1:14" ht="151.15" customHeight="1" x14ac:dyDescent="0.2">
      <c r="A1137" s="3">
        <v>1135</v>
      </c>
      <c r="B1137" s="3">
        <v>210792</v>
      </c>
      <c r="C1137" s="4" t="str">
        <f>HYPERLINK("http://optservis.net:5080/photo?tov_code_internet=210792","Увеличить")</f>
        <v>Увеличить</v>
      </c>
      <c r="D1137" s="3" t="s">
        <v>2470</v>
      </c>
      <c r="E1137" s="3"/>
      <c r="F1137" s="3" t="s">
        <v>2471</v>
      </c>
      <c r="G1137" s="3" t="s">
        <v>430</v>
      </c>
      <c r="H1137" s="3">
        <v>0.5</v>
      </c>
      <c r="I1137" s="3">
        <v>0</v>
      </c>
      <c r="J1137" s="3" t="s">
        <v>18</v>
      </c>
      <c r="K1137" s="5">
        <v>7.0000000000000007E-2</v>
      </c>
      <c r="L1137" s="6">
        <v>0</v>
      </c>
      <c r="M1137" s="7" t="s">
        <v>2472</v>
      </c>
      <c r="N1137" s="8">
        <f>VLOOKUP(B1137,'[1]новый без картинок'!$A$5:$F$2672,6,0)</f>
        <v>434</v>
      </c>
    </row>
    <row r="1138" spans="1:14" ht="151.15" customHeight="1" x14ac:dyDescent="0.2">
      <c r="A1138" s="3">
        <v>1136</v>
      </c>
      <c r="B1138" s="3">
        <v>192469</v>
      </c>
      <c r="C1138" s="4" t="str">
        <f>HYPERLINK("http://optservis.net:5080/photo?tov_code_internet=192469","Увеличить")</f>
        <v>Увеличить</v>
      </c>
      <c r="D1138" s="3" t="s">
        <v>2470</v>
      </c>
      <c r="E1138" s="3" t="s">
        <v>2473</v>
      </c>
      <c r="F1138" s="3" t="s">
        <v>2457</v>
      </c>
      <c r="G1138" s="3" t="s">
        <v>430</v>
      </c>
      <c r="H1138" s="3">
        <v>0.5</v>
      </c>
      <c r="I1138" s="3">
        <v>0</v>
      </c>
      <c r="J1138" s="3" t="s">
        <v>18</v>
      </c>
      <c r="K1138" s="5">
        <v>7.0000000000000007E-2</v>
      </c>
      <c r="L1138" s="6">
        <v>4690654018726</v>
      </c>
      <c r="M1138" s="7" t="s">
        <v>2474</v>
      </c>
      <c r="N1138" s="8">
        <f>VLOOKUP(B1138,'[1]новый без картинок'!$A$5:$F$2672,6,0)</f>
        <v>364</v>
      </c>
    </row>
    <row r="1139" spans="1:14" ht="151.15" customHeight="1" x14ac:dyDescent="0.2">
      <c r="A1139" s="3">
        <v>1137</v>
      </c>
      <c r="B1139" s="3">
        <v>191782</v>
      </c>
      <c r="C1139" s="4" t="str">
        <f>HYPERLINK("http://optservis.net:5080/photo?tov_code_internet=191782","Увеличить")</f>
        <v>Увеличить</v>
      </c>
      <c r="D1139" s="3" t="s">
        <v>2475</v>
      </c>
      <c r="E1139" s="3"/>
      <c r="F1139" s="3" t="s">
        <v>2460</v>
      </c>
      <c r="G1139" s="3" t="s">
        <v>430</v>
      </c>
      <c r="H1139" s="3">
        <v>0.5</v>
      </c>
      <c r="I1139" s="3">
        <v>0</v>
      </c>
      <c r="J1139" s="3" t="s">
        <v>18</v>
      </c>
      <c r="K1139" s="5">
        <v>0.1</v>
      </c>
      <c r="L1139" s="6">
        <v>0</v>
      </c>
      <c r="M1139" s="7" t="s">
        <v>2476</v>
      </c>
      <c r="N1139" s="8">
        <f>VLOOKUP(B1139,'[1]новый без картинок'!$A$5:$F$2672,6,0)</f>
        <v>361</v>
      </c>
    </row>
    <row r="1140" spans="1:14" ht="151.15" customHeight="1" x14ac:dyDescent="0.2">
      <c r="A1140" s="3">
        <v>1138</v>
      </c>
      <c r="B1140" s="3">
        <v>191785</v>
      </c>
      <c r="C1140" s="4" t="str">
        <f>HYPERLINK("http://optservis.net:5080/photo?tov_code_internet=191785","Увеличить")</f>
        <v>Увеличить</v>
      </c>
      <c r="D1140" s="3" t="s">
        <v>2477</v>
      </c>
      <c r="E1140" s="3"/>
      <c r="F1140" s="3" t="s">
        <v>2460</v>
      </c>
      <c r="G1140" s="3" t="s">
        <v>430</v>
      </c>
      <c r="H1140" s="3">
        <v>0.5</v>
      </c>
      <c r="I1140" s="3">
        <v>0</v>
      </c>
      <c r="J1140" s="3" t="s">
        <v>18</v>
      </c>
      <c r="K1140" s="5">
        <v>0.08</v>
      </c>
      <c r="L1140" s="6">
        <v>0</v>
      </c>
      <c r="M1140" s="7" t="s">
        <v>2478</v>
      </c>
      <c r="N1140" s="8">
        <f>VLOOKUP(B1140,'[1]новый без картинок'!$A$5:$F$2672,6,0)</f>
        <v>374</v>
      </c>
    </row>
    <row r="1141" spans="1:14" ht="151.15" customHeight="1" x14ac:dyDescent="0.2">
      <c r="A1141" s="3">
        <v>1139</v>
      </c>
      <c r="B1141" s="3">
        <v>191792</v>
      </c>
      <c r="C1141" s="4" t="str">
        <f>HYPERLINK("http://optservis.net:5080/photo?tov_code_internet=191792","Увеличить")</f>
        <v>Увеличить</v>
      </c>
      <c r="D1141" s="3" t="s">
        <v>2479</v>
      </c>
      <c r="E1141" s="3"/>
      <c r="F1141" s="3" t="s">
        <v>2480</v>
      </c>
      <c r="G1141" s="3" t="s">
        <v>1469</v>
      </c>
      <c r="H1141" s="3">
        <v>0.5</v>
      </c>
      <c r="I1141" s="3">
        <v>0</v>
      </c>
      <c r="J1141" s="3" t="s">
        <v>18</v>
      </c>
      <c r="K1141" s="5">
        <v>0.08</v>
      </c>
      <c r="L1141" s="6">
        <v>0</v>
      </c>
      <c r="M1141" s="7" t="s">
        <v>2481</v>
      </c>
      <c r="N1141" s="8">
        <f>VLOOKUP(B1141,'[1]новый без картинок'!$A$5:$F$2672,6,0)</f>
        <v>471</v>
      </c>
    </row>
    <row r="1142" spans="1:14" ht="151.15" customHeight="1" x14ac:dyDescent="0.2">
      <c r="A1142" s="3">
        <v>1140</v>
      </c>
      <c r="B1142" s="3">
        <v>191794</v>
      </c>
      <c r="C1142" s="4" t="str">
        <f>HYPERLINK("http://optservis.net:5080/photo?tov_code_internet=191794","Увеличить")</f>
        <v>Увеличить</v>
      </c>
      <c r="D1142" s="3" t="s">
        <v>2479</v>
      </c>
      <c r="E1142" s="3"/>
      <c r="F1142" s="3" t="s">
        <v>2482</v>
      </c>
      <c r="G1142" s="3" t="s">
        <v>1469</v>
      </c>
      <c r="H1142" s="3">
        <v>0.5</v>
      </c>
      <c r="I1142" s="3">
        <v>0</v>
      </c>
      <c r="J1142" s="3" t="s">
        <v>18</v>
      </c>
      <c r="K1142" s="5">
        <v>0.08</v>
      </c>
      <c r="L1142" s="6">
        <v>0</v>
      </c>
      <c r="M1142" s="7" t="s">
        <v>2481</v>
      </c>
      <c r="N1142" s="8">
        <f>VLOOKUP(B1142,'[1]новый без картинок'!$A$5:$F$2672,6,0)</f>
        <v>473</v>
      </c>
    </row>
    <row r="1143" spans="1:14" ht="151.15" customHeight="1" x14ac:dyDescent="0.2">
      <c r="A1143" s="3">
        <v>1141</v>
      </c>
      <c r="B1143" s="3">
        <v>208646</v>
      </c>
      <c r="C1143" s="4" t="str">
        <f>HYPERLINK("http://optservis.net:5080/photo?tov_code_internet=208646","Увеличить")</f>
        <v>Увеличить</v>
      </c>
      <c r="D1143" s="3" t="s">
        <v>2483</v>
      </c>
      <c r="E1143" s="3"/>
      <c r="F1143" s="3" t="s">
        <v>2457</v>
      </c>
      <c r="G1143" s="3" t="s">
        <v>430</v>
      </c>
      <c r="H1143" s="3">
        <v>0.5</v>
      </c>
      <c r="I1143" s="3">
        <v>0</v>
      </c>
      <c r="J1143" s="3" t="s">
        <v>18</v>
      </c>
      <c r="K1143" s="5">
        <v>0.1</v>
      </c>
      <c r="L1143" s="6">
        <v>0</v>
      </c>
      <c r="M1143" s="7" t="s">
        <v>2484</v>
      </c>
      <c r="N1143" s="8">
        <f>VLOOKUP(B1143,'[1]новый без картинок'!$A$5:$F$2672,6,0)</f>
        <v>367</v>
      </c>
    </row>
    <row r="1144" spans="1:14" ht="151.15" customHeight="1" x14ac:dyDescent="0.2">
      <c r="A1144" s="3">
        <v>1142</v>
      </c>
      <c r="B1144" s="3">
        <v>191795</v>
      </c>
      <c r="C1144" s="4" t="str">
        <f>HYPERLINK("http://optservis.net:5080/photo?tov_code_internet=191795","Увеличить")</f>
        <v>Увеличить</v>
      </c>
      <c r="D1144" s="3" t="s">
        <v>2483</v>
      </c>
      <c r="E1144" s="3" t="s">
        <v>2485</v>
      </c>
      <c r="F1144" s="3" t="s">
        <v>2460</v>
      </c>
      <c r="G1144" s="3" t="s">
        <v>430</v>
      </c>
      <c r="H1144" s="3">
        <v>0.5</v>
      </c>
      <c r="I1144" s="3">
        <v>0</v>
      </c>
      <c r="J1144" s="3" t="s">
        <v>18</v>
      </c>
      <c r="K1144" s="5">
        <v>0.1</v>
      </c>
      <c r="L1144" s="6">
        <v>4690654017996</v>
      </c>
      <c r="M1144" s="7" t="s">
        <v>2486</v>
      </c>
      <c r="N1144" s="8">
        <f>VLOOKUP(B1144,'[1]новый без картинок'!$A$5:$F$2672,6,0)</f>
        <v>376</v>
      </c>
    </row>
    <row r="1145" spans="1:14" ht="151.15" customHeight="1" x14ac:dyDescent="0.2">
      <c r="A1145" s="3">
        <v>1143</v>
      </c>
      <c r="B1145" s="3">
        <v>191796</v>
      </c>
      <c r="C1145" s="4" t="str">
        <f>HYPERLINK("http://optservis.net:5080/photo?tov_code_internet=191796","Увеличить")</f>
        <v>Увеличить</v>
      </c>
      <c r="D1145" s="3" t="s">
        <v>2487</v>
      </c>
      <c r="E1145" s="3"/>
      <c r="F1145" s="3" t="s">
        <v>2488</v>
      </c>
      <c r="G1145" s="3" t="s">
        <v>1045</v>
      </c>
      <c r="H1145" s="3">
        <v>0.5</v>
      </c>
      <c r="I1145" s="3">
        <v>0</v>
      </c>
      <c r="J1145" s="3" t="s">
        <v>18</v>
      </c>
      <c r="K1145" s="5">
        <v>7.0000000000000007E-2</v>
      </c>
      <c r="L1145" s="6">
        <v>0</v>
      </c>
      <c r="M1145" s="7" t="s">
        <v>2489</v>
      </c>
      <c r="N1145" s="8">
        <f>VLOOKUP(B1145,'[1]новый без картинок'!$A$5:$F$2672,6,0)</f>
        <v>477</v>
      </c>
    </row>
    <row r="1146" spans="1:14" ht="151.15" customHeight="1" x14ac:dyDescent="0.2">
      <c r="A1146" s="3">
        <v>1144</v>
      </c>
      <c r="B1146" s="3">
        <v>191797</v>
      </c>
      <c r="C1146" s="4" t="str">
        <f>HYPERLINK("http://optservis.net:5080/photo?tov_code_internet=191797","Увеличить")</f>
        <v>Увеличить</v>
      </c>
      <c r="D1146" s="3" t="s">
        <v>2490</v>
      </c>
      <c r="E1146" s="3"/>
      <c r="F1146" s="3" t="s">
        <v>2491</v>
      </c>
      <c r="G1146" s="3" t="s">
        <v>1469</v>
      </c>
      <c r="H1146" s="3">
        <v>0.5</v>
      </c>
      <c r="I1146" s="3">
        <v>0</v>
      </c>
      <c r="J1146" s="3" t="s">
        <v>18</v>
      </c>
      <c r="K1146" s="5">
        <v>7.0000000000000007E-2</v>
      </c>
      <c r="L1146" s="6">
        <v>0</v>
      </c>
      <c r="M1146" s="7" t="s">
        <v>2492</v>
      </c>
      <c r="N1146" s="8">
        <f>VLOOKUP(B1146,'[1]новый без картинок'!$A$5:$F$2672,6,0)</f>
        <v>567</v>
      </c>
    </row>
    <row r="1147" spans="1:14" ht="151.15" customHeight="1" x14ac:dyDescent="0.2">
      <c r="A1147" s="3">
        <v>1145</v>
      </c>
      <c r="B1147" s="3">
        <v>198116</v>
      </c>
      <c r="C1147" s="4" t="str">
        <f>HYPERLINK("http://optservis.net:5080/photo?tov_code_internet=198116","Увеличить")</f>
        <v>Увеличить</v>
      </c>
      <c r="D1147" s="3" t="s">
        <v>2493</v>
      </c>
      <c r="E1147" s="3"/>
      <c r="F1147" s="3" t="s">
        <v>2494</v>
      </c>
      <c r="G1147" s="3" t="s">
        <v>430</v>
      </c>
      <c r="H1147" s="3">
        <v>0.5</v>
      </c>
      <c r="I1147" s="3">
        <v>0</v>
      </c>
      <c r="J1147" s="3" t="s">
        <v>18</v>
      </c>
      <c r="K1147" s="5">
        <v>0.09</v>
      </c>
      <c r="L1147" s="6">
        <v>0</v>
      </c>
      <c r="M1147" s="7" t="s">
        <v>2484</v>
      </c>
      <c r="N1147" s="8">
        <f>VLOOKUP(B1147,'[1]новый без картинок'!$A$5:$F$2672,6,0)</f>
        <v>381</v>
      </c>
    </row>
    <row r="1148" spans="1:14" ht="151.15" customHeight="1" x14ac:dyDescent="0.2">
      <c r="A1148" s="3">
        <v>1146</v>
      </c>
      <c r="B1148" s="3">
        <v>206847</v>
      </c>
      <c r="C1148" s="4" t="str">
        <f>HYPERLINK("http://optservis.net:5080/photo?tov_code_internet=206847","Увеличить")</f>
        <v>Увеличить</v>
      </c>
      <c r="D1148" s="3" t="s">
        <v>2493</v>
      </c>
      <c r="E1148" s="3"/>
      <c r="F1148" s="3" t="s">
        <v>2495</v>
      </c>
      <c r="G1148" s="3" t="s">
        <v>430</v>
      </c>
      <c r="H1148" s="3">
        <v>0.5</v>
      </c>
      <c r="I1148" s="3">
        <v>0</v>
      </c>
      <c r="J1148" s="3" t="s">
        <v>18</v>
      </c>
      <c r="K1148" s="5">
        <v>0.08</v>
      </c>
      <c r="L1148" s="6">
        <v>0</v>
      </c>
      <c r="M1148" s="7" t="s">
        <v>2484</v>
      </c>
      <c r="N1148" s="8">
        <f>VLOOKUP(B1148,'[1]новый без картинок'!$A$5:$F$2672,6,0)</f>
        <v>361</v>
      </c>
    </row>
    <row r="1149" spans="1:14" ht="151.15" customHeight="1" x14ac:dyDescent="0.2">
      <c r="A1149" s="3">
        <v>1147</v>
      </c>
      <c r="B1149" s="3">
        <v>189765</v>
      </c>
      <c r="C1149" s="4" t="str">
        <f>HYPERLINK("http://optservis.net:5080/photo?tov_code_internet=189765","Увеличить")</f>
        <v>Увеличить</v>
      </c>
      <c r="D1149" s="3" t="s">
        <v>2493</v>
      </c>
      <c r="E1149" s="3" t="s">
        <v>2496</v>
      </c>
      <c r="F1149" s="3" t="s">
        <v>434</v>
      </c>
      <c r="G1149" s="3" t="s">
        <v>430</v>
      </c>
      <c r="H1149" s="3">
        <v>0.5</v>
      </c>
      <c r="I1149" s="3">
        <v>0</v>
      </c>
      <c r="J1149" s="3" t="s">
        <v>18</v>
      </c>
      <c r="K1149" s="5">
        <v>0.09</v>
      </c>
      <c r="L1149" s="6">
        <v>4690654018603</v>
      </c>
      <c r="M1149" s="7" t="s">
        <v>2458</v>
      </c>
      <c r="N1149" s="8">
        <f>VLOOKUP(B1149,'[1]новый без картинок'!$A$5:$F$2672,6,0)</f>
        <v>361</v>
      </c>
    </row>
    <row r="1150" spans="1:14" ht="151.15" customHeight="1" x14ac:dyDescent="0.2">
      <c r="A1150" s="3">
        <v>1148</v>
      </c>
      <c r="B1150" s="3">
        <v>211495</v>
      </c>
      <c r="C1150" s="4" t="str">
        <f>HYPERLINK("http://optservis.net:5080/photo?tov_code_internet=211495","Увеличить")</f>
        <v>Увеличить</v>
      </c>
      <c r="D1150" s="3" t="s">
        <v>2497</v>
      </c>
      <c r="E1150" s="3"/>
      <c r="F1150" s="3" t="s">
        <v>1874</v>
      </c>
      <c r="G1150" s="3" t="s">
        <v>430</v>
      </c>
      <c r="H1150" s="3">
        <v>0.5</v>
      </c>
      <c r="I1150" s="3">
        <v>0</v>
      </c>
      <c r="J1150" s="3" t="s">
        <v>18</v>
      </c>
      <c r="K1150" s="5">
        <v>0.1</v>
      </c>
      <c r="L1150" s="6">
        <v>0</v>
      </c>
      <c r="M1150" s="7" t="s">
        <v>2484</v>
      </c>
      <c r="N1150" s="8">
        <f>VLOOKUP(B1150,'[1]новый без картинок'!$A$5:$F$2672,6,0)</f>
        <v>425</v>
      </c>
    </row>
    <row r="1151" spans="1:14" ht="151.15" customHeight="1" x14ac:dyDescent="0.2">
      <c r="A1151" s="3">
        <v>1149</v>
      </c>
      <c r="B1151" s="3">
        <v>198117</v>
      </c>
      <c r="C1151" s="4" t="str">
        <f>HYPERLINK("http://optservis.net:5080/photo?tov_code_internet=198117","Увеличить")</f>
        <v>Увеличить</v>
      </c>
      <c r="D1151" s="3" t="s">
        <v>2497</v>
      </c>
      <c r="E1151" s="3"/>
      <c r="F1151" s="3" t="s">
        <v>2498</v>
      </c>
      <c r="G1151" s="3" t="s">
        <v>430</v>
      </c>
      <c r="H1151" s="3">
        <v>0.5</v>
      </c>
      <c r="I1151" s="3">
        <v>0</v>
      </c>
      <c r="J1151" s="3" t="s">
        <v>18</v>
      </c>
      <c r="K1151" s="5">
        <v>0.1</v>
      </c>
      <c r="L1151" s="6">
        <v>0</v>
      </c>
      <c r="M1151" s="7" t="s">
        <v>2484</v>
      </c>
      <c r="N1151" s="8">
        <f>VLOOKUP(B1151,'[1]новый без картинок'!$A$5:$F$2672,6,0)</f>
        <v>451</v>
      </c>
    </row>
    <row r="1152" spans="1:14" ht="151.15" customHeight="1" x14ac:dyDescent="0.2">
      <c r="A1152" s="3">
        <v>1150</v>
      </c>
      <c r="B1152" s="3">
        <v>206848</v>
      </c>
      <c r="C1152" s="4" t="str">
        <f>HYPERLINK("http://optservis.net:5080/photo?tov_code_internet=206848","Увеличить")</f>
        <v>Увеличить</v>
      </c>
      <c r="D1152" s="3" t="s">
        <v>2497</v>
      </c>
      <c r="E1152" s="3"/>
      <c r="F1152" s="3" t="s">
        <v>2495</v>
      </c>
      <c r="G1152" s="3" t="s">
        <v>430</v>
      </c>
      <c r="H1152" s="3">
        <v>0.5</v>
      </c>
      <c r="I1152" s="3">
        <v>0</v>
      </c>
      <c r="J1152" s="3" t="s">
        <v>18</v>
      </c>
      <c r="K1152" s="5">
        <v>0.1</v>
      </c>
      <c r="L1152" s="6">
        <v>0</v>
      </c>
      <c r="M1152" s="7" t="s">
        <v>2484</v>
      </c>
      <c r="N1152" s="8">
        <f>VLOOKUP(B1152,'[1]новый без картинок'!$A$5:$F$2672,6,0)</f>
        <v>425</v>
      </c>
    </row>
    <row r="1153" spans="1:14" ht="151.15" customHeight="1" x14ac:dyDescent="0.2">
      <c r="A1153" s="3">
        <v>1151</v>
      </c>
      <c r="B1153" s="3">
        <v>189904</v>
      </c>
      <c r="C1153" s="4" t="str">
        <f>HYPERLINK("http://optservis.net:5080/photo?tov_code_internet=189904","Увеличить")</f>
        <v>Увеличить</v>
      </c>
      <c r="D1153" s="3" t="s">
        <v>2497</v>
      </c>
      <c r="E1153" s="3"/>
      <c r="F1153" s="3" t="s">
        <v>434</v>
      </c>
      <c r="G1153" s="3" t="s">
        <v>430</v>
      </c>
      <c r="H1153" s="3">
        <v>0.5</v>
      </c>
      <c r="I1153" s="3">
        <v>0</v>
      </c>
      <c r="J1153" s="3" t="s">
        <v>18</v>
      </c>
      <c r="K1153" s="5">
        <v>0.1</v>
      </c>
      <c r="L1153" s="6">
        <v>0</v>
      </c>
      <c r="M1153" s="7" t="s">
        <v>2461</v>
      </c>
      <c r="N1153" s="8">
        <f>VLOOKUP(B1153,'[1]новый без картинок'!$A$5:$F$2672,6,0)</f>
        <v>425</v>
      </c>
    </row>
    <row r="1154" spans="1:14" ht="151.15" customHeight="1" x14ac:dyDescent="0.2">
      <c r="A1154" s="3">
        <v>1152</v>
      </c>
      <c r="B1154" s="3">
        <v>206849</v>
      </c>
      <c r="C1154" s="4" t="str">
        <f>HYPERLINK("http://optservis.net:5080/photo?tov_code_internet=206849","Увеличить")</f>
        <v>Увеличить</v>
      </c>
      <c r="D1154" s="3" t="s">
        <v>2499</v>
      </c>
      <c r="E1154" s="3"/>
      <c r="F1154" s="3" t="s">
        <v>2495</v>
      </c>
      <c r="G1154" s="3" t="s">
        <v>430</v>
      </c>
      <c r="H1154" s="3">
        <v>0.5</v>
      </c>
      <c r="I1154" s="3">
        <v>0</v>
      </c>
      <c r="J1154" s="3" t="s">
        <v>18</v>
      </c>
      <c r="K1154" s="5">
        <v>0.1</v>
      </c>
      <c r="L1154" s="6">
        <v>0</v>
      </c>
      <c r="M1154" s="7" t="s">
        <v>2484</v>
      </c>
      <c r="N1154" s="8">
        <f>VLOOKUP(B1154,'[1]новый без картинок'!$A$5:$F$2672,6,0)</f>
        <v>454</v>
      </c>
    </row>
    <row r="1155" spans="1:14" ht="151.15" customHeight="1" x14ac:dyDescent="0.2">
      <c r="A1155" s="3">
        <v>1153</v>
      </c>
      <c r="B1155" s="3">
        <v>198115</v>
      </c>
      <c r="C1155" s="4" t="str">
        <f>HYPERLINK("http://optservis.net:5080/photo?tov_code_internet=198115","Увеличить")</f>
        <v>Увеличить</v>
      </c>
      <c r="D1155" s="3" t="s">
        <v>2499</v>
      </c>
      <c r="E1155" s="3" t="s">
        <v>2500</v>
      </c>
      <c r="F1155" s="3" t="s">
        <v>2494</v>
      </c>
      <c r="G1155" s="3" t="s">
        <v>430</v>
      </c>
      <c r="H1155" s="3">
        <v>0.5</v>
      </c>
      <c r="I1155" s="3">
        <v>0</v>
      </c>
      <c r="J1155" s="3" t="s">
        <v>18</v>
      </c>
      <c r="K1155" s="5">
        <v>0.11</v>
      </c>
      <c r="L1155" s="6">
        <v>4690654016364</v>
      </c>
      <c r="M1155" s="7" t="s">
        <v>2501</v>
      </c>
      <c r="N1155" s="8">
        <f>VLOOKUP(B1155,'[1]новый без картинок'!$A$5:$F$2672,6,0)</f>
        <v>475</v>
      </c>
    </row>
    <row r="1156" spans="1:14" ht="151.15" customHeight="1" x14ac:dyDescent="0.2">
      <c r="A1156" s="3">
        <v>1154</v>
      </c>
      <c r="B1156" s="3">
        <v>211497</v>
      </c>
      <c r="C1156" s="4" t="str">
        <f>HYPERLINK("http://optservis.net:5080/photo?tov_code_internet=211497","Увеличить")</f>
        <v>Увеличить</v>
      </c>
      <c r="D1156" s="3" t="s">
        <v>2502</v>
      </c>
      <c r="E1156" s="3"/>
      <c r="F1156" s="3" t="s">
        <v>1874</v>
      </c>
      <c r="G1156" s="3" t="s">
        <v>430</v>
      </c>
      <c r="H1156" s="3">
        <v>0.5</v>
      </c>
      <c r="I1156" s="3">
        <v>0</v>
      </c>
      <c r="J1156" s="3" t="s">
        <v>18</v>
      </c>
      <c r="K1156" s="5">
        <v>0.08</v>
      </c>
      <c r="L1156" s="6">
        <v>0</v>
      </c>
      <c r="M1156" s="7" t="s">
        <v>2484</v>
      </c>
      <c r="N1156" s="8">
        <f>VLOOKUP(B1156,'[1]новый без картинок'!$A$5:$F$2672,6,0)</f>
        <v>415</v>
      </c>
    </row>
    <row r="1157" spans="1:14" ht="151.15" customHeight="1" x14ac:dyDescent="0.2">
      <c r="A1157" s="3">
        <v>1155</v>
      </c>
      <c r="B1157" s="3">
        <v>198114</v>
      </c>
      <c r="C1157" s="4" t="str">
        <f>HYPERLINK("http://optservis.net:5080/photo?tov_code_internet=198114","Увеличить")</f>
        <v>Увеличить</v>
      </c>
      <c r="D1157" s="3" t="s">
        <v>2502</v>
      </c>
      <c r="E1157" s="3"/>
      <c r="F1157" s="3" t="s">
        <v>2494</v>
      </c>
      <c r="G1157" s="3" t="s">
        <v>430</v>
      </c>
      <c r="H1157" s="3">
        <v>0.5</v>
      </c>
      <c r="I1157" s="3">
        <v>0</v>
      </c>
      <c r="J1157" s="3" t="s">
        <v>18</v>
      </c>
      <c r="K1157" s="5">
        <v>0.09</v>
      </c>
      <c r="L1157" s="6">
        <v>0</v>
      </c>
      <c r="M1157" s="7" t="s">
        <v>2484</v>
      </c>
      <c r="N1157" s="8">
        <f>VLOOKUP(B1157,'[1]новый без картинок'!$A$5:$F$2672,6,0)</f>
        <v>436</v>
      </c>
    </row>
    <row r="1158" spans="1:14" ht="151.15" customHeight="1" x14ac:dyDescent="0.2">
      <c r="A1158" s="3">
        <v>1156</v>
      </c>
      <c r="B1158" s="3">
        <v>189905</v>
      </c>
      <c r="C1158" s="4" t="str">
        <f>HYPERLINK("http://optservis.net:5080/photo?tov_code_internet=189905","Увеличить")</f>
        <v>Увеличить</v>
      </c>
      <c r="D1158" s="3" t="s">
        <v>2502</v>
      </c>
      <c r="E1158" s="3"/>
      <c r="F1158" s="3" t="s">
        <v>2503</v>
      </c>
      <c r="G1158" s="3" t="s">
        <v>430</v>
      </c>
      <c r="H1158" s="3">
        <v>0.5</v>
      </c>
      <c r="I1158" s="3">
        <v>0</v>
      </c>
      <c r="J1158" s="3" t="s">
        <v>18</v>
      </c>
      <c r="K1158" s="5">
        <v>0.09</v>
      </c>
      <c r="L1158" s="6">
        <v>0</v>
      </c>
      <c r="M1158" s="7" t="s">
        <v>2465</v>
      </c>
      <c r="N1158" s="8">
        <f>VLOOKUP(B1158,'[1]новый без картинок'!$A$5:$F$2672,6,0)</f>
        <v>415</v>
      </c>
    </row>
    <row r="1159" spans="1:14" ht="151.15" customHeight="1" x14ac:dyDescent="0.2">
      <c r="A1159" s="3">
        <v>1157</v>
      </c>
      <c r="B1159" s="3">
        <v>211496</v>
      </c>
      <c r="C1159" s="4" t="str">
        <f>HYPERLINK("http://optservis.net:5080/photo?tov_code_internet=211496","Увеличить")</f>
        <v>Увеличить</v>
      </c>
      <c r="D1159" s="3" t="s">
        <v>2504</v>
      </c>
      <c r="E1159" s="3"/>
      <c r="F1159" s="3" t="s">
        <v>1901</v>
      </c>
      <c r="G1159" s="3" t="s">
        <v>1479</v>
      </c>
      <c r="H1159" s="3">
        <v>0.5</v>
      </c>
      <c r="I1159" s="3">
        <v>0</v>
      </c>
      <c r="J1159" s="3" t="s">
        <v>18</v>
      </c>
      <c r="K1159" s="5">
        <v>7.0000000000000007E-2</v>
      </c>
      <c r="L1159" s="6">
        <v>0</v>
      </c>
      <c r="M1159" s="7" t="s">
        <v>2505</v>
      </c>
      <c r="N1159" s="8">
        <f>VLOOKUP(B1159,'[1]новый без картинок'!$A$5:$F$2672,6,0)</f>
        <v>554</v>
      </c>
    </row>
    <row r="1160" spans="1:14" ht="151.15" customHeight="1" x14ac:dyDescent="0.2">
      <c r="A1160" s="3">
        <v>1158</v>
      </c>
      <c r="B1160" s="3">
        <v>198121</v>
      </c>
      <c r="C1160" s="4" t="str">
        <f>HYPERLINK("http://optservis.net:5080/photo?tov_code_internet=198121","Увеличить")</f>
        <v>Увеличить</v>
      </c>
      <c r="D1160" s="3" t="s">
        <v>2504</v>
      </c>
      <c r="E1160" s="3"/>
      <c r="F1160" s="3" t="s">
        <v>2506</v>
      </c>
      <c r="G1160" s="3" t="s">
        <v>1045</v>
      </c>
      <c r="H1160" s="3">
        <v>0.5</v>
      </c>
      <c r="I1160" s="3">
        <v>0</v>
      </c>
      <c r="J1160" s="3" t="s">
        <v>18</v>
      </c>
      <c r="K1160" s="5">
        <v>0.08</v>
      </c>
      <c r="L1160" s="6">
        <v>0</v>
      </c>
      <c r="M1160" s="7" t="s">
        <v>2507</v>
      </c>
      <c r="N1160" s="8">
        <f>VLOOKUP(B1160,'[1]новый без картинок'!$A$5:$F$2672,6,0)</f>
        <v>573</v>
      </c>
    </row>
    <row r="1161" spans="1:14" ht="151.15" customHeight="1" x14ac:dyDescent="0.2">
      <c r="A1161" s="3">
        <v>1159</v>
      </c>
      <c r="B1161" s="3">
        <v>206850</v>
      </c>
      <c r="C1161" s="4" t="str">
        <f>HYPERLINK("http://optservis.net:5080/photo?tov_code_internet=206850","Увеличить")</f>
        <v>Увеличить</v>
      </c>
      <c r="D1161" s="3" t="s">
        <v>2504</v>
      </c>
      <c r="E1161" s="3"/>
      <c r="F1161" s="3" t="s">
        <v>2508</v>
      </c>
      <c r="G1161" s="3" t="s">
        <v>1479</v>
      </c>
      <c r="H1161" s="3">
        <v>0.5</v>
      </c>
      <c r="I1161" s="3">
        <v>0</v>
      </c>
      <c r="J1161" s="3" t="s">
        <v>18</v>
      </c>
      <c r="K1161" s="5">
        <v>7.0000000000000007E-2</v>
      </c>
      <c r="L1161" s="6">
        <v>0</v>
      </c>
      <c r="M1161" s="7" t="s">
        <v>2505</v>
      </c>
      <c r="N1161" s="8">
        <f>VLOOKUP(B1161,'[1]новый без картинок'!$A$5:$F$2672,6,0)</f>
        <v>554</v>
      </c>
    </row>
    <row r="1162" spans="1:14" ht="151.15" customHeight="1" x14ac:dyDescent="0.2">
      <c r="A1162" s="3">
        <v>1160</v>
      </c>
      <c r="B1162" s="3">
        <v>189902</v>
      </c>
      <c r="C1162" s="4" t="str">
        <f>HYPERLINK("http://optservis.net:5080/photo?tov_code_internet=189902","Увеличить")</f>
        <v>Увеличить</v>
      </c>
      <c r="D1162" s="3" t="s">
        <v>2504</v>
      </c>
      <c r="E1162" s="3"/>
      <c r="F1162" s="3" t="s">
        <v>2062</v>
      </c>
      <c r="G1162" s="3" t="s">
        <v>1469</v>
      </c>
      <c r="H1162" s="3">
        <v>0.5</v>
      </c>
      <c r="I1162" s="3">
        <v>0</v>
      </c>
      <c r="J1162" s="3" t="s">
        <v>18</v>
      </c>
      <c r="K1162" s="5">
        <v>0.08</v>
      </c>
      <c r="L1162" s="6">
        <v>0</v>
      </c>
      <c r="M1162" s="7" t="s">
        <v>2469</v>
      </c>
      <c r="N1162" s="8">
        <f>VLOOKUP(B1162,'[1]новый без картинок'!$A$5:$F$2672,6,0)</f>
        <v>554</v>
      </c>
    </row>
    <row r="1163" spans="1:14" ht="151.15" customHeight="1" x14ac:dyDescent="0.2">
      <c r="A1163" s="3">
        <v>1161</v>
      </c>
      <c r="B1163" s="3">
        <v>211493</v>
      </c>
      <c r="C1163" s="4" t="str">
        <f>HYPERLINK("http://optservis.net:5080/photo?tov_code_internet=211493","Увеличить")</f>
        <v>Увеличить</v>
      </c>
      <c r="D1163" s="3" t="s">
        <v>2509</v>
      </c>
      <c r="E1163" s="3"/>
      <c r="F1163" s="3" t="s">
        <v>1884</v>
      </c>
      <c r="G1163" s="3" t="s">
        <v>430</v>
      </c>
      <c r="H1163" s="3">
        <v>0.5</v>
      </c>
      <c r="I1163" s="3">
        <v>0</v>
      </c>
      <c r="J1163" s="3" t="s">
        <v>18</v>
      </c>
      <c r="K1163" s="5">
        <v>0.06</v>
      </c>
      <c r="L1163" s="6">
        <v>0</v>
      </c>
      <c r="M1163" s="7" t="s">
        <v>2472</v>
      </c>
      <c r="N1163" s="8">
        <f>VLOOKUP(B1163,'[1]новый без картинок'!$A$5:$F$2672,6,0)</f>
        <v>432</v>
      </c>
    </row>
    <row r="1164" spans="1:14" ht="151.15" customHeight="1" x14ac:dyDescent="0.2">
      <c r="A1164" s="3">
        <v>1162</v>
      </c>
      <c r="B1164" s="3">
        <v>210807</v>
      </c>
      <c r="C1164" s="4" t="str">
        <f>HYPERLINK("http://optservis.net:5080/photo?tov_code_internet=210807","Увеличить")</f>
        <v>Увеличить</v>
      </c>
      <c r="D1164" s="3" t="s">
        <v>2509</v>
      </c>
      <c r="E1164" s="3"/>
      <c r="F1164" s="3" t="s">
        <v>2510</v>
      </c>
      <c r="G1164" s="3" t="s">
        <v>430</v>
      </c>
      <c r="H1164" s="3">
        <v>0.5</v>
      </c>
      <c r="I1164" s="3">
        <v>0</v>
      </c>
      <c r="J1164" s="3" t="s">
        <v>18</v>
      </c>
      <c r="K1164" s="5">
        <v>7.0000000000000007E-2</v>
      </c>
      <c r="L1164" s="6">
        <v>0</v>
      </c>
      <c r="M1164" s="7" t="s">
        <v>2511</v>
      </c>
      <c r="N1164" s="8">
        <f>VLOOKUP(B1164,'[1]новый без картинок'!$A$5:$F$2672,6,0)</f>
        <v>390</v>
      </c>
    </row>
    <row r="1165" spans="1:14" ht="151.15" customHeight="1" x14ac:dyDescent="0.2">
      <c r="A1165" s="3">
        <v>1163</v>
      </c>
      <c r="B1165" s="3">
        <v>210793</v>
      </c>
      <c r="C1165" s="4" t="str">
        <f>HYPERLINK("http://optservis.net:5080/photo?tov_code_internet=210793","Увеличить")</f>
        <v>Увеличить</v>
      </c>
      <c r="D1165" s="3" t="s">
        <v>2509</v>
      </c>
      <c r="E1165" s="3"/>
      <c r="F1165" s="3" t="s">
        <v>2512</v>
      </c>
      <c r="G1165" s="3" t="s">
        <v>430</v>
      </c>
      <c r="H1165" s="3">
        <v>0.5</v>
      </c>
      <c r="I1165" s="3">
        <v>0</v>
      </c>
      <c r="J1165" s="3" t="s">
        <v>18</v>
      </c>
      <c r="K1165" s="5">
        <v>0.06</v>
      </c>
      <c r="L1165" s="6">
        <v>0</v>
      </c>
      <c r="M1165" s="7" t="s">
        <v>2472</v>
      </c>
      <c r="N1165" s="8">
        <f>VLOOKUP(B1165,'[1]новый без картинок'!$A$5:$F$2672,6,0)</f>
        <v>432</v>
      </c>
    </row>
    <row r="1166" spans="1:14" ht="151.15" customHeight="1" x14ac:dyDescent="0.2">
      <c r="A1166" s="3">
        <v>1164</v>
      </c>
      <c r="B1166" s="3">
        <v>192468</v>
      </c>
      <c r="C1166" s="4" t="str">
        <f>HYPERLINK("http://optservis.net:5080/photo?tov_code_internet=192468","Увеличить")</f>
        <v>Увеличить</v>
      </c>
      <c r="D1166" s="3" t="s">
        <v>2509</v>
      </c>
      <c r="E1166" s="3"/>
      <c r="F1166" s="3" t="s">
        <v>434</v>
      </c>
      <c r="G1166" s="3" t="s">
        <v>430</v>
      </c>
      <c r="H1166" s="3">
        <v>0.5</v>
      </c>
      <c r="I1166" s="3">
        <v>0</v>
      </c>
      <c r="J1166" s="3" t="s">
        <v>18</v>
      </c>
      <c r="K1166" s="5">
        <v>0.1</v>
      </c>
      <c r="L1166" s="6">
        <v>0</v>
      </c>
      <c r="M1166" s="7" t="s">
        <v>2474</v>
      </c>
      <c r="N1166" s="8">
        <f>VLOOKUP(B1166,'[1]новый без картинок'!$A$5:$F$2672,6,0)</f>
        <v>376</v>
      </c>
    </row>
    <row r="1167" spans="1:14" ht="151.15" customHeight="1" x14ac:dyDescent="0.2">
      <c r="A1167" s="3">
        <v>1165</v>
      </c>
      <c r="B1167" s="3">
        <v>211485</v>
      </c>
      <c r="C1167" s="4" t="str">
        <f>HYPERLINK("http://optservis.net:5080/photo?tov_code_internet=211485","Увеличить")</f>
        <v>Увеличить</v>
      </c>
      <c r="D1167" s="3" t="s">
        <v>2513</v>
      </c>
      <c r="E1167" s="3"/>
      <c r="F1167" s="3" t="s">
        <v>1888</v>
      </c>
      <c r="G1167" s="3" t="s">
        <v>430</v>
      </c>
      <c r="H1167" s="3">
        <v>0.5</v>
      </c>
      <c r="I1167" s="3">
        <v>0</v>
      </c>
      <c r="J1167" s="3" t="s">
        <v>18</v>
      </c>
      <c r="K1167" s="5">
        <v>0.09</v>
      </c>
      <c r="L1167" s="6">
        <v>0</v>
      </c>
      <c r="M1167" s="7" t="s">
        <v>2514</v>
      </c>
      <c r="N1167" s="8">
        <f>VLOOKUP(B1167,'[1]новый без картинок'!$A$5:$F$2672,6,0)</f>
        <v>359</v>
      </c>
    </row>
    <row r="1168" spans="1:14" ht="151.15" customHeight="1" x14ac:dyDescent="0.2">
      <c r="A1168" s="3">
        <v>1166</v>
      </c>
      <c r="B1168" s="3">
        <v>211486</v>
      </c>
      <c r="C1168" s="4" t="str">
        <f>HYPERLINK("http://optservis.net:5080/photo?tov_code_internet=211486","Увеличить")</f>
        <v>Увеличить</v>
      </c>
      <c r="D1168" s="3" t="s">
        <v>2513</v>
      </c>
      <c r="E1168" s="3"/>
      <c r="F1168" s="3" t="s">
        <v>1890</v>
      </c>
      <c r="G1168" s="3" t="s">
        <v>430</v>
      </c>
      <c r="H1168" s="3">
        <v>0.5</v>
      </c>
      <c r="I1168" s="3">
        <v>0</v>
      </c>
      <c r="J1168" s="3" t="s">
        <v>18</v>
      </c>
      <c r="K1168" s="5">
        <v>0.09</v>
      </c>
      <c r="L1168" s="6">
        <v>0</v>
      </c>
      <c r="M1168" s="7" t="s">
        <v>2514</v>
      </c>
      <c r="N1168" s="8">
        <f>VLOOKUP(B1168,'[1]новый без картинок'!$A$5:$F$2672,6,0)</f>
        <v>351</v>
      </c>
    </row>
    <row r="1169" spans="1:14" ht="151.15" customHeight="1" x14ac:dyDescent="0.2">
      <c r="A1169" s="3">
        <v>1167</v>
      </c>
      <c r="B1169" s="3">
        <v>211484</v>
      </c>
      <c r="C1169" s="4" t="str">
        <f>HYPERLINK("http://optservis.net:5080/photo?tov_code_internet=211484","Увеличить")</f>
        <v>Увеличить</v>
      </c>
      <c r="D1169" s="3" t="s">
        <v>2513</v>
      </c>
      <c r="E1169" s="3"/>
      <c r="F1169" s="3" t="s">
        <v>1874</v>
      </c>
      <c r="G1169" s="3" t="s">
        <v>430</v>
      </c>
      <c r="H1169" s="3">
        <v>0.5</v>
      </c>
      <c r="I1169" s="3">
        <v>0</v>
      </c>
      <c r="J1169" s="3" t="s">
        <v>18</v>
      </c>
      <c r="K1169" s="5">
        <v>0.09</v>
      </c>
      <c r="L1169" s="6">
        <v>0</v>
      </c>
      <c r="M1169" s="7" t="s">
        <v>2514</v>
      </c>
      <c r="N1169" s="8">
        <f>VLOOKUP(B1169,'[1]новый без картинок'!$A$5:$F$2672,6,0)</f>
        <v>351</v>
      </c>
    </row>
    <row r="1170" spans="1:14" ht="151.15" customHeight="1" x14ac:dyDescent="0.2">
      <c r="A1170" s="3">
        <v>1168</v>
      </c>
      <c r="B1170" s="3">
        <v>206838</v>
      </c>
      <c r="C1170" s="4" t="str">
        <f>HYPERLINK("http://optservis.net:5080/photo?tov_code_internet=206838","Увеличить")</f>
        <v>Увеличить</v>
      </c>
      <c r="D1170" s="3" t="s">
        <v>2513</v>
      </c>
      <c r="E1170" s="3"/>
      <c r="F1170" s="3" t="s">
        <v>2515</v>
      </c>
      <c r="G1170" s="3" t="s">
        <v>430</v>
      </c>
      <c r="H1170" s="3">
        <v>0.5</v>
      </c>
      <c r="I1170" s="3">
        <v>0</v>
      </c>
      <c r="J1170" s="3" t="s">
        <v>18</v>
      </c>
      <c r="K1170" s="5">
        <v>0.09</v>
      </c>
      <c r="L1170" s="6">
        <v>0</v>
      </c>
      <c r="M1170" s="7" t="s">
        <v>2514</v>
      </c>
      <c r="N1170" s="8">
        <f>VLOOKUP(B1170,'[1]новый без картинок'!$A$5:$F$2672,6,0)</f>
        <v>351</v>
      </c>
    </row>
    <row r="1171" spans="1:14" ht="151.15" customHeight="1" x14ac:dyDescent="0.2">
      <c r="A1171" s="3">
        <v>1169</v>
      </c>
      <c r="B1171" s="3">
        <v>206837</v>
      </c>
      <c r="C1171" s="4" t="str">
        <f>HYPERLINK("http://optservis.net:5080/photo?tov_code_internet=206837","Увеличить")</f>
        <v>Увеличить</v>
      </c>
      <c r="D1171" s="3" t="s">
        <v>2513</v>
      </c>
      <c r="E1171" s="3"/>
      <c r="F1171" s="3" t="s">
        <v>2495</v>
      </c>
      <c r="G1171" s="3" t="s">
        <v>430</v>
      </c>
      <c r="H1171" s="3">
        <v>0.5</v>
      </c>
      <c r="I1171" s="3">
        <v>0</v>
      </c>
      <c r="J1171" s="3" t="s">
        <v>18</v>
      </c>
      <c r="K1171" s="5">
        <v>0.08</v>
      </c>
      <c r="L1171" s="6">
        <v>0</v>
      </c>
      <c r="M1171" s="7" t="s">
        <v>2514</v>
      </c>
      <c r="N1171" s="8">
        <f>VLOOKUP(B1171,'[1]новый без картинок'!$A$5:$F$2672,6,0)</f>
        <v>351</v>
      </c>
    </row>
    <row r="1172" spans="1:14" ht="151.15" customHeight="1" x14ac:dyDescent="0.2">
      <c r="A1172" s="3">
        <v>1170</v>
      </c>
      <c r="B1172" s="3">
        <v>189758</v>
      </c>
      <c r="C1172" s="4" t="str">
        <f>HYPERLINK("http://optservis.net:5080/photo?tov_code_internet=189758","Увеличить")</f>
        <v>Увеличить</v>
      </c>
      <c r="D1172" s="3" t="s">
        <v>2513</v>
      </c>
      <c r="E1172" s="3"/>
      <c r="F1172" s="3" t="s">
        <v>2048</v>
      </c>
      <c r="G1172" s="3" t="s">
        <v>430</v>
      </c>
      <c r="H1172" s="3">
        <v>0.5</v>
      </c>
      <c r="I1172" s="3">
        <v>0</v>
      </c>
      <c r="J1172" s="3" t="s">
        <v>18</v>
      </c>
      <c r="K1172" s="5">
        <v>0.1</v>
      </c>
      <c r="L1172" s="6">
        <v>0</v>
      </c>
      <c r="M1172" s="7" t="s">
        <v>2476</v>
      </c>
      <c r="N1172" s="8">
        <f>VLOOKUP(B1172,'[1]новый без картинок'!$A$5:$F$2672,6,0)</f>
        <v>359</v>
      </c>
    </row>
    <row r="1173" spans="1:14" ht="151.15" customHeight="1" x14ac:dyDescent="0.2">
      <c r="A1173" s="3">
        <v>1171</v>
      </c>
      <c r="B1173" s="3">
        <v>197966</v>
      </c>
      <c r="C1173" s="4" t="str">
        <f>HYPERLINK("http://optservis.net:5080/photo?tov_code_internet=197966","Увеличить")</f>
        <v>Увеличить</v>
      </c>
      <c r="D1173" s="3" t="s">
        <v>2513</v>
      </c>
      <c r="E1173" s="3" t="s">
        <v>2516</v>
      </c>
      <c r="F1173" s="3" t="s">
        <v>2517</v>
      </c>
      <c r="G1173" s="3" t="s">
        <v>430</v>
      </c>
      <c r="H1173" s="3">
        <v>0.5</v>
      </c>
      <c r="I1173" s="3">
        <v>0</v>
      </c>
      <c r="J1173" s="3" t="s">
        <v>18</v>
      </c>
      <c r="K1173" s="5">
        <v>0.1</v>
      </c>
      <c r="L1173" s="6">
        <v>4690654016579</v>
      </c>
      <c r="M1173" s="7" t="s">
        <v>2514</v>
      </c>
      <c r="N1173" s="8">
        <f>VLOOKUP(B1173,'[1]новый без картинок'!$A$5:$F$2672,6,0)</f>
        <v>371</v>
      </c>
    </row>
    <row r="1174" spans="1:14" ht="151.15" customHeight="1" x14ac:dyDescent="0.2">
      <c r="A1174" s="3">
        <v>1172</v>
      </c>
      <c r="B1174" s="3">
        <v>211487</v>
      </c>
      <c r="C1174" s="4" t="str">
        <f>HYPERLINK("http://optservis.net:5080/photo?tov_code_internet=211487","Увеличить")</f>
        <v>Увеличить</v>
      </c>
      <c r="D1174" s="3" t="s">
        <v>2518</v>
      </c>
      <c r="E1174" s="3"/>
      <c r="F1174" s="3" t="s">
        <v>1874</v>
      </c>
      <c r="G1174" s="3" t="s">
        <v>430</v>
      </c>
      <c r="H1174" s="3">
        <v>0.5</v>
      </c>
      <c r="I1174" s="3">
        <v>0</v>
      </c>
      <c r="J1174" s="3" t="s">
        <v>18</v>
      </c>
      <c r="K1174" s="5">
        <v>0.08</v>
      </c>
      <c r="L1174" s="6">
        <v>0</v>
      </c>
      <c r="M1174" s="7" t="s">
        <v>2484</v>
      </c>
      <c r="N1174" s="8">
        <f>VLOOKUP(B1174,'[1]новый без картинок'!$A$5:$F$2672,6,0)</f>
        <v>361</v>
      </c>
    </row>
    <row r="1175" spans="1:14" ht="151.15" customHeight="1" x14ac:dyDescent="0.2">
      <c r="A1175" s="3">
        <v>1173</v>
      </c>
      <c r="B1175" s="3">
        <v>198119</v>
      </c>
      <c r="C1175" s="4" t="str">
        <f>HYPERLINK("http://optservis.net:5080/photo?tov_code_internet=198119","Увеличить")</f>
        <v>Увеличить</v>
      </c>
      <c r="D1175" s="3" t="s">
        <v>2518</v>
      </c>
      <c r="E1175" s="3"/>
      <c r="F1175" s="3" t="s">
        <v>2494</v>
      </c>
      <c r="G1175" s="3" t="s">
        <v>430</v>
      </c>
      <c r="H1175" s="3">
        <v>0.5</v>
      </c>
      <c r="I1175" s="3">
        <v>0</v>
      </c>
      <c r="J1175" s="3" t="s">
        <v>18</v>
      </c>
      <c r="K1175" s="5">
        <v>0.08</v>
      </c>
      <c r="L1175" s="6">
        <v>0</v>
      </c>
      <c r="M1175" s="7" t="s">
        <v>2484</v>
      </c>
      <c r="N1175" s="8">
        <f>VLOOKUP(B1175,'[1]новый без картинок'!$A$5:$F$2672,6,0)</f>
        <v>382</v>
      </c>
    </row>
    <row r="1176" spans="1:14" ht="151.15" customHeight="1" x14ac:dyDescent="0.2">
      <c r="A1176" s="3">
        <v>1174</v>
      </c>
      <c r="B1176" s="3">
        <v>206839</v>
      </c>
      <c r="C1176" s="4" t="str">
        <f>HYPERLINK("http://optservis.net:5080/photo?tov_code_internet=206839","Увеличить")</f>
        <v>Увеличить</v>
      </c>
      <c r="D1176" s="3" t="s">
        <v>2518</v>
      </c>
      <c r="E1176" s="3"/>
      <c r="F1176" s="3" t="s">
        <v>2495</v>
      </c>
      <c r="G1176" s="3" t="s">
        <v>430</v>
      </c>
      <c r="H1176" s="3">
        <v>0.5</v>
      </c>
      <c r="I1176" s="3">
        <v>0</v>
      </c>
      <c r="J1176" s="3" t="s">
        <v>18</v>
      </c>
      <c r="K1176" s="5">
        <v>0.08</v>
      </c>
      <c r="L1176" s="6">
        <v>0</v>
      </c>
      <c r="M1176" s="7" t="s">
        <v>2484</v>
      </c>
      <c r="N1176" s="8">
        <f>VLOOKUP(B1176,'[1]новый без картинок'!$A$5:$F$2672,6,0)</f>
        <v>361</v>
      </c>
    </row>
    <row r="1177" spans="1:14" ht="151.15" customHeight="1" x14ac:dyDescent="0.2">
      <c r="A1177" s="3">
        <v>1175</v>
      </c>
      <c r="B1177" s="3">
        <v>189759</v>
      </c>
      <c r="C1177" s="4" t="str">
        <f>HYPERLINK("http://optservis.net:5080/photo?tov_code_internet=189759","Увеличить")</f>
        <v>Увеличить</v>
      </c>
      <c r="D1177" s="3" t="s">
        <v>2518</v>
      </c>
      <c r="E1177" s="3"/>
      <c r="F1177" s="3" t="s">
        <v>434</v>
      </c>
      <c r="G1177" s="3" t="s">
        <v>430</v>
      </c>
      <c r="H1177" s="3">
        <v>0.5</v>
      </c>
      <c r="I1177" s="3">
        <v>0</v>
      </c>
      <c r="J1177" s="3" t="s">
        <v>18</v>
      </c>
      <c r="K1177" s="5">
        <v>0.08</v>
      </c>
      <c r="L1177" s="6">
        <v>0</v>
      </c>
      <c r="M1177" s="7" t="s">
        <v>2478</v>
      </c>
      <c r="N1177" s="8">
        <f>VLOOKUP(B1177,'[1]новый без картинок'!$A$5:$F$2672,6,0)</f>
        <v>361</v>
      </c>
    </row>
    <row r="1178" spans="1:14" ht="151.15" customHeight="1" x14ac:dyDescent="0.2">
      <c r="A1178" s="3">
        <v>1176</v>
      </c>
      <c r="B1178" s="3">
        <v>211488</v>
      </c>
      <c r="C1178" s="4" t="str">
        <f>HYPERLINK("http://optservis.net:5080/photo?tov_code_internet=211488","Увеличить")</f>
        <v>Увеличить</v>
      </c>
      <c r="D1178" s="3" t="s">
        <v>2519</v>
      </c>
      <c r="E1178" s="3"/>
      <c r="F1178" s="3" t="s">
        <v>1896</v>
      </c>
      <c r="G1178" s="3" t="s">
        <v>1469</v>
      </c>
      <c r="H1178" s="3">
        <v>0.5</v>
      </c>
      <c r="I1178" s="3">
        <v>0</v>
      </c>
      <c r="J1178" s="3" t="s">
        <v>18</v>
      </c>
      <c r="K1178" s="5">
        <v>7.0000000000000007E-2</v>
      </c>
      <c r="L1178" s="6">
        <v>0</v>
      </c>
      <c r="M1178" s="7" t="s">
        <v>2520</v>
      </c>
      <c r="N1178" s="8">
        <f>VLOOKUP(B1178,'[1]новый без картинок'!$A$5:$F$2672,6,0)</f>
        <v>465</v>
      </c>
    </row>
    <row r="1179" spans="1:14" ht="151.15" customHeight="1" x14ac:dyDescent="0.2">
      <c r="A1179" s="3">
        <v>1177</v>
      </c>
      <c r="B1179" s="3">
        <v>211489</v>
      </c>
      <c r="C1179" s="4" t="str">
        <f>HYPERLINK("http://optservis.net:5080/photo?tov_code_internet=211489","Увеличить")</f>
        <v>Увеличить</v>
      </c>
      <c r="D1179" s="3" t="s">
        <v>2519</v>
      </c>
      <c r="E1179" s="3"/>
      <c r="F1179" s="3" t="s">
        <v>1897</v>
      </c>
      <c r="G1179" s="3" t="s">
        <v>1469</v>
      </c>
      <c r="H1179" s="3">
        <v>0.5</v>
      </c>
      <c r="I1179" s="3">
        <v>0</v>
      </c>
      <c r="J1179" s="3" t="s">
        <v>18</v>
      </c>
      <c r="K1179" s="5">
        <v>0.08</v>
      </c>
      <c r="L1179" s="6">
        <v>0</v>
      </c>
      <c r="M1179" s="7" t="s">
        <v>2520</v>
      </c>
      <c r="N1179" s="8">
        <f>VLOOKUP(B1179,'[1]новый без картинок'!$A$5:$F$2672,6,0)</f>
        <v>469</v>
      </c>
    </row>
    <row r="1180" spans="1:14" ht="151.15" customHeight="1" x14ac:dyDescent="0.2">
      <c r="A1180" s="3">
        <v>1178</v>
      </c>
      <c r="B1180" s="3">
        <v>197969</v>
      </c>
      <c r="C1180" s="4" t="str">
        <f>HYPERLINK("http://optservis.net:5080/photo?tov_code_internet=197969","Увеличить")</f>
        <v>Увеличить</v>
      </c>
      <c r="D1180" s="3" t="s">
        <v>2519</v>
      </c>
      <c r="E1180" s="3"/>
      <c r="F1180" s="3" t="s">
        <v>2521</v>
      </c>
      <c r="G1180" s="3" t="s">
        <v>1469</v>
      </c>
      <c r="H1180" s="3">
        <v>0.5</v>
      </c>
      <c r="I1180" s="3">
        <v>0</v>
      </c>
      <c r="J1180" s="3" t="s">
        <v>18</v>
      </c>
      <c r="K1180" s="5">
        <v>0.08</v>
      </c>
      <c r="L1180" s="6">
        <v>0</v>
      </c>
      <c r="M1180" s="7" t="s">
        <v>2520</v>
      </c>
      <c r="N1180" s="8">
        <f>VLOOKUP(B1180,'[1]новый без картинок'!$A$5:$F$2672,6,0)</f>
        <v>489</v>
      </c>
    </row>
    <row r="1181" spans="1:14" ht="151.15" customHeight="1" x14ac:dyDescent="0.2">
      <c r="A1181" s="3">
        <v>1179</v>
      </c>
      <c r="B1181" s="3">
        <v>197970</v>
      </c>
      <c r="C1181" s="4" t="str">
        <f>HYPERLINK("http://optservis.net:5080/photo?tov_code_internet=197970","Увеличить")</f>
        <v>Увеличить</v>
      </c>
      <c r="D1181" s="3" t="s">
        <v>2519</v>
      </c>
      <c r="E1181" s="3"/>
      <c r="F1181" s="3" t="s">
        <v>2522</v>
      </c>
      <c r="G1181" s="3" t="s">
        <v>1469</v>
      </c>
      <c r="H1181" s="3">
        <v>0.5</v>
      </c>
      <c r="I1181" s="3">
        <v>0</v>
      </c>
      <c r="J1181" s="3" t="s">
        <v>18</v>
      </c>
      <c r="K1181" s="5">
        <v>0.08</v>
      </c>
      <c r="L1181" s="6">
        <v>0</v>
      </c>
      <c r="M1181" s="7" t="s">
        <v>2520</v>
      </c>
      <c r="N1181" s="8">
        <f>VLOOKUP(B1181,'[1]новый без картинок'!$A$5:$F$2672,6,0)</f>
        <v>478</v>
      </c>
    </row>
    <row r="1182" spans="1:14" ht="151.15" customHeight="1" x14ac:dyDescent="0.2">
      <c r="A1182" s="3">
        <v>1180</v>
      </c>
      <c r="B1182" s="3">
        <v>206843</v>
      </c>
      <c r="C1182" s="4" t="str">
        <f>HYPERLINK("http://optservis.net:5080/photo?tov_code_internet=206843","Увеличить")</f>
        <v>Увеличить</v>
      </c>
      <c r="D1182" s="3" t="s">
        <v>2519</v>
      </c>
      <c r="E1182" s="3"/>
      <c r="F1182" s="3" t="s">
        <v>2523</v>
      </c>
      <c r="G1182" s="3" t="s">
        <v>1469</v>
      </c>
      <c r="H1182" s="3">
        <v>0.5</v>
      </c>
      <c r="I1182" s="3">
        <v>0</v>
      </c>
      <c r="J1182" s="3" t="s">
        <v>18</v>
      </c>
      <c r="K1182" s="5">
        <v>0.08</v>
      </c>
      <c r="L1182" s="6">
        <v>0</v>
      </c>
      <c r="M1182" s="7" t="s">
        <v>2520</v>
      </c>
      <c r="N1182" s="8">
        <f>VLOOKUP(B1182,'[1]новый без картинок'!$A$5:$F$2672,6,0)</f>
        <v>469</v>
      </c>
    </row>
    <row r="1183" spans="1:14" ht="151.15" customHeight="1" x14ac:dyDescent="0.2">
      <c r="A1183" s="3">
        <v>1181</v>
      </c>
      <c r="B1183" s="3">
        <v>206841</v>
      </c>
      <c r="C1183" s="4" t="str">
        <f>HYPERLINK("http://optservis.net:5080/photo?tov_code_internet=206841","Увеличить")</f>
        <v>Увеличить</v>
      </c>
      <c r="D1183" s="3" t="s">
        <v>2519</v>
      </c>
      <c r="E1183" s="3"/>
      <c r="F1183" s="3" t="s">
        <v>2524</v>
      </c>
      <c r="G1183" s="3" t="s">
        <v>1469</v>
      </c>
      <c r="H1183" s="3">
        <v>0.5</v>
      </c>
      <c r="I1183" s="3">
        <v>0</v>
      </c>
      <c r="J1183" s="3" t="s">
        <v>18</v>
      </c>
      <c r="K1183" s="5">
        <v>7.0000000000000007E-2</v>
      </c>
      <c r="L1183" s="6">
        <v>0</v>
      </c>
      <c r="M1183" s="7" t="s">
        <v>2520</v>
      </c>
      <c r="N1183" s="8">
        <f>VLOOKUP(B1183,'[1]новый без картинок'!$A$5:$F$2672,6,0)</f>
        <v>465</v>
      </c>
    </row>
    <row r="1184" spans="1:14" ht="151.15" customHeight="1" x14ac:dyDescent="0.2">
      <c r="A1184" s="3">
        <v>1182</v>
      </c>
      <c r="B1184" s="3">
        <v>189761</v>
      </c>
      <c r="C1184" s="4" t="str">
        <f>HYPERLINK("http://optservis.net:5080/photo?tov_code_internet=189761","Увеличить")</f>
        <v>Увеличить</v>
      </c>
      <c r="D1184" s="3" t="s">
        <v>2519</v>
      </c>
      <c r="E1184" s="3"/>
      <c r="F1184" s="3" t="s">
        <v>2082</v>
      </c>
      <c r="G1184" s="3" t="s">
        <v>1469</v>
      </c>
      <c r="H1184" s="3">
        <v>0.5</v>
      </c>
      <c r="I1184" s="3">
        <v>0</v>
      </c>
      <c r="J1184" s="3" t="s">
        <v>18</v>
      </c>
      <c r="K1184" s="5">
        <v>0.08</v>
      </c>
      <c r="L1184" s="6">
        <v>0</v>
      </c>
      <c r="M1184" s="7" t="s">
        <v>2481</v>
      </c>
      <c r="N1184" s="8">
        <f>VLOOKUP(B1184,'[1]новый без картинок'!$A$5:$F$2672,6,0)</f>
        <v>469</v>
      </c>
    </row>
    <row r="1185" spans="1:14" ht="151.15" customHeight="1" x14ac:dyDescent="0.2">
      <c r="A1185" s="3">
        <v>1183</v>
      </c>
      <c r="B1185" s="3">
        <v>189762</v>
      </c>
      <c r="C1185" s="4" t="str">
        <f>HYPERLINK("http://optservis.net:5080/photo?tov_code_internet=189762","Увеличить")</f>
        <v>Увеличить</v>
      </c>
      <c r="D1185" s="3" t="s">
        <v>2519</v>
      </c>
      <c r="E1185" s="3" t="s">
        <v>2525</v>
      </c>
      <c r="F1185" s="3" t="s">
        <v>2526</v>
      </c>
      <c r="G1185" s="3" t="s">
        <v>1469</v>
      </c>
      <c r="H1185" s="3">
        <v>0.5</v>
      </c>
      <c r="I1185" s="3">
        <v>0</v>
      </c>
      <c r="J1185" s="3" t="s">
        <v>18</v>
      </c>
      <c r="K1185" s="5">
        <v>0.08</v>
      </c>
      <c r="L1185" s="6">
        <v>4690654019341</v>
      </c>
      <c r="M1185" s="7" t="s">
        <v>2481</v>
      </c>
      <c r="N1185" s="8">
        <f>VLOOKUP(B1185,'[1]новый без картинок'!$A$5:$F$2672,6,0)</f>
        <v>465</v>
      </c>
    </row>
    <row r="1186" spans="1:14" ht="151.15" customHeight="1" x14ac:dyDescent="0.2">
      <c r="A1186" s="3">
        <v>1184</v>
      </c>
      <c r="B1186" s="3">
        <v>189763</v>
      </c>
      <c r="C1186" s="4" t="str">
        <f>HYPERLINK("http://optservis.net:5080/photo?tov_code_internet=189763","Увеличить")</f>
        <v>Увеличить</v>
      </c>
      <c r="D1186" s="3" t="s">
        <v>2519</v>
      </c>
      <c r="E1186" s="3" t="s">
        <v>2525</v>
      </c>
      <c r="F1186" s="3" t="s">
        <v>2527</v>
      </c>
      <c r="G1186" s="3" t="s">
        <v>1469</v>
      </c>
      <c r="H1186" s="3">
        <v>0.5</v>
      </c>
      <c r="I1186" s="3">
        <v>0</v>
      </c>
      <c r="J1186" s="3" t="s">
        <v>18</v>
      </c>
      <c r="K1186" s="5">
        <v>0.08</v>
      </c>
      <c r="L1186" s="6">
        <v>4690654020934</v>
      </c>
      <c r="M1186" s="7" t="s">
        <v>2481</v>
      </c>
      <c r="N1186" s="8">
        <f>VLOOKUP(B1186,'[1]новый без картинок'!$A$5:$F$2672,6,0)</f>
        <v>399</v>
      </c>
    </row>
    <row r="1187" spans="1:14" ht="151.15" customHeight="1" x14ac:dyDescent="0.2">
      <c r="A1187" s="3">
        <v>1185</v>
      </c>
      <c r="B1187" s="3">
        <v>211490</v>
      </c>
      <c r="C1187" s="4" t="str">
        <f>HYPERLINK("http://optservis.net:5080/photo?tov_code_internet=211490","Увеличить")</f>
        <v>Увеличить</v>
      </c>
      <c r="D1187" s="3" t="s">
        <v>2528</v>
      </c>
      <c r="E1187" s="3"/>
      <c r="F1187" s="3" t="s">
        <v>1874</v>
      </c>
      <c r="G1187" s="3" t="s">
        <v>430</v>
      </c>
      <c r="H1187" s="3">
        <v>0.5</v>
      </c>
      <c r="I1187" s="3">
        <v>0</v>
      </c>
      <c r="J1187" s="3" t="s">
        <v>18</v>
      </c>
      <c r="K1187" s="5">
        <v>0.1</v>
      </c>
      <c r="L1187" s="6">
        <v>0</v>
      </c>
      <c r="M1187" s="7" t="s">
        <v>2484</v>
      </c>
      <c r="N1187" s="8">
        <f>VLOOKUP(B1187,'[1]новый без картинок'!$A$5:$F$2672,6,0)</f>
        <v>365</v>
      </c>
    </row>
    <row r="1188" spans="1:14" ht="151.15" customHeight="1" x14ac:dyDescent="0.2">
      <c r="A1188" s="3">
        <v>1186</v>
      </c>
      <c r="B1188" s="3">
        <v>206844</v>
      </c>
      <c r="C1188" s="4" t="str">
        <f>HYPERLINK("http://optservis.net:5080/photo?tov_code_internet=206844","Увеличить")</f>
        <v>Увеличить</v>
      </c>
      <c r="D1188" s="3" t="s">
        <v>2528</v>
      </c>
      <c r="E1188" s="3"/>
      <c r="F1188" s="3" t="s">
        <v>2495</v>
      </c>
      <c r="G1188" s="3" t="s">
        <v>430</v>
      </c>
      <c r="H1188" s="3">
        <v>0.5</v>
      </c>
      <c r="I1188" s="3">
        <v>0</v>
      </c>
      <c r="J1188" s="3" t="s">
        <v>18</v>
      </c>
      <c r="K1188" s="5">
        <v>0.1</v>
      </c>
      <c r="L1188" s="6">
        <v>0</v>
      </c>
      <c r="M1188" s="7" t="s">
        <v>2484</v>
      </c>
      <c r="N1188" s="8">
        <f>VLOOKUP(B1188,'[1]новый без картинок'!$A$5:$F$2672,6,0)</f>
        <v>365</v>
      </c>
    </row>
    <row r="1189" spans="1:14" ht="151.15" customHeight="1" x14ac:dyDescent="0.2">
      <c r="A1189" s="3">
        <v>1187</v>
      </c>
      <c r="B1189" s="3">
        <v>189764</v>
      </c>
      <c r="C1189" s="4" t="str">
        <f>HYPERLINK("http://optservis.net:5080/photo?tov_code_internet=189764","Увеличить")</f>
        <v>Увеличить</v>
      </c>
      <c r="D1189" s="3" t="s">
        <v>2528</v>
      </c>
      <c r="E1189" s="3" t="s">
        <v>2529</v>
      </c>
      <c r="F1189" s="3" t="s">
        <v>2503</v>
      </c>
      <c r="G1189" s="3" t="s">
        <v>430</v>
      </c>
      <c r="H1189" s="3">
        <v>0.5</v>
      </c>
      <c r="I1189" s="3">
        <v>0</v>
      </c>
      <c r="J1189" s="3" t="s">
        <v>18</v>
      </c>
      <c r="K1189" s="5">
        <v>0.1</v>
      </c>
      <c r="L1189" s="6">
        <v>4690654013431</v>
      </c>
      <c r="M1189" s="7" t="s">
        <v>2486</v>
      </c>
      <c r="N1189" s="8">
        <f>VLOOKUP(B1189,'[1]новый без картинок'!$A$5:$F$2672,6,0)</f>
        <v>365</v>
      </c>
    </row>
    <row r="1190" spans="1:14" ht="151.15" customHeight="1" x14ac:dyDescent="0.2">
      <c r="A1190" s="3">
        <v>1188</v>
      </c>
      <c r="B1190" s="3">
        <v>211491</v>
      </c>
      <c r="C1190" s="4" t="str">
        <f>HYPERLINK("http://optservis.net:5080/photo?tov_code_internet=211491","Увеличить")</f>
        <v>Увеличить</v>
      </c>
      <c r="D1190" s="3" t="s">
        <v>2530</v>
      </c>
      <c r="E1190" s="3"/>
      <c r="F1190" s="3" t="s">
        <v>1901</v>
      </c>
      <c r="G1190" s="3" t="s">
        <v>1479</v>
      </c>
      <c r="H1190" s="3">
        <v>0.5</v>
      </c>
      <c r="I1190" s="3">
        <v>0</v>
      </c>
      <c r="J1190" s="3" t="s">
        <v>18</v>
      </c>
      <c r="K1190" s="5">
        <v>7.0000000000000007E-2</v>
      </c>
      <c r="L1190" s="6">
        <v>0</v>
      </c>
      <c r="M1190" s="7" t="s">
        <v>2531</v>
      </c>
      <c r="N1190" s="8">
        <f>VLOOKUP(B1190,'[1]новый без картинок'!$A$5:$F$2672,6,0)</f>
        <v>475</v>
      </c>
    </row>
    <row r="1191" spans="1:14" ht="151.15" customHeight="1" x14ac:dyDescent="0.2">
      <c r="A1191" s="3">
        <v>1189</v>
      </c>
      <c r="B1191" s="3">
        <v>197967</v>
      </c>
      <c r="C1191" s="4" t="str">
        <f>HYPERLINK("http://optservis.net:5080/photo?tov_code_internet=197967","Увеличить")</f>
        <v>Увеличить</v>
      </c>
      <c r="D1191" s="3" t="s">
        <v>2530</v>
      </c>
      <c r="E1191" s="3"/>
      <c r="F1191" s="3" t="s">
        <v>2532</v>
      </c>
      <c r="G1191" s="3" t="s">
        <v>1045</v>
      </c>
      <c r="H1191" s="3">
        <v>0.5</v>
      </c>
      <c r="I1191" s="3">
        <v>0</v>
      </c>
      <c r="J1191" s="3" t="s">
        <v>18</v>
      </c>
      <c r="K1191" s="5">
        <v>7.0000000000000007E-2</v>
      </c>
      <c r="L1191" s="6">
        <v>0</v>
      </c>
      <c r="M1191" s="7" t="s">
        <v>2531</v>
      </c>
      <c r="N1191" s="8">
        <f>VLOOKUP(B1191,'[1]новый без картинок'!$A$5:$F$2672,6,0)</f>
        <v>491</v>
      </c>
    </row>
    <row r="1192" spans="1:14" ht="151.15" customHeight="1" x14ac:dyDescent="0.2">
      <c r="A1192" s="3">
        <v>1190</v>
      </c>
      <c r="B1192" s="3">
        <v>197968</v>
      </c>
      <c r="C1192" s="4" t="str">
        <f>HYPERLINK("http://optservis.net:5080/photo?tov_code_internet=197968","Увеличить")</f>
        <v>Увеличить</v>
      </c>
      <c r="D1192" s="3" t="s">
        <v>2530</v>
      </c>
      <c r="E1192" s="3"/>
      <c r="F1192" s="3" t="s">
        <v>2506</v>
      </c>
      <c r="G1192" s="3" t="s">
        <v>1045</v>
      </c>
      <c r="H1192" s="3">
        <v>0.5</v>
      </c>
      <c r="I1192" s="3">
        <v>0</v>
      </c>
      <c r="J1192" s="3" t="s">
        <v>18</v>
      </c>
      <c r="K1192" s="5">
        <v>7.0000000000000007E-2</v>
      </c>
      <c r="L1192" s="6">
        <v>0</v>
      </c>
      <c r="M1192" s="7" t="s">
        <v>2531</v>
      </c>
      <c r="N1192" s="8">
        <f>VLOOKUP(B1192,'[1]новый без картинок'!$A$5:$F$2672,6,0)</f>
        <v>495</v>
      </c>
    </row>
    <row r="1193" spans="1:14" ht="151.15" customHeight="1" x14ac:dyDescent="0.2">
      <c r="A1193" s="3">
        <v>1191</v>
      </c>
      <c r="B1193" s="3">
        <v>206845</v>
      </c>
      <c r="C1193" s="4" t="str">
        <f>HYPERLINK("http://optservis.net:5080/photo?tov_code_internet=206845","Увеличить")</f>
        <v>Увеличить</v>
      </c>
      <c r="D1193" s="3" t="s">
        <v>2530</v>
      </c>
      <c r="E1193" s="3"/>
      <c r="F1193" s="3" t="s">
        <v>2508</v>
      </c>
      <c r="G1193" s="3" t="s">
        <v>1479</v>
      </c>
      <c r="H1193" s="3">
        <v>0.5</v>
      </c>
      <c r="I1193" s="3">
        <v>0</v>
      </c>
      <c r="J1193" s="3" t="s">
        <v>18</v>
      </c>
      <c r="K1193" s="5">
        <v>0.06</v>
      </c>
      <c r="L1193" s="6">
        <v>0</v>
      </c>
      <c r="M1193" s="7" t="s">
        <v>2531</v>
      </c>
      <c r="N1193" s="8">
        <f>VLOOKUP(B1193,'[1]новый без картинок'!$A$5:$F$2672,6,0)</f>
        <v>475</v>
      </c>
    </row>
    <row r="1194" spans="1:14" ht="151.15" customHeight="1" x14ac:dyDescent="0.2">
      <c r="A1194" s="3">
        <v>1192</v>
      </c>
      <c r="B1194" s="3">
        <v>189900</v>
      </c>
      <c r="C1194" s="4" t="str">
        <f>HYPERLINK("http://optservis.net:5080/photo?tov_code_internet=189900","Увеличить")</f>
        <v>Увеличить</v>
      </c>
      <c r="D1194" s="3" t="s">
        <v>2530</v>
      </c>
      <c r="E1194" s="3" t="s">
        <v>2533</v>
      </c>
      <c r="F1194" s="3" t="s">
        <v>2091</v>
      </c>
      <c r="G1194" s="3" t="s">
        <v>1045</v>
      </c>
      <c r="H1194" s="3">
        <v>0.5</v>
      </c>
      <c r="I1194" s="3">
        <v>0</v>
      </c>
      <c r="J1194" s="3" t="s">
        <v>18</v>
      </c>
      <c r="K1194" s="5">
        <v>7.0000000000000007E-2</v>
      </c>
      <c r="L1194" s="6">
        <v>4690654017514</v>
      </c>
      <c r="M1194" s="7" t="s">
        <v>2489</v>
      </c>
      <c r="N1194" s="8">
        <f>VLOOKUP(B1194,'[1]новый без картинок'!$A$5:$F$2672,6,0)</f>
        <v>475</v>
      </c>
    </row>
    <row r="1195" spans="1:14" ht="151.15" customHeight="1" x14ac:dyDescent="0.2">
      <c r="A1195" s="3">
        <v>1193</v>
      </c>
      <c r="B1195" s="3">
        <v>189901</v>
      </c>
      <c r="C1195" s="4" t="str">
        <f>HYPERLINK("http://optservis.net:5080/photo?tov_code_internet=189901","Увеличить")</f>
        <v>Увеличить</v>
      </c>
      <c r="D1195" s="3" t="s">
        <v>2534</v>
      </c>
      <c r="E1195" s="3" t="s">
        <v>2535</v>
      </c>
      <c r="F1195" s="3" t="s">
        <v>2536</v>
      </c>
      <c r="G1195" s="3" t="s">
        <v>1469</v>
      </c>
      <c r="H1195" s="3">
        <v>0.5</v>
      </c>
      <c r="I1195" s="3">
        <v>0</v>
      </c>
      <c r="J1195" s="3" t="s">
        <v>18</v>
      </c>
      <c r="K1195" s="5">
        <v>7.0000000000000007E-2</v>
      </c>
      <c r="L1195" s="6">
        <v>4690654017408</v>
      </c>
      <c r="M1195" s="7" t="s">
        <v>2492</v>
      </c>
      <c r="N1195" s="8">
        <f>VLOOKUP(B1195,'[1]новый без картинок'!$A$5:$F$2672,6,0)</f>
        <v>564</v>
      </c>
    </row>
    <row r="1196" spans="1:14" ht="151.15" customHeight="1" x14ac:dyDescent="0.2">
      <c r="A1196" s="3">
        <v>1194</v>
      </c>
      <c r="B1196" s="3">
        <v>211494</v>
      </c>
      <c r="C1196" s="4" t="str">
        <f>HYPERLINK("http://optservis.net:5080/photo?tov_code_internet=211494","Увеличить")</f>
        <v>Увеличить</v>
      </c>
      <c r="D1196" s="3" t="s">
        <v>2537</v>
      </c>
      <c r="E1196" s="3"/>
      <c r="F1196" s="3" t="s">
        <v>1904</v>
      </c>
      <c r="G1196" s="3" t="s">
        <v>430</v>
      </c>
      <c r="H1196" s="3">
        <v>0.5</v>
      </c>
      <c r="I1196" s="3">
        <v>0</v>
      </c>
      <c r="J1196" s="3" t="s">
        <v>18</v>
      </c>
      <c r="K1196" s="5">
        <v>0.1</v>
      </c>
      <c r="L1196" s="6">
        <v>0</v>
      </c>
      <c r="M1196" s="7" t="s">
        <v>2538</v>
      </c>
      <c r="N1196" s="8">
        <f>VLOOKUP(B1196,'[1]новый без картинок'!$A$5:$F$2672,6,0)</f>
        <v>378</v>
      </c>
    </row>
    <row r="1197" spans="1:14" ht="151.15" customHeight="1" x14ac:dyDescent="0.2">
      <c r="A1197" s="3">
        <v>1195</v>
      </c>
      <c r="B1197" s="3">
        <v>199577</v>
      </c>
      <c r="C1197" s="4" t="str">
        <f>HYPERLINK("http://optservis.net:5080/photo?tov_code_internet=199577","Увеличить")</f>
        <v>Увеличить</v>
      </c>
      <c r="D1197" s="3" t="s">
        <v>2537</v>
      </c>
      <c r="E1197" s="3"/>
      <c r="F1197" s="3" t="s">
        <v>2539</v>
      </c>
      <c r="G1197" s="3" t="s">
        <v>430</v>
      </c>
      <c r="H1197" s="3">
        <v>0.5</v>
      </c>
      <c r="I1197" s="3">
        <v>0</v>
      </c>
      <c r="J1197" s="3" t="s">
        <v>18</v>
      </c>
      <c r="K1197" s="5">
        <v>0.1</v>
      </c>
      <c r="L1197" s="6">
        <v>0</v>
      </c>
      <c r="M1197" s="7" t="s">
        <v>2540</v>
      </c>
      <c r="N1197" s="8">
        <f>VLOOKUP(B1197,'[1]новый без картинок'!$A$5:$F$2672,6,0)</f>
        <v>397</v>
      </c>
    </row>
    <row r="1198" spans="1:14" ht="151.15" customHeight="1" x14ac:dyDescent="0.2">
      <c r="A1198" s="3">
        <v>1196</v>
      </c>
      <c r="B1198" s="3">
        <v>199578</v>
      </c>
      <c r="C1198" s="4" t="str">
        <f>HYPERLINK("http://optservis.net:5080/photo?tov_code_internet=199578","Увеличить")</f>
        <v>Увеличить</v>
      </c>
      <c r="D1198" s="3" t="s">
        <v>2537</v>
      </c>
      <c r="E1198" s="3"/>
      <c r="F1198" s="3" t="s">
        <v>2541</v>
      </c>
      <c r="G1198" s="3" t="s">
        <v>430</v>
      </c>
      <c r="H1198" s="3">
        <v>0.5</v>
      </c>
      <c r="I1198" s="3">
        <v>0</v>
      </c>
      <c r="J1198" s="3" t="s">
        <v>18</v>
      </c>
      <c r="K1198" s="5">
        <v>0.1</v>
      </c>
      <c r="L1198" s="6">
        <v>0</v>
      </c>
      <c r="M1198" s="7" t="s">
        <v>2540</v>
      </c>
      <c r="N1198" s="8">
        <f>VLOOKUP(B1198,'[1]новый без картинок'!$A$5:$F$2672,6,0)</f>
        <v>376</v>
      </c>
    </row>
    <row r="1199" spans="1:14" ht="151.15" customHeight="1" x14ac:dyDescent="0.2">
      <c r="A1199" s="3">
        <v>1197</v>
      </c>
      <c r="B1199" s="3">
        <v>197971</v>
      </c>
      <c r="C1199" s="4" t="str">
        <f>HYPERLINK("http://optservis.net:5080/photo?tov_code_internet=197971","Увеличить")</f>
        <v>Увеличить</v>
      </c>
      <c r="D1199" s="3" t="s">
        <v>2537</v>
      </c>
      <c r="E1199" s="3" t="s">
        <v>2542</v>
      </c>
      <c r="F1199" s="3" t="s">
        <v>2543</v>
      </c>
      <c r="G1199" s="3" t="s">
        <v>430</v>
      </c>
      <c r="H1199" s="3">
        <v>0.5</v>
      </c>
      <c r="I1199" s="3">
        <v>0</v>
      </c>
      <c r="J1199" s="3" t="s">
        <v>18</v>
      </c>
      <c r="K1199" s="5">
        <v>0.1</v>
      </c>
      <c r="L1199" s="6">
        <v>4690654018801</v>
      </c>
      <c r="M1199" s="7" t="s">
        <v>2538</v>
      </c>
      <c r="N1199" s="8">
        <f>VLOOKUP(B1199,'[1]новый без картинок'!$A$5:$F$2672,6,0)</f>
        <v>399</v>
      </c>
    </row>
    <row r="1200" spans="1:14" ht="151.15" customHeight="1" x14ac:dyDescent="0.2">
      <c r="A1200" s="3">
        <v>1198</v>
      </c>
      <c r="B1200" s="3">
        <v>192467</v>
      </c>
      <c r="C1200" s="4" t="str">
        <f>HYPERLINK("http://optservis.net:5080/photo?tov_code_internet=192467","Увеличить")</f>
        <v>Увеличить</v>
      </c>
      <c r="D1200" s="3" t="s">
        <v>2537</v>
      </c>
      <c r="E1200" s="3" t="s">
        <v>2542</v>
      </c>
      <c r="F1200" s="3" t="s">
        <v>2096</v>
      </c>
      <c r="G1200" s="3" t="s">
        <v>430</v>
      </c>
      <c r="H1200" s="3">
        <v>0.5</v>
      </c>
      <c r="I1200" s="3">
        <v>0</v>
      </c>
      <c r="J1200" s="3" t="s">
        <v>18</v>
      </c>
      <c r="K1200" s="5">
        <v>0.1</v>
      </c>
      <c r="L1200" s="6">
        <v>4690654015220</v>
      </c>
      <c r="M1200" s="7" t="s">
        <v>2544</v>
      </c>
      <c r="N1200" s="8">
        <f>VLOOKUP(B1200,'[1]новый без картинок'!$A$5:$F$2672,6,0)</f>
        <v>378</v>
      </c>
    </row>
    <row r="1201" spans="1:14" ht="138.6" customHeight="1" x14ac:dyDescent="0.2">
      <c r="A1201" s="3">
        <v>1199</v>
      </c>
      <c r="B1201" s="3">
        <v>187576</v>
      </c>
      <c r="C1201" s="4" t="str">
        <f>HYPERLINK("http://optservis.net:5080/photo?tov_code_internet=187576","Увеличить")</f>
        <v>Увеличить</v>
      </c>
      <c r="D1201" s="3" t="s">
        <v>2545</v>
      </c>
      <c r="E1201" s="3" t="s">
        <v>2546</v>
      </c>
      <c r="F1201" s="3" t="s">
        <v>1475</v>
      </c>
      <c r="G1201" s="3" t="s">
        <v>1101</v>
      </c>
      <c r="H1201" s="3">
        <v>1</v>
      </c>
      <c r="I1201" s="3">
        <v>1</v>
      </c>
      <c r="J1201" s="3" t="s">
        <v>18</v>
      </c>
      <c r="K1201" s="5">
        <v>0.14000000000000001</v>
      </c>
      <c r="L1201" s="6">
        <v>4690654014230</v>
      </c>
      <c r="M1201" s="7" t="s">
        <v>2547</v>
      </c>
      <c r="N1201" s="8">
        <f>VLOOKUP(B1201,'[1]новый без картинок'!$A$5:$F$2672,6,0)</f>
        <v>135</v>
      </c>
    </row>
    <row r="1202" spans="1:14" ht="138.6" customHeight="1" x14ac:dyDescent="0.2">
      <c r="A1202" s="3">
        <v>1200</v>
      </c>
      <c r="B1202" s="3">
        <v>155654</v>
      </c>
      <c r="C1202" s="4" t="str">
        <f>HYPERLINK("http://optservis.net:5080/photo?tov_code_internet=155654","Увеличить")</f>
        <v>Увеличить</v>
      </c>
      <c r="D1202" s="3" t="s">
        <v>2548</v>
      </c>
      <c r="E1202" s="3"/>
      <c r="F1202" s="3" t="s">
        <v>1388</v>
      </c>
      <c r="G1202" s="3" t="s">
        <v>88</v>
      </c>
      <c r="H1202" s="3">
        <v>0.5</v>
      </c>
      <c r="I1202" s="3">
        <v>0</v>
      </c>
      <c r="J1202" s="3" t="s">
        <v>18</v>
      </c>
      <c r="K1202" s="5">
        <v>0.03</v>
      </c>
      <c r="L1202" s="6">
        <v>0</v>
      </c>
      <c r="M1202" s="7" t="s">
        <v>2549</v>
      </c>
      <c r="N1202" s="8">
        <f>VLOOKUP(B1202,'[1]новый без картинок'!$A$5:$F$2672,6,0)</f>
        <v>199</v>
      </c>
    </row>
    <row r="1203" spans="1:14" ht="138.6" customHeight="1" x14ac:dyDescent="0.2">
      <c r="A1203" s="3">
        <v>1201</v>
      </c>
      <c r="B1203" s="3">
        <v>962033</v>
      </c>
      <c r="C1203" s="4" t="str">
        <f>HYPERLINK("http://optservis.net:5080/photo?tov_code_internet=962033","Увеличить")</f>
        <v>Увеличить</v>
      </c>
      <c r="D1203" s="3" t="s">
        <v>2550</v>
      </c>
      <c r="E1203" s="3" t="s">
        <v>2551</v>
      </c>
      <c r="F1203" s="3" t="s">
        <v>1388</v>
      </c>
      <c r="G1203" s="3" t="s">
        <v>88</v>
      </c>
      <c r="H1203" s="3">
        <v>0.5</v>
      </c>
      <c r="I1203" s="3">
        <v>0</v>
      </c>
      <c r="J1203" s="3" t="s">
        <v>18</v>
      </c>
      <c r="K1203" s="5">
        <v>0.03</v>
      </c>
      <c r="L1203" s="6">
        <v>4640020779980</v>
      </c>
      <c r="M1203" s="7" t="s">
        <v>2552</v>
      </c>
      <c r="N1203" s="8">
        <f>VLOOKUP(B1203,'[1]новый без картинок'!$A$5:$F$2672,6,0)</f>
        <v>189</v>
      </c>
    </row>
    <row r="1204" spans="1:14" ht="138.6" customHeight="1" x14ac:dyDescent="0.2">
      <c r="A1204" s="3">
        <v>1202</v>
      </c>
      <c r="B1204" s="3">
        <v>962034</v>
      </c>
      <c r="C1204" s="4" t="str">
        <f>HYPERLINK("http://optservis.net:5080/photo?tov_code_internet=962034","Увеличить")</f>
        <v>Увеличить</v>
      </c>
      <c r="D1204" s="3" t="s">
        <v>2553</v>
      </c>
      <c r="E1204" s="3" t="s">
        <v>2554</v>
      </c>
      <c r="F1204" s="3" t="s">
        <v>1394</v>
      </c>
      <c r="G1204" s="3" t="s">
        <v>1395</v>
      </c>
      <c r="H1204" s="3">
        <v>0.5</v>
      </c>
      <c r="I1204" s="3">
        <v>0</v>
      </c>
      <c r="J1204" s="3" t="s">
        <v>18</v>
      </c>
      <c r="K1204" s="5">
        <v>0.01</v>
      </c>
      <c r="L1204" s="6">
        <v>4640020779997</v>
      </c>
      <c r="M1204" s="7" t="s">
        <v>2555</v>
      </c>
      <c r="N1204" s="8">
        <f>VLOOKUP(B1204,'[1]новый без картинок'!$A$5:$F$2672,6,0)</f>
        <v>313</v>
      </c>
    </row>
    <row r="1205" spans="1:14" ht="138.6" customHeight="1" x14ac:dyDescent="0.2">
      <c r="A1205" s="3">
        <v>1203</v>
      </c>
      <c r="B1205" s="3">
        <v>388151</v>
      </c>
      <c r="C1205" s="4" t="str">
        <f>HYPERLINK("http://optservis.net:5080/photo?tov_code_internet=388151","Увеличить")</f>
        <v>Увеличить</v>
      </c>
      <c r="D1205" s="3" t="s">
        <v>2553</v>
      </c>
      <c r="E1205" s="3" t="s">
        <v>2554</v>
      </c>
      <c r="F1205" s="3" t="s">
        <v>688</v>
      </c>
      <c r="G1205" s="3" t="s">
        <v>1391</v>
      </c>
      <c r="H1205" s="3">
        <v>0.5</v>
      </c>
      <c r="I1205" s="3">
        <v>0</v>
      </c>
      <c r="J1205" s="3" t="s">
        <v>18</v>
      </c>
      <c r="K1205" s="5">
        <v>0.01</v>
      </c>
      <c r="L1205" s="6">
        <v>4690654003586</v>
      </c>
      <c r="M1205" s="7" t="s">
        <v>2556</v>
      </c>
      <c r="N1205" s="8">
        <f>VLOOKUP(B1205,'[1]новый без картинок'!$A$5:$F$2672,6,0)</f>
        <v>277</v>
      </c>
    </row>
    <row r="1206" spans="1:14" ht="138.6" customHeight="1" x14ac:dyDescent="0.2">
      <c r="A1206" s="3">
        <v>1204</v>
      </c>
      <c r="B1206" s="3">
        <v>947848</v>
      </c>
      <c r="C1206" s="4" t="str">
        <f>HYPERLINK("http://optservis.net:5080/photo?tov_code_internet=947848","Увеличить")</f>
        <v>Увеличить</v>
      </c>
      <c r="D1206" s="3" t="s">
        <v>2557</v>
      </c>
      <c r="E1206" s="3"/>
      <c r="F1206" s="3" t="s">
        <v>1398</v>
      </c>
      <c r="G1206" s="3" t="s">
        <v>1399</v>
      </c>
      <c r="H1206" s="3">
        <v>0.5</v>
      </c>
      <c r="I1206" s="3">
        <v>0</v>
      </c>
      <c r="J1206" s="3" t="s">
        <v>18</v>
      </c>
      <c r="K1206" s="5">
        <v>0.01</v>
      </c>
      <c r="L1206" s="6">
        <v>0</v>
      </c>
      <c r="M1206" s="7" t="s">
        <v>2558</v>
      </c>
      <c r="N1206" s="8">
        <f>VLOOKUP(B1206,'[1]новый без картинок'!$A$5:$F$2672,6,0)</f>
        <v>402</v>
      </c>
    </row>
    <row r="1207" spans="1:14" ht="138.6" customHeight="1" x14ac:dyDescent="0.2">
      <c r="A1207" s="3">
        <v>1205</v>
      </c>
      <c r="B1207" s="3">
        <v>962036</v>
      </c>
      <c r="C1207" s="4" t="str">
        <f>HYPERLINK("http://optservis.net:5080/photo?tov_code_internet=962036","Увеличить")</f>
        <v>Увеличить</v>
      </c>
      <c r="D1207" s="3" t="s">
        <v>2559</v>
      </c>
      <c r="E1207" s="3"/>
      <c r="F1207" s="3" t="s">
        <v>2560</v>
      </c>
      <c r="G1207" s="3" t="s">
        <v>88</v>
      </c>
      <c r="H1207" s="3">
        <v>0.5</v>
      </c>
      <c r="I1207" s="3">
        <v>0</v>
      </c>
      <c r="J1207" s="3" t="s">
        <v>18</v>
      </c>
      <c r="K1207" s="5">
        <v>7.0000000000000007E-2</v>
      </c>
      <c r="L1207" s="6">
        <v>0</v>
      </c>
      <c r="M1207" s="7" t="s">
        <v>2561</v>
      </c>
      <c r="N1207" s="8">
        <f>VLOOKUP(B1207,'[1]новый без картинок'!$A$5:$F$2672,6,0)</f>
        <v>497</v>
      </c>
    </row>
    <row r="1208" spans="1:14" ht="151.15" customHeight="1" x14ac:dyDescent="0.2">
      <c r="A1208" s="3">
        <v>1206</v>
      </c>
      <c r="B1208" s="3">
        <v>173113</v>
      </c>
      <c r="C1208" s="4" t="str">
        <f>HYPERLINK("http://optservis.net:5080/photo?tov_code_internet=173113","Увеличить")</f>
        <v>Увеличить</v>
      </c>
      <c r="D1208" s="3" t="s">
        <v>2562</v>
      </c>
      <c r="E1208" s="3" t="s">
        <v>2563</v>
      </c>
      <c r="F1208" s="3" t="s">
        <v>1411</v>
      </c>
      <c r="G1208" s="3" t="s">
        <v>1127</v>
      </c>
      <c r="H1208" s="3">
        <v>0.5</v>
      </c>
      <c r="I1208" s="3">
        <v>0</v>
      </c>
      <c r="J1208" s="3" t="s">
        <v>18</v>
      </c>
      <c r="K1208" s="5">
        <v>0.03</v>
      </c>
      <c r="L1208" s="6">
        <v>4690654010393</v>
      </c>
      <c r="M1208" s="7" t="s">
        <v>2564</v>
      </c>
      <c r="N1208" s="8">
        <f>VLOOKUP(B1208,'[1]новый без картинок'!$A$5:$F$2672,6,0)</f>
        <v>255</v>
      </c>
    </row>
    <row r="1209" spans="1:14" ht="151.15" customHeight="1" x14ac:dyDescent="0.2">
      <c r="A1209" s="3">
        <v>1207</v>
      </c>
      <c r="B1209" s="3">
        <v>198120</v>
      </c>
      <c r="C1209" s="4" t="str">
        <f>HYPERLINK("http://optservis.net:5080/photo?tov_code_internet=198120","Увеличить")</f>
        <v>Увеличить</v>
      </c>
      <c r="D1209" s="3" t="s">
        <v>2565</v>
      </c>
      <c r="E1209" s="3"/>
      <c r="F1209" s="3" t="s">
        <v>2566</v>
      </c>
      <c r="G1209" s="3" t="s">
        <v>430</v>
      </c>
      <c r="H1209" s="3">
        <v>0.5</v>
      </c>
      <c r="I1209" s="3">
        <v>0</v>
      </c>
      <c r="J1209" s="3" t="s">
        <v>18</v>
      </c>
      <c r="K1209" s="5">
        <v>0.09</v>
      </c>
      <c r="L1209" s="6">
        <v>0</v>
      </c>
      <c r="M1209" s="7" t="s">
        <v>2567</v>
      </c>
      <c r="N1209" s="8">
        <f>VLOOKUP(B1209,'[1]новый без картинок'!$A$5:$F$2672,6,0)</f>
        <v>490</v>
      </c>
    </row>
    <row r="1210" spans="1:14" ht="149.44999999999999" customHeight="1" x14ac:dyDescent="0.2">
      <c r="A1210" s="3">
        <v>1208</v>
      </c>
      <c r="B1210" s="3">
        <v>987345</v>
      </c>
      <c r="C1210" s="4" t="str">
        <f>HYPERLINK("http://optservis.net:5080/photo?tov_code_internet=987345","Увеличить")</f>
        <v>Увеличить</v>
      </c>
      <c r="D1210" s="3" t="s">
        <v>2568</v>
      </c>
      <c r="E1210" s="3" t="s">
        <v>2569</v>
      </c>
      <c r="F1210" s="3" t="s">
        <v>1108</v>
      </c>
      <c r="G1210" s="3" t="s">
        <v>1106</v>
      </c>
      <c r="H1210" s="3">
        <v>8</v>
      </c>
      <c r="I1210" s="3">
        <v>1</v>
      </c>
      <c r="J1210" s="3" t="s">
        <v>18</v>
      </c>
      <c r="K1210" s="5">
        <v>2.11</v>
      </c>
      <c r="L1210" s="6">
        <v>4640020778891</v>
      </c>
      <c r="M1210" s="7" t="s">
        <v>2570</v>
      </c>
      <c r="N1210" s="8">
        <f>VLOOKUP(B1210,'[1]новый без картинок'!$A$5:$F$2672,6,0)</f>
        <v>525</v>
      </c>
    </row>
    <row r="1211" spans="1:14" ht="151.15" customHeight="1" x14ac:dyDescent="0.2">
      <c r="A1211" s="3">
        <v>1209</v>
      </c>
      <c r="B1211" s="3">
        <v>189954</v>
      </c>
      <c r="C1211" s="4" t="str">
        <f>HYPERLINK("http://optservis.net:5080/photo?tov_code_internet=189954","Увеличить")</f>
        <v>Увеличить</v>
      </c>
      <c r="D1211" s="3" t="s">
        <v>2571</v>
      </c>
      <c r="E1211" s="3"/>
      <c r="F1211" s="3" t="s">
        <v>2572</v>
      </c>
      <c r="G1211" s="3" t="s">
        <v>430</v>
      </c>
      <c r="H1211" s="3">
        <v>1</v>
      </c>
      <c r="I1211" s="3">
        <v>1</v>
      </c>
      <c r="J1211" s="3" t="s">
        <v>18</v>
      </c>
      <c r="K1211" s="5">
        <v>0</v>
      </c>
      <c r="L1211" s="6">
        <v>0</v>
      </c>
      <c r="M1211" s="7" t="s">
        <v>2573</v>
      </c>
      <c r="N1211" s="8" t="e">
        <f>VLOOKUP(B1211,'[1]новый без картинок'!$A$5:$F$2672,6,0)</f>
        <v>#N/A</v>
      </c>
    </row>
    <row r="1212" spans="1:14" ht="149.44999999999999" customHeight="1" x14ac:dyDescent="0.2">
      <c r="A1212" s="3">
        <v>1210</v>
      </c>
      <c r="B1212" s="3">
        <v>936234</v>
      </c>
      <c r="C1212" s="4" t="str">
        <f>HYPERLINK("http://optservis.net:5080/photo?tov_code_internet=936234","Увеличить")</f>
        <v>Увеличить</v>
      </c>
      <c r="D1212" s="3" t="s">
        <v>2574</v>
      </c>
      <c r="E1212" s="3" t="s">
        <v>2575</v>
      </c>
      <c r="F1212" s="3" t="s">
        <v>1248</v>
      </c>
      <c r="G1212" s="3" t="s">
        <v>373</v>
      </c>
      <c r="H1212" s="3">
        <v>0.5</v>
      </c>
      <c r="I1212" s="3">
        <v>0</v>
      </c>
      <c r="J1212" s="3" t="s">
        <v>18</v>
      </c>
      <c r="K1212" s="5">
        <v>0.01</v>
      </c>
      <c r="L1212" s="6">
        <v>4690654007737</v>
      </c>
      <c r="M1212" s="7" t="s">
        <v>2576</v>
      </c>
      <c r="N1212" s="8">
        <f>VLOOKUP(B1212,'[1]новый без картинок'!$A$5:$F$2672,6,0)</f>
        <v>90</v>
      </c>
    </row>
    <row r="1213" spans="1:14" ht="151.15" customHeight="1" x14ac:dyDescent="0.2">
      <c r="A1213" s="3">
        <v>1211</v>
      </c>
      <c r="B1213" s="3">
        <v>865336</v>
      </c>
      <c r="C1213" s="4" t="str">
        <f>HYPERLINK("http://optservis.net:5080/photo?tov_code_internet=865336","Увеличить")</f>
        <v>Увеличить</v>
      </c>
      <c r="D1213" s="3" t="s">
        <v>2574</v>
      </c>
      <c r="E1213" s="3" t="s">
        <v>2575</v>
      </c>
      <c r="F1213" s="3" t="s">
        <v>424</v>
      </c>
      <c r="G1213" s="3" t="s">
        <v>373</v>
      </c>
      <c r="H1213" s="3">
        <v>2</v>
      </c>
      <c r="I1213" s="3">
        <v>2</v>
      </c>
      <c r="J1213" s="3" t="s">
        <v>18</v>
      </c>
      <c r="K1213" s="5">
        <v>0.04</v>
      </c>
      <c r="L1213" s="6">
        <v>4690654998080</v>
      </c>
      <c r="M1213" s="7" t="s">
        <v>2577</v>
      </c>
      <c r="N1213" s="8">
        <f>VLOOKUP(B1213,'[1]новый без картинок'!$A$5:$F$2672,6,0)</f>
        <v>87</v>
      </c>
    </row>
    <row r="1214" spans="1:14" ht="149.44999999999999" customHeight="1" x14ac:dyDescent="0.2">
      <c r="A1214" s="3">
        <v>1212</v>
      </c>
      <c r="B1214" s="3">
        <v>936235</v>
      </c>
      <c r="C1214" s="4" t="str">
        <f>HYPERLINK("http://optservis.net:5080/photo?tov_code_internet=936235","Увеличить")</f>
        <v>Увеличить</v>
      </c>
      <c r="D1214" s="3" t="s">
        <v>2574</v>
      </c>
      <c r="E1214" s="3" t="s">
        <v>2575</v>
      </c>
      <c r="F1214" s="3" t="s">
        <v>2578</v>
      </c>
      <c r="G1214" s="3" t="s">
        <v>373</v>
      </c>
      <c r="H1214" s="3">
        <v>0.5</v>
      </c>
      <c r="I1214" s="3">
        <v>0</v>
      </c>
      <c r="J1214" s="3" t="s">
        <v>18</v>
      </c>
      <c r="K1214" s="5">
        <v>0.01</v>
      </c>
      <c r="L1214" s="6">
        <v>4690654021177</v>
      </c>
      <c r="M1214" s="7" t="s">
        <v>2577</v>
      </c>
      <c r="N1214" s="8">
        <f>VLOOKUP(B1214,'[1]новый без картинок'!$A$5:$F$2672,6,0)</f>
        <v>90</v>
      </c>
    </row>
    <row r="1215" spans="1:14" ht="149.44999999999999" customHeight="1" x14ac:dyDescent="0.2">
      <c r="A1215" s="3">
        <v>1213</v>
      </c>
      <c r="B1215" s="3">
        <v>936236</v>
      </c>
      <c r="C1215" s="4" t="str">
        <f>HYPERLINK("http://optservis.net:5080/photo?tov_code_internet=936236","Увеличить")</f>
        <v>Увеличить</v>
      </c>
      <c r="D1215" s="3" t="s">
        <v>2574</v>
      </c>
      <c r="E1215" s="3" t="s">
        <v>2575</v>
      </c>
      <c r="F1215" s="3" t="s">
        <v>729</v>
      </c>
      <c r="G1215" s="3" t="s">
        <v>373</v>
      </c>
      <c r="H1215" s="3">
        <v>0.5</v>
      </c>
      <c r="I1215" s="3">
        <v>0</v>
      </c>
      <c r="J1215" s="3" t="s">
        <v>18</v>
      </c>
      <c r="K1215" s="5">
        <v>0.01</v>
      </c>
      <c r="L1215" s="6">
        <v>4690654014285</v>
      </c>
      <c r="M1215" s="7" t="s">
        <v>2579</v>
      </c>
      <c r="N1215" s="8">
        <f>VLOOKUP(B1215,'[1]новый без картинок'!$A$5:$F$2672,6,0)</f>
        <v>98</v>
      </c>
    </row>
    <row r="1216" spans="1:14" ht="151.15" customHeight="1" x14ac:dyDescent="0.2">
      <c r="A1216" s="3">
        <v>1214</v>
      </c>
      <c r="B1216" s="3">
        <v>865332</v>
      </c>
      <c r="C1216" s="4" t="str">
        <f>HYPERLINK("http://optservis.net:5080/photo?tov_code_internet=865332","Увеличить")</f>
        <v>Увеличить</v>
      </c>
      <c r="D1216" s="3" t="s">
        <v>2574</v>
      </c>
      <c r="E1216" s="3" t="s">
        <v>2575</v>
      </c>
      <c r="F1216" s="3" t="s">
        <v>752</v>
      </c>
      <c r="G1216" s="3" t="s">
        <v>373</v>
      </c>
      <c r="H1216" s="3">
        <v>2</v>
      </c>
      <c r="I1216" s="3">
        <v>2</v>
      </c>
      <c r="J1216" s="3" t="s">
        <v>18</v>
      </c>
      <c r="K1216" s="5">
        <v>0.04</v>
      </c>
      <c r="L1216" s="6">
        <v>4690654998097</v>
      </c>
      <c r="M1216" s="7" t="s">
        <v>2580</v>
      </c>
      <c r="N1216" s="8">
        <f>VLOOKUP(B1216,'[1]новый без картинок'!$A$5:$F$2672,6,0)</f>
        <v>87</v>
      </c>
    </row>
    <row r="1217" spans="1:14" ht="149.44999999999999" customHeight="1" x14ac:dyDescent="0.2">
      <c r="A1217" s="3">
        <v>1215</v>
      </c>
      <c r="B1217" s="3">
        <v>924718</v>
      </c>
      <c r="C1217" s="4" t="str">
        <f>HYPERLINK("http://optservis.net:5080/photo?tov_code_internet=924718","Увеличить")</f>
        <v>Увеличить</v>
      </c>
      <c r="D1217" s="3" t="s">
        <v>2574</v>
      </c>
      <c r="E1217" s="3" t="s">
        <v>2575</v>
      </c>
      <c r="F1217" s="3" t="s">
        <v>2581</v>
      </c>
      <c r="G1217" s="3" t="s">
        <v>373</v>
      </c>
      <c r="H1217" s="3">
        <v>0.5</v>
      </c>
      <c r="I1217" s="3">
        <v>0</v>
      </c>
      <c r="J1217" s="3" t="s">
        <v>18</v>
      </c>
      <c r="K1217" s="5">
        <v>0.01</v>
      </c>
      <c r="L1217" s="6">
        <v>4690654002152</v>
      </c>
      <c r="M1217" s="7" t="s">
        <v>2580</v>
      </c>
      <c r="N1217" s="8">
        <f>VLOOKUP(B1217,'[1]новый без картинок'!$A$5:$F$2672,6,0)</f>
        <v>90</v>
      </c>
    </row>
    <row r="1218" spans="1:14" ht="151.15" customHeight="1" x14ac:dyDescent="0.2">
      <c r="A1218" s="3">
        <v>1216</v>
      </c>
      <c r="B1218" s="3">
        <v>154072</v>
      </c>
      <c r="C1218" s="4" t="str">
        <f>HYPERLINK("http://optservis.net:5080/photo?tov_code_internet=154072","Увеличить")</f>
        <v>Увеличить</v>
      </c>
      <c r="D1218" s="3" t="s">
        <v>2582</v>
      </c>
      <c r="E1218" s="3" t="s">
        <v>2583</v>
      </c>
      <c r="F1218" s="3" t="s">
        <v>2584</v>
      </c>
      <c r="G1218" s="3" t="s">
        <v>1354</v>
      </c>
      <c r="H1218" s="3">
        <v>0.5</v>
      </c>
      <c r="I1218" s="3">
        <v>0</v>
      </c>
      <c r="J1218" s="3" t="s">
        <v>18</v>
      </c>
      <c r="K1218" s="5">
        <v>0.03</v>
      </c>
      <c r="L1218" s="6">
        <v>4690654006952</v>
      </c>
      <c r="M1218" s="7" t="s">
        <v>2585</v>
      </c>
      <c r="N1218" s="8">
        <f>VLOOKUP(B1218,'[1]новый без картинок'!$A$5:$F$2672,6,0)</f>
        <v>638</v>
      </c>
    </row>
    <row r="1219" spans="1:14" ht="151.15" customHeight="1" x14ac:dyDescent="0.2">
      <c r="A1219" s="3">
        <v>1217</v>
      </c>
      <c r="B1219" s="3">
        <v>153992</v>
      </c>
      <c r="C1219" s="4" t="str">
        <f>HYPERLINK("http://optservis.net:5080/photo?tov_code_internet=153992","Увеличить")</f>
        <v>Увеличить</v>
      </c>
      <c r="D1219" s="3" t="s">
        <v>2582</v>
      </c>
      <c r="E1219" s="3" t="s">
        <v>2583</v>
      </c>
      <c r="F1219" s="3" t="s">
        <v>2586</v>
      </c>
      <c r="G1219" s="3" t="s">
        <v>1369</v>
      </c>
      <c r="H1219" s="3">
        <v>0.5</v>
      </c>
      <c r="I1219" s="3">
        <v>0</v>
      </c>
      <c r="J1219" s="3" t="s">
        <v>18</v>
      </c>
      <c r="K1219" s="5">
        <v>0.03</v>
      </c>
      <c r="L1219" s="6">
        <v>4690654006969</v>
      </c>
      <c r="M1219" s="7" t="s">
        <v>2585</v>
      </c>
      <c r="N1219" s="8">
        <f>VLOOKUP(B1219,'[1]новый без картинок'!$A$5:$F$2672,6,0)</f>
        <v>540</v>
      </c>
    </row>
    <row r="1220" spans="1:14" ht="151.15" customHeight="1" x14ac:dyDescent="0.2">
      <c r="A1220" s="3">
        <v>1218</v>
      </c>
      <c r="B1220" s="3">
        <v>154077</v>
      </c>
      <c r="C1220" s="4" t="str">
        <f>HYPERLINK("http://optservis.net:5080/photo?tov_code_internet=154077","Увеличить")</f>
        <v>Увеличить</v>
      </c>
      <c r="D1220" s="3" t="s">
        <v>2587</v>
      </c>
      <c r="E1220" s="3"/>
      <c r="F1220" s="3" t="s">
        <v>2588</v>
      </c>
      <c r="G1220" s="3" t="s">
        <v>1354</v>
      </c>
      <c r="H1220" s="3">
        <v>0.5</v>
      </c>
      <c r="I1220" s="3">
        <v>0</v>
      </c>
      <c r="J1220" s="3" t="s">
        <v>18</v>
      </c>
      <c r="K1220" s="5">
        <v>0.04</v>
      </c>
      <c r="L1220" s="6">
        <v>0</v>
      </c>
      <c r="M1220" s="7" t="s">
        <v>2589</v>
      </c>
      <c r="N1220" s="8">
        <f>VLOOKUP(B1220,'[1]новый без картинок'!$A$5:$F$2672,6,0)</f>
        <v>668</v>
      </c>
    </row>
    <row r="1221" spans="1:14" ht="138.6" customHeight="1" x14ac:dyDescent="0.2">
      <c r="A1221" s="3">
        <v>1219</v>
      </c>
      <c r="B1221" s="3">
        <v>962065</v>
      </c>
      <c r="C1221" s="4" t="str">
        <f>HYPERLINK("http://optservis.net:5080/photo?tov_code_internet=962065","Увеличить")</f>
        <v>Увеличить</v>
      </c>
      <c r="D1221" s="3" t="s">
        <v>2590</v>
      </c>
      <c r="E1221" s="3"/>
      <c r="F1221" s="3" t="s">
        <v>1402</v>
      </c>
      <c r="G1221" s="3" t="s">
        <v>88</v>
      </c>
      <c r="H1221" s="3">
        <v>0.5</v>
      </c>
      <c r="I1221" s="3">
        <v>0</v>
      </c>
      <c r="J1221" s="3" t="s">
        <v>18</v>
      </c>
      <c r="K1221" s="5">
        <v>0.19</v>
      </c>
      <c r="L1221" s="6">
        <v>0</v>
      </c>
      <c r="M1221" s="7" t="s">
        <v>2591</v>
      </c>
      <c r="N1221" s="8">
        <f>VLOOKUP(B1221,'[1]новый без картинок'!$A$5:$F$2672,6,0)</f>
        <v>334</v>
      </c>
    </row>
    <row r="1222" spans="1:14" ht="138.6" customHeight="1" x14ac:dyDescent="0.2">
      <c r="A1222" s="3">
        <v>1220</v>
      </c>
      <c r="B1222" s="3">
        <v>409755</v>
      </c>
      <c r="C1222" s="4" t="str">
        <f>HYPERLINK("http://optservis.net:5080/photo?tov_code_internet=409755","Увеличить")</f>
        <v>Увеличить</v>
      </c>
      <c r="D1222" s="3" t="s">
        <v>2590</v>
      </c>
      <c r="E1222" s="3"/>
      <c r="F1222" s="3" t="s">
        <v>1199</v>
      </c>
      <c r="G1222" s="3" t="s">
        <v>88</v>
      </c>
      <c r="H1222" s="3">
        <v>0.5</v>
      </c>
      <c r="I1222" s="3">
        <v>0</v>
      </c>
      <c r="J1222" s="3" t="s">
        <v>18</v>
      </c>
      <c r="K1222" s="5">
        <v>0.19</v>
      </c>
      <c r="L1222" s="6">
        <v>0</v>
      </c>
      <c r="M1222" s="7" t="s">
        <v>2592</v>
      </c>
      <c r="N1222" s="8">
        <f>VLOOKUP(B1222,'[1]новый без картинок'!$A$5:$F$2672,6,0)</f>
        <v>273</v>
      </c>
    </row>
    <row r="1223" spans="1:14" ht="138.6" customHeight="1" x14ac:dyDescent="0.2">
      <c r="A1223" s="3">
        <v>1221</v>
      </c>
      <c r="B1223" s="3">
        <v>408487</v>
      </c>
      <c r="C1223" s="4" t="str">
        <f>HYPERLINK("http://optservis.net:5080/photo?tov_code_internet=408487","Увеличить")</f>
        <v>Увеличить</v>
      </c>
      <c r="D1223" s="3" t="s">
        <v>2590</v>
      </c>
      <c r="E1223" s="3" t="s">
        <v>2593</v>
      </c>
      <c r="F1223" s="3" t="s">
        <v>1297</v>
      </c>
      <c r="G1223" s="3" t="s">
        <v>88</v>
      </c>
      <c r="H1223" s="3">
        <v>0.5</v>
      </c>
      <c r="I1223" s="3">
        <v>0</v>
      </c>
      <c r="J1223" s="3" t="s">
        <v>18</v>
      </c>
      <c r="K1223" s="5">
        <v>0.19</v>
      </c>
      <c r="L1223" s="6">
        <v>4690654010676</v>
      </c>
      <c r="M1223" s="7" t="s">
        <v>2592</v>
      </c>
      <c r="N1223" s="8">
        <f>VLOOKUP(B1223,'[1]новый без картинок'!$A$5:$F$2672,6,0)</f>
        <v>282</v>
      </c>
    </row>
    <row r="1224" spans="1:14" ht="138.6" customHeight="1" x14ac:dyDescent="0.2">
      <c r="A1224" s="3">
        <v>1222</v>
      </c>
      <c r="B1224" s="3">
        <v>408969</v>
      </c>
      <c r="C1224" s="4" t="str">
        <f>HYPERLINK("http://optservis.net:5080/photo?tov_code_internet=408969","Увеличить")</f>
        <v>Увеличить</v>
      </c>
      <c r="D1224" s="3" t="s">
        <v>2594</v>
      </c>
      <c r="E1224" s="3"/>
      <c r="F1224" s="3" t="s">
        <v>2595</v>
      </c>
      <c r="G1224" s="3" t="s">
        <v>2596</v>
      </c>
      <c r="H1224" s="3">
        <v>0.5</v>
      </c>
      <c r="I1224" s="3">
        <v>0</v>
      </c>
      <c r="J1224" s="3" t="s">
        <v>18</v>
      </c>
      <c r="K1224" s="5">
        <v>0.02</v>
      </c>
      <c r="L1224" s="6">
        <v>0</v>
      </c>
      <c r="M1224" s="7" t="s">
        <v>2597</v>
      </c>
      <c r="N1224" s="8">
        <f>VLOOKUP(B1224,'[1]новый без картинок'!$A$5:$F$2672,6,0)</f>
        <v>412</v>
      </c>
    </row>
    <row r="1225" spans="1:14" ht="138.6" customHeight="1" x14ac:dyDescent="0.2">
      <c r="A1225" s="3">
        <v>1223</v>
      </c>
      <c r="B1225" s="3">
        <v>962066</v>
      </c>
      <c r="C1225" s="4" t="str">
        <f>HYPERLINK("http://optservis.net:5080/photo?tov_code_internet=962066","Увеличить")</f>
        <v>Увеличить</v>
      </c>
      <c r="D1225" s="3" t="s">
        <v>2594</v>
      </c>
      <c r="E1225" s="3" t="s">
        <v>2598</v>
      </c>
      <c r="F1225" s="3" t="s">
        <v>1394</v>
      </c>
      <c r="G1225" s="3" t="s">
        <v>1395</v>
      </c>
      <c r="H1225" s="3">
        <v>0.5</v>
      </c>
      <c r="I1225" s="3">
        <v>0</v>
      </c>
      <c r="J1225" s="3" t="s">
        <v>18</v>
      </c>
      <c r="K1225" s="5">
        <v>0.02</v>
      </c>
      <c r="L1225" s="6">
        <v>4690654000011</v>
      </c>
      <c r="M1225" s="7" t="s">
        <v>2599</v>
      </c>
      <c r="N1225" s="8">
        <f>VLOOKUP(B1225,'[1]новый без картинок'!$A$5:$F$2672,6,0)</f>
        <v>485</v>
      </c>
    </row>
    <row r="1226" spans="1:14" ht="138.6" customHeight="1" x14ac:dyDescent="0.2">
      <c r="A1226" s="3">
        <v>1224</v>
      </c>
      <c r="B1226" s="3">
        <v>144583</v>
      </c>
      <c r="C1226" s="4" t="str">
        <f>HYPERLINK("http://optservis.net:5080/photo?tov_code_internet=144583","Увеличить")</f>
        <v>Увеличить</v>
      </c>
      <c r="D1226" s="3" t="s">
        <v>2600</v>
      </c>
      <c r="E1226" s="3"/>
      <c r="F1226" s="3" t="s">
        <v>1398</v>
      </c>
      <c r="G1226" s="3" t="s">
        <v>31</v>
      </c>
      <c r="H1226" s="3">
        <v>0.5</v>
      </c>
      <c r="I1226" s="3">
        <v>0</v>
      </c>
      <c r="J1226" s="3" t="s">
        <v>18</v>
      </c>
      <c r="K1226" s="5">
        <v>0.01</v>
      </c>
      <c r="L1226" s="6">
        <v>0</v>
      </c>
      <c r="M1226" s="7" t="s">
        <v>2601</v>
      </c>
      <c r="N1226" s="8">
        <f>VLOOKUP(B1226,'[1]новый без картинок'!$A$5:$F$2672,6,0)</f>
        <v>495</v>
      </c>
    </row>
    <row r="1227" spans="1:14" ht="138.6" customHeight="1" x14ac:dyDescent="0.2">
      <c r="A1227" s="3">
        <v>1225</v>
      </c>
      <c r="B1227" s="3">
        <v>145074</v>
      </c>
      <c r="C1227" s="4" t="str">
        <f>HYPERLINK("http://optservis.net:5080/photo?tov_code_internet=145074","Увеличить")</f>
        <v>Увеличить</v>
      </c>
      <c r="D1227" s="3" t="s">
        <v>2602</v>
      </c>
      <c r="E1227" s="3"/>
      <c r="F1227" s="3" t="s">
        <v>2603</v>
      </c>
      <c r="G1227" s="3" t="s">
        <v>2604</v>
      </c>
      <c r="H1227" s="3">
        <v>0.5</v>
      </c>
      <c r="I1227" s="3">
        <v>0</v>
      </c>
      <c r="J1227" s="3" t="s">
        <v>18</v>
      </c>
      <c r="K1227" s="5">
        <v>0.02</v>
      </c>
      <c r="L1227" s="6">
        <v>0</v>
      </c>
      <c r="M1227" s="7" t="s">
        <v>2605</v>
      </c>
      <c r="N1227" s="8">
        <f>VLOOKUP(B1227,'[1]новый без картинок'!$A$5:$F$2672,6,0)</f>
        <v>683</v>
      </c>
    </row>
    <row r="1228" spans="1:14" ht="138.6" customHeight="1" x14ac:dyDescent="0.2">
      <c r="A1228" s="3">
        <v>1226</v>
      </c>
      <c r="B1228" s="3">
        <v>145075</v>
      </c>
      <c r="C1228" s="4" t="str">
        <f>HYPERLINK("http://optservis.net:5080/photo?tov_code_internet=145075","Увеличить")</f>
        <v>Увеличить</v>
      </c>
      <c r="D1228" s="3" t="s">
        <v>2606</v>
      </c>
      <c r="E1228" s="3"/>
      <c r="F1228" s="3" t="s">
        <v>2607</v>
      </c>
      <c r="G1228" s="3" t="s">
        <v>2608</v>
      </c>
      <c r="H1228" s="3">
        <v>0.5</v>
      </c>
      <c r="I1228" s="3">
        <v>0</v>
      </c>
      <c r="J1228" s="3" t="s">
        <v>18</v>
      </c>
      <c r="K1228" s="5">
        <v>0.02</v>
      </c>
      <c r="L1228" s="6">
        <v>0</v>
      </c>
      <c r="M1228" s="7" t="s">
        <v>2609</v>
      </c>
      <c r="N1228" s="8">
        <f>VLOOKUP(B1228,'[1]новый без картинок'!$A$5:$F$2672,6,0)</f>
        <v>692</v>
      </c>
    </row>
    <row r="1229" spans="1:14" ht="138.6" customHeight="1" x14ac:dyDescent="0.2">
      <c r="A1229" s="3">
        <v>1227</v>
      </c>
      <c r="B1229" s="3">
        <v>312250</v>
      </c>
      <c r="C1229" s="4" t="str">
        <f>HYPERLINK("http://optservis.net:5080/photo?tov_code_internet=312250","Увеличить")</f>
        <v>Увеличить</v>
      </c>
      <c r="D1229" s="3" t="s">
        <v>2610</v>
      </c>
      <c r="E1229" s="3" t="s">
        <v>2611</v>
      </c>
      <c r="F1229" s="3" t="s">
        <v>837</v>
      </c>
      <c r="G1229" s="3" t="s">
        <v>373</v>
      </c>
      <c r="H1229" s="3">
        <v>1</v>
      </c>
      <c r="I1229" s="3">
        <v>1</v>
      </c>
      <c r="J1229" s="3" t="s">
        <v>18</v>
      </c>
      <c r="K1229" s="5">
        <v>0.18</v>
      </c>
      <c r="L1229" s="6">
        <v>4640020779300</v>
      </c>
      <c r="M1229" s="7" t="s">
        <v>2612</v>
      </c>
      <c r="N1229" s="8">
        <f>VLOOKUP(B1229,'[1]новый без картинок'!$A$5:$F$2672,6,0)</f>
        <v>157</v>
      </c>
    </row>
    <row r="1230" spans="1:14" ht="149.44999999999999" customHeight="1" x14ac:dyDescent="0.2">
      <c r="A1230" s="3">
        <v>1228</v>
      </c>
      <c r="B1230" s="3">
        <v>990990</v>
      </c>
      <c r="C1230" s="4" t="str">
        <f>HYPERLINK("http://optservis.net:5080/photo?tov_code_internet=990990","Увеличить")</f>
        <v>Увеличить</v>
      </c>
      <c r="D1230" s="3" t="s">
        <v>2610</v>
      </c>
      <c r="E1230" s="3" t="s">
        <v>2611</v>
      </c>
      <c r="F1230" s="3" t="s">
        <v>2613</v>
      </c>
      <c r="G1230" s="3" t="s">
        <v>1429</v>
      </c>
      <c r="H1230" s="3">
        <v>0.5</v>
      </c>
      <c r="I1230" s="3">
        <v>0</v>
      </c>
      <c r="J1230" s="3" t="s">
        <v>18</v>
      </c>
      <c r="K1230" s="5">
        <v>0.1</v>
      </c>
      <c r="L1230" s="6">
        <v>4690654001926</v>
      </c>
      <c r="M1230" s="7" t="s">
        <v>2612</v>
      </c>
      <c r="N1230" s="8">
        <f>VLOOKUP(B1230,'[1]новый без картинок'!$A$5:$F$2672,6,0)</f>
        <v>148</v>
      </c>
    </row>
    <row r="1231" spans="1:14" ht="149.44999999999999" customHeight="1" x14ac:dyDescent="0.2">
      <c r="A1231" s="3">
        <v>1229</v>
      </c>
      <c r="B1231" s="3">
        <v>991235</v>
      </c>
      <c r="C1231" s="4" t="str">
        <f>HYPERLINK("http://optservis.net:5080/photo?tov_code_internet=991235","Увеличить")</f>
        <v>Увеличить</v>
      </c>
      <c r="D1231" s="3" t="s">
        <v>2610</v>
      </c>
      <c r="E1231" s="3" t="s">
        <v>2611</v>
      </c>
      <c r="F1231" s="3" t="s">
        <v>2614</v>
      </c>
      <c r="G1231" s="3" t="s">
        <v>373</v>
      </c>
      <c r="H1231" s="3">
        <v>0.5</v>
      </c>
      <c r="I1231" s="3">
        <v>0</v>
      </c>
      <c r="J1231" s="3" t="s">
        <v>18</v>
      </c>
      <c r="K1231" s="5">
        <v>0.1</v>
      </c>
      <c r="L1231" s="6">
        <v>4690654006341</v>
      </c>
      <c r="M1231" s="7" t="s">
        <v>2612</v>
      </c>
      <c r="N1231" s="8">
        <f>VLOOKUP(B1231,'[1]новый без картинок'!$A$5:$F$2672,6,0)</f>
        <v>148</v>
      </c>
    </row>
    <row r="1232" spans="1:14" ht="138.6" customHeight="1" x14ac:dyDescent="0.2">
      <c r="A1232" s="3">
        <v>1230</v>
      </c>
      <c r="B1232" s="3">
        <v>991243</v>
      </c>
      <c r="C1232" s="4" t="str">
        <f>HYPERLINK("http://optservis.net:5080/photo?tov_code_internet=991243","Увеличить")</f>
        <v>Увеличить</v>
      </c>
      <c r="D1232" s="3" t="s">
        <v>2610</v>
      </c>
      <c r="E1232" s="3" t="s">
        <v>2611</v>
      </c>
      <c r="F1232" s="3" t="s">
        <v>2615</v>
      </c>
      <c r="G1232" s="3" t="s">
        <v>373</v>
      </c>
      <c r="H1232" s="3">
        <v>0.5</v>
      </c>
      <c r="I1232" s="3">
        <v>0</v>
      </c>
      <c r="J1232" s="3" t="s">
        <v>18</v>
      </c>
      <c r="K1232" s="5">
        <v>0.1</v>
      </c>
      <c r="L1232" s="6">
        <v>4690654001933</v>
      </c>
      <c r="M1232" s="7" t="s">
        <v>2612</v>
      </c>
      <c r="N1232" s="8">
        <f>VLOOKUP(B1232,'[1]новый без картинок'!$A$5:$F$2672,6,0)</f>
        <v>148</v>
      </c>
    </row>
    <row r="1233" spans="1:14" ht="138.6" customHeight="1" x14ac:dyDescent="0.2">
      <c r="A1233" s="3">
        <v>1231</v>
      </c>
      <c r="B1233" s="3">
        <v>991244</v>
      </c>
      <c r="C1233" s="4" t="str">
        <f>HYPERLINK("http://optservis.net:5080/photo?tov_code_internet=991244","Увеличить")</f>
        <v>Увеличить</v>
      </c>
      <c r="D1233" s="3" t="s">
        <v>2610</v>
      </c>
      <c r="E1233" s="3" t="s">
        <v>2611</v>
      </c>
      <c r="F1233" s="3" t="s">
        <v>2616</v>
      </c>
      <c r="G1233" s="3" t="s">
        <v>373</v>
      </c>
      <c r="H1233" s="3">
        <v>0.5</v>
      </c>
      <c r="I1233" s="3">
        <v>0</v>
      </c>
      <c r="J1233" s="3" t="s">
        <v>18</v>
      </c>
      <c r="K1233" s="5">
        <v>0.1</v>
      </c>
      <c r="L1233" s="6">
        <v>4690654010201</v>
      </c>
      <c r="M1233" s="7" t="s">
        <v>2617</v>
      </c>
      <c r="N1233" s="8">
        <f>VLOOKUP(B1233,'[1]новый без картинок'!$A$5:$F$2672,6,0)</f>
        <v>148</v>
      </c>
    </row>
    <row r="1234" spans="1:14" ht="149.44999999999999" customHeight="1" x14ac:dyDescent="0.2">
      <c r="A1234" s="3">
        <v>1232</v>
      </c>
      <c r="B1234" s="3">
        <v>990983</v>
      </c>
      <c r="C1234" s="4" t="str">
        <f>HYPERLINK("http://optservis.net:5080/photo?tov_code_internet=990983","Увеличить")</f>
        <v>Увеличить</v>
      </c>
      <c r="D1234" s="3" t="s">
        <v>2618</v>
      </c>
      <c r="E1234" s="3"/>
      <c r="F1234" s="3" t="s">
        <v>2619</v>
      </c>
      <c r="G1234" s="3" t="s">
        <v>1429</v>
      </c>
      <c r="H1234" s="3">
        <v>0.5</v>
      </c>
      <c r="I1234" s="3">
        <v>0</v>
      </c>
      <c r="J1234" s="3" t="s">
        <v>18</v>
      </c>
      <c r="K1234" s="5">
        <v>0.02</v>
      </c>
      <c r="L1234" s="6">
        <v>0</v>
      </c>
      <c r="M1234" s="7" t="s">
        <v>2620</v>
      </c>
      <c r="N1234" s="8">
        <f>VLOOKUP(B1234,'[1]новый без картинок'!$A$5:$F$2672,6,0)</f>
        <v>378</v>
      </c>
    </row>
    <row r="1235" spans="1:14" ht="138.6" customHeight="1" x14ac:dyDescent="0.2">
      <c r="A1235" s="3">
        <v>1233</v>
      </c>
      <c r="B1235" s="3">
        <v>990975</v>
      </c>
      <c r="C1235" s="4" t="str">
        <f>HYPERLINK("http://optservis.net:5080/photo?tov_code_internet=990975","Увеличить")</f>
        <v>Увеличить</v>
      </c>
      <c r="D1235" s="3" t="s">
        <v>2618</v>
      </c>
      <c r="E1235" s="3"/>
      <c r="F1235" s="3" t="s">
        <v>2621</v>
      </c>
      <c r="G1235" s="3" t="s">
        <v>1429</v>
      </c>
      <c r="H1235" s="3">
        <v>0.5</v>
      </c>
      <c r="I1235" s="3">
        <v>0</v>
      </c>
      <c r="J1235" s="3" t="s">
        <v>18</v>
      </c>
      <c r="K1235" s="5">
        <v>0.03</v>
      </c>
      <c r="L1235" s="6">
        <v>0</v>
      </c>
      <c r="M1235" s="7" t="s">
        <v>2622</v>
      </c>
      <c r="N1235" s="8">
        <f>VLOOKUP(B1235,'[1]новый без картинок'!$A$5:$F$2672,6,0)</f>
        <v>495</v>
      </c>
    </row>
    <row r="1236" spans="1:14" ht="149.44999999999999" customHeight="1" x14ac:dyDescent="0.2">
      <c r="A1236" s="3">
        <v>1234</v>
      </c>
      <c r="B1236" s="3">
        <v>983003</v>
      </c>
      <c r="C1236" s="4" t="str">
        <f>HYPERLINK("http://optservis.net:5080/photo?tov_code_internet=983003","Увеличить")</f>
        <v>Увеличить</v>
      </c>
      <c r="D1236" s="3" t="s">
        <v>2618</v>
      </c>
      <c r="E1236" s="3" t="s">
        <v>2623</v>
      </c>
      <c r="F1236" s="3" t="s">
        <v>2624</v>
      </c>
      <c r="G1236" s="3" t="s">
        <v>1429</v>
      </c>
      <c r="H1236" s="3">
        <v>0.5</v>
      </c>
      <c r="I1236" s="3">
        <v>0</v>
      </c>
      <c r="J1236" s="3" t="s">
        <v>18</v>
      </c>
      <c r="K1236" s="5">
        <v>0.03</v>
      </c>
      <c r="L1236" s="6">
        <v>4690654001940</v>
      </c>
      <c r="M1236" s="7" t="s">
        <v>2625</v>
      </c>
      <c r="N1236" s="8">
        <f>VLOOKUP(B1236,'[1]новый без картинок'!$A$5:$F$2672,6,0)</f>
        <v>339</v>
      </c>
    </row>
    <row r="1237" spans="1:14" ht="138.6" customHeight="1" x14ac:dyDescent="0.2">
      <c r="A1237" s="3">
        <v>1235</v>
      </c>
      <c r="B1237" s="3">
        <v>983001</v>
      </c>
      <c r="C1237" s="4" t="str">
        <f>HYPERLINK("http://optservis.net:5080/photo?tov_code_internet=983001","Увеличить")</f>
        <v>Увеличить</v>
      </c>
      <c r="D1237" s="3" t="s">
        <v>2618</v>
      </c>
      <c r="E1237" s="3" t="s">
        <v>2623</v>
      </c>
      <c r="F1237" s="3" t="s">
        <v>348</v>
      </c>
      <c r="G1237" s="3" t="s">
        <v>1429</v>
      </c>
      <c r="H1237" s="3">
        <v>0.5</v>
      </c>
      <c r="I1237" s="3">
        <v>0</v>
      </c>
      <c r="J1237" s="3" t="s">
        <v>18</v>
      </c>
      <c r="K1237" s="5">
        <v>0.03</v>
      </c>
      <c r="L1237" s="6">
        <v>4690654017262</v>
      </c>
      <c r="M1237" s="7" t="s">
        <v>2626</v>
      </c>
      <c r="N1237" s="8">
        <f>VLOOKUP(B1237,'[1]новый без картинок'!$A$5:$F$2672,6,0)</f>
        <v>347</v>
      </c>
    </row>
    <row r="1238" spans="1:14" ht="138.6" customHeight="1" x14ac:dyDescent="0.2">
      <c r="A1238" s="3">
        <v>1236</v>
      </c>
      <c r="B1238" s="3">
        <v>152227</v>
      </c>
      <c r="C1238" s="4" t="str">
        <f>HYPERLINK("http://optservis.net:5080/photo?tov_code_internet=152227","Увеличить")</f>
        <v>Увеличить</v>
      </c>
      <c r="D1238" s="3" t="s">
        <v>2618</v>
      </c>
      <c r="E1238" s="3" t="s">
        <v>2623</v>
      </c>
      <c r="F1238" s="3" t="s">
        <v>729</v>
      </c>
      <c r="G1238" s="3" t="s">
        <v>1429</v>
      </c>
      <c r="H1238" s="3">
        <v>0.5</v>
      </c>
      <c r="I1238" s="3">
        <v>0</v>
      </c>
      <c r="J1238" s="3" t="s">
        <v>18</v>
      </c>
      <c r="K1238" s="5">
        <v>0.03</v>
      </c>
      <c r="L1238" s="6">
        <v>4690654009878</v>
      </c>
      <c r="M1238" s="7" t="s">
        <v>2627</v>
      </c>
      <c r="N1238" s="8">
        <f>VLOOKUP(B1238,'[1]новый без картинок'!$A$5:$F$2672,6,0)</f>
        <v>347</v>
      </c>
    </row>
    <row r="1239" spans="1:14" ht="149.44999999999999" customHeight="1" x14ac:dyDescent="0.2">
      <c r="A1239" s="3">
        <v>1237</v>
      </c>
      <c r="B1239" s="3">
        <v>991094</v>
      </c>
      <c r="C1239" s="4" t="str">
        <f>HYPERLINK("http://optservis.net:5080/photo?tov_code_internet=991094","Увеличить")</f>
        <v>Увеличить</v>
      </c>
      <c r="D1239" s="3" t="s">
        <v>2628</v>
      </c>
      <c r="E1239" s="3"/>
      <c r="F1239" s="3" t="s">
        <v>2629</v>
      </c>
      <c r="G1239" s="3" t="s">
        <v>373</v>
      </c>
      <c r="H1239" s="3">
        <v>0.5</v>
      </c>
      <c r="I1239" s="3">
        <v>0</v>
      </c>
      <c r="J1239" s="3" t="s">
        <v>18</v>
      </c>
      <c r="K1239" s="5">
        <v>0.19</v>
      </c>
      <c r="L1239" s="6">
        <v>0</v>
      </c>
      <c r="M1239" s="7" t="s">
        <v>2630</v>
      </c>
      <c r="N1239" s="8">
        <f>VLOOKUP(B1239,'[1]новый без картинок'!$A$5:$F$2672,6,0)</f>
        <v>226</v>
      </c>
    </row>
    <row r="1240" spans="1:14" ht="138.6" customHeight="1" x14ac:dyDescent="0.2">
      <c r="A1240" s="3">
        <v>1238</v>
      </c>
      <c r="B1240" s="3">
        <v>983000</v>
      </c>
      <c r="C1240" s="4" t="str">
        <f>HYPERLINK("http://optservis.net:5080/photo?tov_code_internet=983000","Увеличить")</f>
        <v>Увеличить</v>
      </c>
      <c r="D1240" s="3" t="s">
        <v>2628</v>
      </c>
      <c r="E1240" s="3" t="s">
        <v>2631</v>
      </c>
      <c r="F1240" s="3" t="s">
        <v>1411</v>
      </c>
      <c r="G1240" s="3" t="s">
        <v>373</v>
      </c>
      <c r="H1240" s="3">
        <v>0.5</v>
      </c>
      <c r="I1240" s="3">
        <v>0</v>
      </c>
      <c r="J1240" s="3" t="s">
        <v>18</v>
      </c>
      <c r="K1240" s="5">
        <v>0.18</v>
      </c>
      <c r="L1240" s="6">
        <v>4690654001957</v>
      </c>
      <c r="M1240" s="7" t="s">
        <v>2630</v>
      </c>
      <c r="N1240" s="8">
        <f>VLOOKUP(B1240,'[1]новый без картинок'!$A$5:$F$2672,6,0)</f>
        <v>226</v>
      </c>
    </row>
    <row r="1241" spans="1:14" ht="149.44999999999999" customHeight="1" x14ac:dyDescent="0.2">
      <c r="A1241" s="3">
        <v>1239</v>
      </c>
      <c r="B1241" s="3">
        <v>991131</v>
      </c>
      <c r="C1241" s="4" t="str">
        <f>HYPERLINK("http://optservis.net:5080/photo?tov_code_internet=991131","Увеличить")</f>
        <v>Увеличить</v>
      </c>
      <c r="D1241" s="3" t="s">
        <v>2628</v>
      </c>
      <c r="E1241" s="3" t="s">
        <v>2631</v>
      </c>
      <c r="F1241" s="3" t="s">
        <v>2632</v>
      </c>
      <c r="G1241" s="3" t="s">
        <v>373</v>
      </c>
      <c r="H1241" s="3">
        <v>0.5</v>
      </c>
      <c r="I1241" s="3">
        <v>0</v>
      </c>
      <c r="J1241" s="3" t="s">
        <v>18</v>
      </c>
      <c r="K1241" s="5">
        <v>0.19</v>
      </c>
      <c r="L1241" s="6">
        <v>4690654003647</v>
      </c>
      <c r="M1241" s="7" t="s">
        <v>2630</v>
      </c>
      <c r="N1241" s="8">
        <f>VLOOKUP(B1241,'[1]новый без картинок'!$A$5:$F$2672,6,0)</f>
        <v>215</v>
      </c>
    </row>
    <row r="1242" spans="1:14" ht="138.6" customHeight="1" x14ac:dyDescent="0.2">
      <c r="A1242" s="3">
        <v>1240</v>
      </c>
      <c r="B1242" s="3">
        <v>144474</v>
      </c>
      <c r="C1242" s="4" t="str">
        <f>HYPERLINK("http://optservis.net:5080/photo?tov_code_internet=144474","Увеличить")</f>
        <v>Увеличить</v>
      </c>
      <c r="D1242" s="3" t="s">
        <v>2633</v>
      </c>
      <c r="E1242" s="3"/>
      <c r="F1242" s="3" t="s">
        <v>2634</v>
      </c>
      <c r="G1242" s="3" t="s">
        <v>1697</v>
      </c>
      <c r="H1242" s="3">
        <v>0.5</v>
      </c>
      <c r="I1242" s="3">
        <v>0</v>
      </c>
      <c r="J1242" s="3" t="s">
        <v>18</v>
      </c>
      <c r="K1242" s="5">
        <v>0.02</v>
      </c>
      <c r="L1242" s="6">
        <v>0</v>
      </c>
      <c r="M1242" s="7" t="s">
        <v>2635</v>
      </c>
      <c r="N1242" s="8">
        <f>VLOOKUP(B1242,'[1]новый без картинок'!$A$5:$F$2672,6,0)</f>
        <v>365</v>
      </c>
    </row>
    <row r="1243" spans="1:14" ht="138.6" customHeight="1" x14ac:dyDescent="0.2">
      <c r="A1243" s="3">
        <v>1241</v>
      </c>
      <c r="B1243" s="3">
        <v>982996</v>
      </c>
      <c r="C1243" s="4" t="str">
        <f>HYPERLINK("http://optservis.net:5080/photo?tov_code_internet=982996","Увеличить")</f>
        <v>Увеличить</v>
      </c>
      <c r="D1243" s="3" t="s">
        <v>2633</v>
      </c>
      <c r="E1243" s="3" t="s">
        <v>2636</v>
      </c>
      <c r="F1243" s="3" t="s">
        <v>731</v>
      </c>
      <c r="G1243" s="3" t="s">
        <v>1429</v>
      </c>
      <c r="H1243" s="3">
        <v>0.5</v>
      </c>
      <c r="I1243" s="3">
        <v>0</v>
      </c>
      <c r="J1243" s="3" t="s">
        <v>18</v>
      </c>
      <c r="K1243" s="5">
        <v>0.02</v>
      </c>
      <c r="L1243" s="6">
        <v>4690654003661</v>
      </c>
      <c r="M1243" s="7" t="s">
        <v>2637</v>
      </c>
      <c r="N1243" s="8">
        <f>VLOOKUP(B1243,'[1]новый без картинок'!$A$5:$F$2672,6,0)</f>
        <v>365</v>
      </c>
    </row>
    <row r="1244" spans="1:14" ht="138.6" customHeight="1" x14ac:dyDescent="0.2">
      <c r="A1244" s="3">
        <v>1242</v>
      </c>
      <c r="B1244" s="3">
        <v>144473</v>
      </c>
      <c r="C1244" s="4" t="str">
        <f>HYPERLINK("http://optservis.net:5080/photo?tov_code_internet=144473","Увеличить")</f>
        <v>Увеличить</v>
      </c>
      <c r="D1244" s="3" t="s">
        <v>2638</v>
      </c>
      <c r="E1244" s="3"/>
      <c r="F1244" s="3" t="s">
        <v>2639</v>
      </c>
      <c r="G1244" s="3" t="s">
        <v>1429</v>
      </c>
      <c r="H1244" s="3">
        <v>0.5</v>
      </c>
      <c r="I1244" s="3">
        <v>0</v>
      </c>
      <c r="J1244" s="3" t="s">
        <v>18</v>
      </c>
      <c r="K1244" s="5">
        <v>0.01</v>
      </c>
      <c r="L1244" s="6">
        <v>0</v>
      </c>
      <c r="M1244" s="7" t="s">
        <v>2640</v>
      </c>
      <c r="N1244" s="8">
        <f>VLOOKUP(B1244,'[1]новый без картинок'!$A$5:$F$2672,6,0)</f>
        <v>376</v>
      </c>
    </row>
    <row r="1245" spans="1:14" ht="138.6" customHeight="1" x14ac:dyDescent="0.2">
      <c r="A1245" s="3">
        <v>1243</v>
      </c>
      <c r="B1245" s="3">
        <v>991145</v>
      </c>
      <c r="C1245" s="4" t="str">
        <f>HYPERLINK("http://optservis.net:5080/photo?tov_code_internet=991145","Увеличить")</f>
        <v>Увеличить</v>
      </c>
      <c r="D1245" s="3" t="s">
        <v>2638</v>
      </c>
      <c r="E1245" s="3"/>
      <c r="F1245" s="3" t="s">
        <v>2641</v>
      </c>
      <c r="G1245" s="3" t="s">
        <v>1429</v>
      </c>
      <c r="H1245" s="3">
        <v>0.5</v>
      </c>
      <c r="I1245" s="3">
        <v>0</v>
      </c>
      <c r="J1245" s="3" t="s">
        <v>18</v>
      </c>
      <c r="K1245" s="5">
        <v>0.01</v>
      </c>
      <c r="L1245" s="6">
        <v>0</v>
      </c>
      <c r="M1245" s="7" t="s">
        <v>2640</v>
      </c>
      <c r="N1245" s="8">
        <f>VLOOKUP(B1245,'[1]новый без картинок'!$A$5:$F$2672,6,0)</f>
        <v>376</v>
      </c>
    </row>
    <row r="1246" spans="1:14" ht="149.44999999999999" customHeight="1" x14ac:dyDescent="0.2">
      <c r="A1246" s="3">
        <v>1244</v>
      </c>
      <c r="B1246" s="3">
        <v>151501</v>
      </c>
      <c r="C1246" s="4" t="str">
        <f>HYPERLINK("http://optservis.net:5080/photo?tov_code_internet=151501","Увеличить")</f>
        <v>Увеличить</v>
      </c>
      <c r="D1246" s="3" t="s">
        <v>2642</v>
      </c>
      <c r="E1246" s="3" t="s">
        <v>2643</v>
      </c>
      <c r="F1246" s="3" t="s">
        <v>2644</v>
      </c>
      <c r="G1246" s="3" t="s">
        <v>1697</v>
      </c>
      <c r="H1246" s="3">
        <v>1</v>
      </c>
      <c r="I1246" s="3">
        <v>1</v>
      </c>
      <c r="J1246" s="3" t="s">
        <v>18</v>
      </c>
      <c r="K1246" s="5">
        <v>0.04</v>
      </c>
      <c r="L1246" s="6">
        <v>4690654015817</v>
      </c>
      <c r="M1246" s="7" t="s">
        <v>2645</v>
      </c>
      <c r="N1246" s="8">
        <f>VLOOKUP(B1246,'[1]новый без картинок'!$A$5:$F$2672,6,0)</f>
        <v>469</v>
      </c>
    </row>
    <row r="1247" spans="1:14" ht="149.44999999999999" customHeight="1" x14ac:dyDescent="0.2">
      <c r="A1247" s="3">
        <v>1245</v>
      </c>
      <c r="B1247" s="3">
        <v>151369</v>
      </c>
      <c r="C1247" s="4" t="str">
        <f>HYPERLINK("http://optservis.net:5080/photo?tov_code_internet=151369","Увеличить")</f>
        <v>Увеличить</v>
      </c>
      <c r="D1247" s="3" t="s">
        <v>2642</v>
      </c>
      <c r="E1247" s="3" t="s">
        <v>2643</v>
      </c>
      <c r="F1247" s="3" t="s">
        <v>2646</v>
      </c>
      <c r="G1247" s="3" t="s">
        <v>1697</v>
      </c>
      <c r="H1247" s="3">
        <v>0.5</v>
      </c>
      <c r="I1247" s="3">
        <v>0</v>
      </c>
      <c r="J1247" s="3" t="s">
        <v>18</v>
      </c>
      <c r="K1247" s="5">
        <v>0.02</v>
      </c>
      <c r="L1247" s="6">
        <v>4690654008437</v>
      </c>
      <c r="M1247" s="7" t="s">
        <v>2645</v>
      </c>
      <c r="N1247" s="8">
        <f>VLOOKUP(B1247,'[1]новый без картинок'!$A$5:$F$2672,6,0)</f>
        <v>469</v>
      </c>
    </row>
    <row r="1248" spans="1:14" ht="151.15" customHeight="1" x14ac:dyDescent="0.2">
      <c r="A1248" s="3">
        <v>1246</v>
      </c>
      <c r="B1248" s="3">
        <v>990971</v>
      </c>
      <c r="C1248" s="4" t="str">
        <f>HYPERLINK("http://optservis.net:5080/photo?tov_code_internet=990971","Увеличить")</f>
        <v>Увеличить</v>
      </c>
      <c r="D1248" s="3" t="s">
        <v>2647</v>
      </c>
      <c r="E1248" s="3"/>
      <c r="F1248" s="3" t="s">
        <v>2624</v>
      </c>
      <c r="G1248" s="3" t="s">
        <v>373</v>
      </c>
      <c r="H1248" s="3">
        <v>1</v>
      </c>
      <c r="I1248" s="3">
        <v>1</v>
      </c>
      <c r="J1248" s="3" t="s">
        <v>18</v>
      </c>
      <c r="K1248" s="5">
        <v>0.06</v>
      </c>
      <c r="L1248" s="6">
        <v>0</v>
      </c>
      <c r="M1248" s="7" t="s">
        <v>2648</v>
      </c>
      <c r="N1248" s="8">
        <f>VLOOKUP(B1248,'[1]новый без картинок'!$A$5:$F$2672,6,0)</f>
        <v>368</v>
      </c>
    </row>
    <row r="1249" spans="1:14" ht="151.15" customHeight="1" x14ac:dyDescent="0.2">
      <c r="A1249" s="3">
        <v>1247</v>
      </c>
      <c r="B1249" s="3">
        <v>991245</v>
      </c>
      <c r="C1249" s="4" t="str">
        <f>HYPERLINK("http://optservis.net:5080/photo?tov_code_internet=991245","Увеличить")</f>
        <v>Увеличить</v>
      </c>
      <c r="D1249" s="3" t="s">
        <v>2647</v>
      </c>
      <c r="E1249" s="3" t="s">
        <v>2649</v>
      </c>
      <c r="F1249" s="3" t="s">
        <v>2650</v>
      </c>
      <c r="G1249" s="3" t="s">
        <v>373</v>
      </c>
      <c r="H1249" s="3">
        <v>1</v>
      </c>
      <c r="I1249" s="3">
        <v>1</v>
      </c>
      <c r="J1249" s="3" t="s">
        <v>18</v>
      </c>
      <c r="K1249" s="5">
        <v>0.06</v>
      </c>
      <c r="L1249" s="6">
        <v>4690654001964</v>
      </c>
      <c r="M1249" s="7" t="s">
        <v>2648</v>
      </c>
      <c r="N1249" s="8">
        <f>VLOOKUP(B1249,'[1]новый без картинок'!$A$5:$F$2672,6,0)</f>
        <v>368</v>
      </c>
    </row>
    <row r="1250" spans="1:14" ht="151.15" customHeight="1" x14ac:dyDescent="0.2">
      <c r="A1250" s="3">
        <v>1248</v>
      </c>
      <c r="B1250" s="3">
        <v>189469</v>
      </c>
      <c r="C1250" s="4" t="str">
        <f>HYPERLINK("http://optservis.net:5080/photo?tov_code_internet=189469","Увеличить")</f>
        <v>Увеличить</v>
      </c>
      <c r="D1250" s="3" t="s">
        <v>2651</v>
      </c>
      <c r="E1250" s="3" t="s">
        <v>2611</v>
      </c>
      <c r="F1250" s="3" t="s">
        <v>1463</v>
      </c>
      <c r="G1250" s="3" t="s">
        <v>430</v>
      </c>
      <c r="H1250" s="3">
        <v>1</v>
      </c>
      <c r="I1250" s="3">
        <v>1</v>
      </c>
      <c r="J1250" s="3" t="s">
        <v>18</v>
      </c>
      <c r="K1250" s="5">
        <v>0.17</v>
      </c>
      <c r="L1250" s="6">
        <v>4690654021207</v>
      </c>
      <c r="M1250" s="7" t="s">
        <v>2652</v>
      </c>
      <c r="N1250" s="8">
        <f>VLOOKUP(B1250,'[1]новый без картинок'!$A$5:$F$2672,6,0)</f>
        <v>259</v>
      </c>
    </row>
    <row r="1251" spans="1:14" ht="151.15" customHeight="1" x14ac:dyDescent="0.2">
      <c r="A1251" s="3">
        <v>1249</v>
      </c>
      <c r="B1251" s="3">
        <v>189468</v>
      </c>
      <c r="C1251" s="4" t="str">
        <f>HYPERLINK("http://optservis.net:5080/photo?tov_code_internet=189468","Увеличить")</f>
        <v>Увеличить</v>
      </c>
      <c r="D1251" s="3" t="s">
        <v>2653</v>
      </c>
      <c r="E1251" s="3" t="s">
        <v>2631</v>
      </c>
      <c r="F1251" s="3" t="s">
        <v>1463</v>
      </c>
      <c r="G1251" s="3" t="s">
        <v>430</v>
      </c>
      <c r="H1251" s="3">
        <v>0.5</v>
      </c>
      <c r="I1251" s="3">
        <v>0</v>
      </c>
      <c r="J1251" s="3" t="s">
        <v>18</v>
      </c>
      <c r="K1251" s="5">
        <v>0.18</v>
      </c>
      <c r="L1251" s="6">
        <v>0</v>
      </c>
      <c r="M1251" s="7" t="s">
        <v>2654</v>
      </c>
      <c r="N1251" s="8">
        <f>VLOOKUP(B1251,'[1]новый без картинок'!$A$5:$F$2672,6,0)</f>
        <v>337</v>
      </c>
    </row>
    <row r="1252" spans="1:14" ht="151.15" customHeight="1" x14ac:dyDescent="0.2">
      <c r="A1252" s="3">
        <v>1250</v>
      </c>
      <c r="B1252" s="3">
        <v>183195</v>
      </c>
      <c r="C1252" s="4" t="str">
        <f>HYPERLINK("http://optservis.net:5080/photo?tov_code_internet=183195","Увеличить")</f>
        <v>Увеличить</v>
      </c>
      <c r="D1252" s="3" t="s">
        <v>2655</v>
      </c>
      <c r="E1252" s="3"/>
      <c r="F1252" s="3" t="s">
        <v>2656</v>
      </c>
      <c r="G1252" s="3" t="s">
        <v>2657</v>
      </c>
      <c r="H1252" s="3">
        <v>0.5</v>
      </c>
      <c r="I1252" s="3">
        <v>0</v>
      </c>
      <c r="J1252" s="3" t="s">
        <v>18</v>
      </c>
      <c r="K1252" s="5">
        <v>0.01</v>
      </c>
      <c r="L1252" s="6">
        <v>0</v>
      </c>
      <c r="M1252" s="7" t="s">
        <v>2658</v>
      </c>
      <c r="N1252" s="8">
        <f>VLOOKUP(B1252,'[1]новый без картинок'!$A$5:$F$2672,6,0)</f>
        <v>460</v>
      </c>
    </row>
    <row r="1253" spans="1:14" ht="151.15" customHeight="1" x14ac:dyDescent="0.2">
      <c r="A1253" s="3">
        <v>1251</v>
      </c>
      <c r="B1253" s="3">
        <v>209806</v>
      </c>
      <c r="C1253" s="4" t="str">
        <f>HYPERLINK("http://optservis.net:5080/photo?tov_code_internet=209806","Увеличить")</f>
        <v>Увеличить</v>
      </c>
      <c r="D1253" s="3" t="s">
        <v>2659</v>
      </c>
      <c r="E1253" s="3"/>
      <c r="F1253" s="3" t="s">
        <v>2660</v>
      </c>
      <c r="G1253" s="3" t="s">
        <v>430</v>
      </c>
      <c r="H1253" s="3">
        <v>0.5</v>
      </c>
      <c r="I1253" s="3">
        <v>0</v>
      </c>
      <c r="J1253" s="3" t="s">
        <v>18</v>
      </c>
      <c r="K1253" s="5">
        <v>0.06</v>
      </c>
      <c r="L1253" s="6">
        <v>0</v>
      </c>
      <c r="M1253" s="7" t="s">
        <v>2661</v>
      </c>
      <c r="N1253" s="8">
        <f>VLOOKUP(B1253,'[1]новый без картинок'!$A$5:$F$2672,6,0)</f>
        <v>905</v>
      </c>
    </row>
    <row r="1254" spans="1:14" ht="151.15" customHeight="1" x14ac:dyDescent="0.2">
      <c r="A1254" s="3">
        <v>1252</v>
      </c>
      <c r="B1254" s="3">
        <v>209802</v>
      </c>
      <c r="C1254" s="4" t="str">
        <f>HYPERLINK("http://optservis.net:5080/photo?tov_code_internet=209802","Увеличить")</f>
        <v>Увеличить</v>
      </c>
      <c r="D1254" s="3" t="s">
        <v>2662</v>
      </c>
      <c r="E1254" s="3"/>
      <c r="F1254" s="3" t="s">
        <v>2391</v>
      </c>
      <c r="G1254" s="3" t="s">
        <v>430</v>
      </c>
      <c r="H1254" s="3">
        <v>0.5</v>
      </c>
      <c r="I1254" s="3">
        <v>0</v>
      </c>
      <c r="J1254" s="3" t="s">
        <v>18</v>
      </c>
      <c r="K1254" s="5">
        <v>0.1</v>
      </c>
      <c r="L1254" s="6">
        <v>0</v>
      </c>
      <c r="M1254" s="7" t="s">
        <v>2663</v>
      </c>
      <c r="N1254" s="8">
        <f>VLOOKUP(B1254,'[1]новый без картинок'!$A$5:$F$2672,6,0)</f>
        <v>255</v>
      </c>
    </row>
    <row r="1255" spans="1:14" ht="151.15" customHeight="1" x14ac:dyDescent="0.2">
      <c r="A1255" s="3">
        <v>1253</v>
      </c>
      <c r="B1255" s="3">
        <v>209803</v>
      </c>
      <c r="C1255" s="4" t="str">
        <f>HYPERLINK("http://optservis.net:5080/photo?tov_code_internet=209803","Увеличить")</f>
        <v>Увеличить</v>
      </c>
      <c r="D1255" s="3" t="s">
        <v>2662</v>
      </c>
      <c r="E1255" s="3" t="s">
        <v>2664</v>
      </c>
      <c r="F1255" s="3" t="s">
        <v>1488</v>
      </c>
      <c r="G1255" s="3" t="s">
        <v>430</v>
      </c>
      <c r="H1255" s="3">
        <v>0.5</v>
      </c>
      <c r="I1255" s="3">
        <v>0</v>
      </c>
      <c r="J1255" s="3" t="s">
        <v>18</v>
      </c>
      <c r="K1255" s="5">
        <v>0.1</v>
      </c>
      <c r="L1255" s="6">
        <v>4690654019297</v>
      </c>
      <c r="M1255" s="7" t="s">
        <v>2663</v>
      </c>
      <c r="N1255" s="8">
        <f>VLOOKUP(B1255,'[1]новый без картинок'!$A$5:$F$2672,6,0)</f>
        <v>246</v>
      </c>
    </row>
    <row r="1256" spans="1:14" ht="151.15" customHeight="1" x14ac:dyDescent="0.2">
      <c r="A1256" s="3">
        <v>1254</v>
      </c>
      <c r="B1256" s="3">
        <v>209807</v>
      </c>
      <c r="C1256" s="4" t="str">
        <f>HYPERLINK("http://optservis.net:5080/photo?tov_code_internet=209807","Увеличить")</f>
        <v>Увеличить</v>
      </c>
      <c r="D1256" s="3" t="s">
        <v>2665</v>
      </c>
      <c r="E1256" s="3"/>
      <c r="F1256" s="3" t="s">
        <v>2666</v>
      </c>
      <c r="G1256" s="3" t="s">
        <v>1479</v>
      </c>
      <c r="H1256" s="3">
        <v>0.5</v>
      </c>
      <c r="I1256" s="3">
        <v>0</v>
      </c>
      <c r="J1256" s="3" t="s">
        <v>18</v>
      </c>
      <c r="K1256" s="5">
        <v>0.02</v>
      </c>
      <c r="L1256" s="6">
        <v>0</v>
      </c>
      <c r="M1256" s="7" t="s">
        <v>2667</v>
      </c>
      <c r="N1256" s="8">
        <f>VLOOKUP(B1256,'[1]новый без картинок'!$A$5:$F$2672,6,0)</f>
        <v>463</v>
      </c>
    </row>
    <row r="1257" spans="1:14" ht="151.15" customHeight="1" x14ac:dyDescent="0.2">
      <c r="A1257" s="3">
        <v>1255</v>
      </c>
      <c r="B1257" s="3">
        <v>151619</v>
      </c>
      <c r="C1257" s="4" t="str">
        <f>HYPERLINK("http://optservis.net:5080/photo?tov_code_internet=151619","Увеличить")</f>
        <v>Увеличить</v>
      </c>
      <c r="D1257" s="3" t="s">
        <v>2668</v>
      </c>
      <c r="E1257" s="3" t="s">
        <v>2669</v>
      </c>
      <c r="F1257" s="3" t="s">
        <v>1524</v>
      </c>
      <c r="G1257" s="3" t="s">
        <v>430</v>
      </c>
      <c r="H1257" s="3">
        <v>0.5</v>
      </c>
      <c r="I1257" s="3">
        <v>0</v>
      </c>
      <c r="J1257" s="3" t="s">
        <v>18</v>
      </c>
      <c r="K1257" s="5">
        <v>0.11</v>
      </c>
      <c r="L1257" s="6">
        <v>4690654009328</v>
      </c>
      <c r="M1257" s="7" t="s">
        <v>2670</v>
      </c>
      <c r="N1257" s="8">
        <f>VLOOKUP(B1257,'[1]новый без картинок'!$A$5:$F$2672,6,0)</f>
        <v>239</v>
      </c>
    </row>
    <row r="1258" spans="1:14" ht="151.15" customHeight="1" x14ac:dyDescent="0.2">
      <c r="A1258" s="3">
        <v>1256</v>
      </c>
      <c r="B1258" s="3">
        <v>151466</v>
      </c>
      <c r="C1258" s="4" t="str">
        <f>HYPERLINK("http://optservis.net:5080/photo?tov_code_internet=151466","Увеличить")</f>
        <v>Увеличить</v>
      </c>
      <c r="D1258" s="3" t="s">
        <v>2668</v>
      </c>
      <c r="E1258" s="3" t="s">
        <v>2669</v>
      </c>
      <c r="F1258" s="3" t="s">
        <v>1502</v>
      </c>
      <c r="G1258" s="3" t="s">
        <v>430</v>
      </c>
      <c r="H1258" s="3">
        <v>0.5</v>
      </c>
      <c r="I1258" s="3">
        <v>0</v>
      </c>
      <c r="J1258" s="3" t="s">
        <v>18</v>
      </c>
      <c r="K1258" s="5">
        <v>0.11</v>
      </c>
      <c r="L1258" s="6">
        <v>4690654015107</v>
      </c>
      <c r="M1258" s="7" t="s">
        <v>2670</v>
      </c>
      <c r="N1258" s="8">
        <f>VLOOKUP(B1258,'[1]новый без картинок'!$A$5:$F$2672,6,0)</f>
        <v>239</v>
      </c>
    </row>
    <row r="1259" spans="1:14" ht="151.15" customHeight="1" x14ac:dyDescent="0.2">
      <c r="A1259" s="3">
        <v>1257</v>
      </c>
      <c r="B1259" s="3">
        <v>151621</v>
      </c>
      <c r="C1259" s="4" t="str">
        <f>HYPERLINK("http://optservis.net:5080/photo?tov_code_internet=151621","Увеличить")</f>
        <v>Увеличить</v>
      </c>
      <c r="D1259" s="3" t="s">
        <v>2671</v>
      </c>
      <c r="E1259" s="3" t="s">
        <v>2672</v>
      </c>
      <c r="F1259" s="3" t="s">
        <v>2673</v>
      </c>
      <c r="G1259" s="3" t="s">
        <v>1469</v>
      </c>
      <c r="H1259" s="3">
        <v>0.5</v>
      </c>
      <c r="I1259" s="3">
        <v>0</v>
      </c>
      <c r="J1259" s="3" t="s">
        <v>18</v>
      </c>
      <c r="K1259" s="5">
        <v>0.04</v>
      </c>
      <c r="L1259" s="6">
        <v>4690654005863</v>
      </c>
      <c r="M1259" s="7" t="s">
        <v>2674</v>
      </c>
      <c r="N1259" s="8">
        <f>VLOOKUP(B1259,'[1]новый без картинок'!$A$5:$F$2672,6,0)</f>
        <v>469</v>
      </c>
    </row>
    <row r="1260" spans="1:14" ht="151.15" customHeight="1" x14ac:dyDescent="0.2">
      <c r="A1260" s="3">
        <v>1258</v>
      </c>
      <c r="B1260" s="3">
        <v>151467</v>
      </c>
      <c r="C1260" s="4" t="str">
        <f>HYPERLINK("http://optservis.net:5080/photo?tov_code_internet=151467","Увеличить")</f>
        <v>Увеличить</v>
      </c>
      <c r="D1260" s="3" t="s">
        <v>2671</v>
      </c>
      <c r="E1260" s="3" t="s">
        <v>2672</v>
      </c>
      <c r="F1260" s="3" t="s">
        <v>2675</v>
      </c>
      <c r="G1260" s="3" t="s">
        <v>1469</v>
      </c>
      <c r="H1260" s="3">
        <v>0.5</v>
      </c>
      <c r="I1260" s="3">
        <v>0</v>
      </c>
      <c r="J1260" s="3" t="s">
        <v>18</v>
      </c>
      <c r="K1260" s="5">
        <v>0.04</v>
      </c>
      <c r="L1260" s="6">
        <v>4690654005870</v>
      </c>
      <c r="M1260" s="7" t="s">
        <v>2674</v>
      </c>
      <c r="N1260" s="8">
        <f>VLOOKUP(B1260,'[1]новый без картинок'!$A$5:$F$2672,6,0)</f>
        <v>469</v>
      </c>
    </row>
    <row r="1261" spans="1:14" ht="151.15" customHeight="1" x14ac:dyDescent="0.2">
      <c r="A1261" s="3">
        <v>1259</v>
      </c>
      <c r="B1261" s="3">
        <v>151791</v>
      </c>
      <c r="C1261" s="4" t="str">
        <f>HYPERLINK("http://optservis.net:5080/photo?tov_code_internet=151791","Увеличить")</f>
        <v>Увеличить</v>
      </c>
      <c r="D1261" s="3" t="s">
        <v>2676</v>
      </c>
      <c r="E1261" s="3"/>
      <c r="F1261" s="3" t="s">
        <v>2677</v>
      </c>
      <c r="G1261" s="3" t="s">
        <v>1479</v>
      </c>
      <c r="H1261" s="3">
        <v>0.5</v>
      </c>
      <c r="I1261" s="3">
        <v>0</v>
      </c>
      <c r="J1261" s="3" t="s">
        <v>18</v>
      </c>
      <c r="K1261" s="5">
        <v>0.03</v>
      </c>
      <c r="L1261" s="6">
        <v>0</v>
      </c>
      <c r="M1261" s="7" t="s">
        <v>2678</v>
      </c>
      <c r="N1261" s="8">
        <f>VLOOKUP(B1261,'[1]новый без картинок'!$A$5:$F$2672,6,0)</f>
        <v>456</v>
      </c>
    </row>
    <row r="1262" spans="1:14" ht="151.15" customHeight="1" x14ac:dyDescent="0.2">
      <c r="A1262" s="3">
        <v>1260</v>
      </c>
      <c r="B1262" s="3">
        <v>151468</v>
      </c>
      <c r="C1262" s="4" t="str">
        <f>HYPERLINK("http://optservis.net:5080/photo?tov_code_internet=151468","Увеличить")</f>
        <v>Увеличить</v>
      </c>
      <c r="D1262" s="3" t="s">
        <v>2676</v>
      </c>
      <c r="E1262" s="3"/>
      <c r="F1262" s="3" t="s">
        <v>2679</v>
      </c>
      <c r="G1262" s="3" t="s">
        <v>1479</v>
      </c>
      <c r="H1262" s="3">
        <v>0.5</v>
      </c>
      <c r="I1262" s="3">
        <v>0</v>
      </c>
      <c r="J1262" s="3" t="s">
        <v>18</v>
      </c>
      <c r="K1262" s="5">
        <v>0.03</v>
      </c>
      <c r="L1262" s="6">
        <v>0</v>
      </c>
      <c r="M1262" s="7" t="s">
        <v>2678</v>
      </c>
      <c r="N1262" s="8">
        <f>VLOOKUP(B1262,'[1]новый без картинок'!$A$5:$F$2672,6,0)</f>
        <v>456</v>
      </c>
    </row>
    <row r="1263" spans="1:14" ht="151.15" customHeight="1" x14ac:dyDescent="0.2">
      <c r="A1263" s="3">
        <v>1261</v>
      </c>
      <c r="B1263" s="3">
        <v>165565</v>
      </c>
      <c r="C1263" s="4" t="str">
        <f>HYPERLINK("http://optservis.net:5080/photo?tov_code_internet=165565","Увеличить")</f>
        <v>Увеличить</v>
      </c>
      <c r="D1263" s="3" t="s">
        <v>2676</v>
      </c>
      <c r="E1263" s="3"/>
      <c r="F1263" s="3" t="s">
        <v>2680</v>
      </c>
      <c r="G1263" s="3" t="s">
        <v>1533</v>
      </c>
      <c r="H1263" s="3">
        <v>0.5</v>
      </c>
      <c r="I1263" s="3">
        <v>0</v>
      </c>
      <c r="J1263" s="3" t="s">
        <v>18</v>
      </c>
      <c r="K1263" s="5">
        <v>0.03</v>
      </c>
      <c r="L1263" s="6">
        <v>0</v>
      </c>
      <c r="M1263" s="7" t="s">
        <v>2681</v>
      </c>
      <c r="N1263" s="8">
        <f>VLOOKUP(B1263,'[1]новый без картинок'!$A$5:$F$2672,6,0)</f>
        <v>445</v>
      </c>
    </row>
    <row r="1264" spans="1:14" ht="151.15" customHeight="1" x14ac:dyDescent="0.2">
      <c r="A1264" s="3">
        <v>1262</v>
      </c>
      <c r="B1264" s="3">
        <v>151792</v>
      </c>
      <c r="C1264" s="4" t="str">
        <f>HYPERLINK("http://optservis.net:5080/photo?tov_code_internet=151792","Увеличить")</f>
        <v>Увеличить</v>
      </c>
      <c r="D1264" s="3" t="s">
        <v>2682</v>
      </c>
      <c r="E1264" s="3"/>
      <c r="F1264" s="3" t="s">
        <v>2683</v>
      </c>
      <c r="G1264" s="3" t="s">
        <v>1469</v>
      </c>
      <c r="H1264" s="3">
        <v>0.5</v>
      </c>
      <c r="I1264" s="3">
        <v>0</v>
      </c>
      <c r="J1264" s="3" t="s">
        <v>18</v>
      </c>
      <c r="K1264" s="5">
        <v>0.03</v>
      </c>
      <c r="L1264" s="6">
        <v>0</v>
      </c>
      <c r="M1264" s="7" t="s">
        <v>2684</v>
      </c>
      <c r="N1264" s="8">
        <f>VLOOKUP(B1264,'[1]новый без картинок'!$A$5:$F$2672,6,0)</f>
        <v>467</v>
      </c>
    </row>
    <row r="1265" spans="1:14" ht="151.15" customHeight="1" x14ac:dyDescent="0.2">
      <c r="A1265" s="3">
        <v>1263</v>
      </c>
      <c r="B1265" s="3">
        <v>151470</v>
      </c>
      <c r="C1265" s="4" t="str">
        <f>HYPERLINK("http://optservis.net:5080/photo?tov_code_internet=151470","Увеличить")</f>
        <v>Увеличить</v>
      </c>
      <c r="D1265" s="3" t="s">
        <v>2682</v>
      </c>
      <c r="E1265" s="3"/>
      <c r="F1265" s="3" t="s">
        <v>2685</v>
      </c>
      <c r="G1265" s="3" t="s">
        <v>1469</v>
      </c>
      <c r="H1265" s="3">
        <v>0.5</v>
      </c>
      <c r="I1265" s="3">
        <v>0</v>
      </c>
      <c r="J1265" s="3" t="s">
        <v>18</v>
      </c>
      <c r="K1265" s="5">
        <v>0.03</v>
      </c>
      <c r="L1265" s="6">
        <v>0</v>
      </c>
      <c r="M1265" s="7" t="s">
        <v>2684</v>
      </c>
      <c r="N1265" s="8">
        <f>VLOOKUP(B1265,'[1]новый без картинок'!$A$5:$F$2672,6,0)</f>
        <v>467</v>
      </c>
    </row>
    <row r="1266" spans="1:14" ht="151.15" customHeight="1" x14ac:dyDescent="0.2">
      <c r="A1266" s="3">
        <v>1264</v>
      </c>
      <c r="B1266" s="3">
        <v>172589</v>
      </c>
      <c r="C1266" s="4" t="str">
        <f>HYPERLINK("http://optservis.net:5080/photo?tov_code_internet=172589","Увеличить")</f>
        <v>Увеличить</v>
      </c>
      <c r="D1266" s="3" t="s">
        <v>2686</v>
      </c>
      <c r="E1266" s="3" t="s">
        <v>2687</v>
      </c>
      <c r="F1266" s="3" t="s">
        <v>2688</v>
      </c>
      <c r="G1266" s="3" t="s">
        <v>1533</v>
      </c>
      <c r="H1266" s="3">
        <v>0.5</v>
      </c>
      <c r="I1266" s="3">
        <v>0</v>
      </c>
      <c r="J1266" s="3" t="s">
        <v>18</v>
      </c>
      <c r="K1266" s="5">
        <v>0.04</v>
      </c>
      <c r="L1266" s="6">
        <v>4690654014681</v>
      </c>
      <c r="M1266" s="7" t="s">
        <v>2689</v>
      </c>
      <c r="N1266" s="8">
        <f>VLOOKUP(B1266,'[1]новый без картинок'!$A$5:$F$2672,6,0)</f>
        <v>549</v>
      </c>
    </row>
    <row r="1267" spans="1:14" ht="151.15" customHeight="1" x14ac:dyDescent="0.2">
      <c r="A1267" s="3">
        <v>1265</v>
      </c>
      <c r="B1267" s="3">
        <v>155641</v>
      </c>
      <c r="C1267" s="4" t="str">
        <f>HYPERLINK("http://optservis.net:5080/photo?tov_code_internet=155641","Увеличить")</f>
        <v>Увеличить</v>
      </c>
      <c r="D1267" s="3" t="s">
        <v>2690</v>
      </c>
      <c r="E1267" s="3"/>
      <c r="F1267" s="3" t="s">
        <v>2691</v>
      </c>
      <c r="G1267" s="3" t="s">
        <v>430</v>
      </c>
      <c r="H1267" s="3">
        <v>0.5</v>
      </c>
      <c r="I1267" s="3">
        <v>0</v>
      </c>
      <c r="J1267" s="3" t="s">
        <v>18</v>
      </c>
      <c r="K1267" s="5">
        <v>0.11</v>
      </c>
      <c r="L1267" s="6">
        <v>0</v>
      </c>
      <c r="M1267" s="7" t="s">
        <v>2692</v>
      </c>
      <c r="N1267" s="8">
        <f>VLOOKUP(B1267,'[1]новый без картинок'!$A$5:$F$2672,6,0)</f>
        <v>243</v>
      </c>
    </row>
    <row r="1268" spans="1:14" ht="151.15" customHeight="1" x14ac:dyDescent="0.2">
      <c r="A1268" s="3">
        <v>1266</v>
      </c>
      <c r="B1268" s="3">
        <v>155636</v>
      </c>
      <c r="C1268" s="4" t="str">
        <f>HYPERLINK("http://optservis.net:5080/photo?tov_code_internet=155636","Увеличить")</f>
        <v>Увеличить</v>
      </c>
      <c r="D1268" s="3" t="s">
        <v>2693</v>
      </c>
      <c r="E1268" s="3"/>
      <c r="F1268" s="3" t="s">
        <v>2694</v>
      </c>
      <c r="G1268" s="3" t="s">
        <v>1469</v>
      </c>
      <c r="H1268" s="3">
        <v>0.5</v>
      </c>
      <c r="I1268" s="3">
        <v>0</v>
      </c>
      <c r="J1268" s="3" t="s">
        <v>18</v>
      </c>
      <c r="K1268" s="5">
        <v>0.04</v>
      </c>
      <c r="L1268" s="6">
        <v>0</v>
      </c>
      <c r="M1268" s="7" t="s">
        <v>2695</v>
      </c>
      <c r="N1268" s="8">
        <f>VLOOKUP(B1268,'[1]новый без картинок'!$A$5:$F$2672,6,0)</f>
        <v>425</v>
      </c>
    </row>
    <row r="1269" spans="1:14" ht="151.15" customHeight="1" x14ac:dyDescent="0.2">
      <c r="A1269" s="3">
        <v>1267</v>
      </c>
      <c r="B1269" s="3">
        <v>199960</v>
      </c>
      <c r="C1269" s="4" t="str">
        <f>HYPERLINK("http://optservis.net:5080/photo?tov_code_internet=199960","Увеличить")</f>
        <v>Увеличить</v>
      </c>
      <c r="D1269" s="3" t="s">
        <v>2696</v>
      </c>
      <c r="E1269" s="3"/>
      <c r="F1269" s="3" t="s">
        <v>1558</v>
      </c>
      <c r="G1269" s="3" t="s">
        <v>430</v>
      </c>
      <c r="H1269" s="3">
        <v>0.5</v>
      </c>
      <c r="I1269" s="3">
        <v>0</v>
      </c>
      <c r="J1269" s="3" t="s">
        <v>18</v>
      </c>
      <c r="K1269" s="5">
        <v>0.21</v>
      </c>
      <c r="L1269" s="6">
        <v>0</v>
      </c>
      <c r="M1269" s="7" t="s">
        <v>2697</v>
      </c>
      <c r="N1269" s="8">
        <f>VLOOKUP(B1269,'[1]новый без картинок'!$A$5:$F$2672,6,0)</f>
        <v>311</v>
      </c>
    </row>
    <row r="1270" spans="1:14" ht="151.15" customHeight="1" x14ac:dyDescent="0.2">
      <c r="A1270" s="3">
        <v>1268</v>
      </c>
      <c r="B1270" s="3">
        <v>163689</v>
      </c>
      <c r="C1270" s="4" t="str">
        <f>HYPERLINK("http://optservis.net:5080/photo?tov_code_internet=163689","Увеличить")</f>
        <v>Увеличить</v>
      </c>
      <c r="D1270" s="3" t="s">
        <v>2698</v>
      </c>
      <c r="E1270" s="3"/>
      <c r="F1270" s="3" t="s">
        <v>2699</v>
      </c>
      <c r="G1270" s="3" t="s">
        <v>1479</v>
      </c>
      <c r="H1270" s="3">
        <v>0.5</v>
      </c>
      <c r="I1270" s="3">
        <v>0</v>
      </c>
      <c r="J1270" s="3" t="s">
        <v>18</v>
      </c>
      <c r="K1270" s="5">
        <v>0.03</v>
      </c>
      <c r="L1270" s="6">
        <v>0</v>
      </c>
      <c r="M1270" s="7" t="s">
        <v>2700</v>
      </c>
      <c r="N1270" s="8">
        <f>VLOOKUP(B1270,'[1]новый без картинок'!$A$5:$F$2672,6,0)</f>
        <v>445</v>
      </c>
    </row>
    <row r="1271" spans="1:14" ht="151.15" customHeight="1" x14ac:dyDescent="0.2">
      <c r="A1271" s="3">
        <v>1269</v>
      </c>
      <c r="B1271" s="3">
        <v>174248</v>
      </c>
      <c r="C1271" s="4" t="str">
        <f>HYPERLINK("http://optservis.net:5080/photo?tov_code_internet=174248","Увеличить")</f>
        <v>Увеличить</v>
      </c>
      <c r="D1271" s="3" t="s">
        <v>2701</v>
      </c>
      <c r="E1271" s="3"/>
      <c r="F1271" s="3" t="s">
        <v>2702</v>
      </c>
      <c r="G1271" s="3" t="s">
        <v>1479</v>
      </c>
      <c r="H1271" s="3">
        <v>0.5</v>
      </c>
      <c r="I1271" s="3">
        <v>0</v>
      </c>
      <c r="J1271" s="3" t="s">
        <v>18</v>
      </c>
      <c r="K1271" s="5">
        <v>0.06</v>
      </c>
      <c r="L1271" s="6">
        <v>0</v>
      </c>
      <c r="M1271" s="7" t="s">
        <v>2703</v>
      </c>
      <c r="N1271" s="8">
        <f>VLOOKUP(B1271,'[1]новый без картинок'!$A$5:$F$2672,6,0)</f>
        <v>454</v>
      </c>
    </row>
    <row r="1272" spans="1:14" ht="151.15" customHeight="1" x14ac:dyDescent="0.2">
      <c r="A1272" s="3">
        <v>1270</v>
      </c>
      <c r="B1272" s="3">
        <v>199888</v>
      </c>
      <c r="C1272" s="4" t="str">
        <f>HYPERLINK("http://optservis.net:5080/photo?tov_code_internet=199888","Увеличить")</f>
        <v>Увеличить</v>
      </c>
      <c r="D1272" s="3" t="s">
        <v>2704</v>
      </c>
      <c r="E1272" s="3"/>
      <c r="F1272" s="3" t="s">
        <v>2705</v>
      </c>
      <c r="G1272" s="3" t="s">
        <v>430</v>
      </c>
      <c r="H1272" s="3">
        <v>0.5</v>
      </c>
      <c r="I1272" s="3">
        <v>0</v>
      </c>
      <c r="J1272" s="3" t="s">
        <v>18</v>
      </c>
      <c r="K1272" s="5">
        <v>7.0000000000000007E-2</v>
      </c>
      <c r="L1272" s="6">
        <v>0</v>
      </c>
      <c r="M1272" s="7" t="s">
        <v>2706</v>
      </c>
      <c r="N1272" s="8">
        <f>VLOOKUP(B1272,'[1]новый без картинок'!$A$5:$F$2672,6,0)</f>
        <v>932</v>
      </c>
    </row>
    <row r="1273" spans="1:14" ht="151.15" customHeight="1" x14ac:dyDescent="0.2">
      <c r="A1273" s="3">
        <v>1271</v>
      </c>
      <c r="B1273" s="3">
        <v>199886</v>
      </c>
      <c r="C1273" s="4" t="str">
        <f>HYPERLINK("http://optservis.net:5080/photo?tov_code_internet=199886","Увеличить")</f>
        <v>Увеличить</v>
      </c>
      <c r="D1273" s="3" t="s">
        <v>2707</v>
      </c>
      <c r="E1273" s="3"/>
      <c r="F1273" s="3" t="s">
        <v>1574</v>
      </c>
      <c r="G1273" s="3" t="s">
        <v>430</v>
      </c>
      <c r="H1273" s="3">
        <v>0.5</v>
      </c>
      <c r="I1273" s="3">
        <v>0</v>
      </c>
      <c r="J1273" s="3" t="s">
        <v>18</v>
      </c>
      <c r="K1273" s="5">
        <v>0.11</v>
      </c>
      <c r="L1273" s="6">
        <v>0</v>
      </c>
      <c r="M1273" s="7" t="s">
        <v>1572</v>
      </c>
      <c r="N1273" s="8">
        <f>VLOOKUP(B1273,'[1]новый без картинок'!$A$5:$F$2672,6,0)</f>
        <v>282</v>
      </c>
    </row>
    <row r="1274" spans="1:14" ht="151.15" customHeight="1" x14ac:dyDescent="0.2">
      <c r="A1274" s="3">
        <v>1272</v>
      </c>
      <c r="B1274" s="3">
        <v>199887</v>
      </c>
      <c r="C1274" s="4" t="str">
        <f>HYPERLINK("http://optservis.net:5080/photo?tov_code_internet=199887","Увеличить")</f>
        <v>Увеличить</v>
      </c>
      <c r="D1274" s="3" t="s">
        <v>2708</v>
      </c>
      <c r="E1274" s="3"/>
      <c r="F1274" s="3" t="s">
        <v>1574</v>
      </c>
      <c r="G1274" s="3" t="s">
        <v>430</v>
      </c>
      <c r="H1274" s="3">
        <v>0.5</v>
      </c>
      <c r="I1274" s="3">
        <v>0</v>
      </c>
      <c r="J1274" s="3" t="s">
        <v>18</v>
      </c>
      <c r="K1274" s="5">
        <v>0.21</v>
      </c>
      <c r="L1274" s="6">
        <v>0</v>
      </c>
      <c r="M1274" s="7" t="s">
        <v>1572</v>
      </c>
      <c r="N1274" s="8">
        <f>VLOOKUP(B1274,'[1]новый без картинок'!$A$5:$F$2672,6,0)</f>
        <v>360</v>
      </c>
    </row>
    <row r="1275" spans="1:14" ht="151.15" customHeight="1" x14ac:dyDescent="0.2">
      <c r="A1275" s="3">
        <v>1273</v>
      </c>
      <c r="B1275" s="3">
        <v>199890</v>
      </c>
      <c r="C1275" s="4" t="str">
        <f>HYPERLINK("http://optservis.net:5080/photo?tov_code_internet=199890","Увеличить")</f>
        <v>Увеличить</v>
      </c>
      <c r="D1275" s="3" t="s">
        <v>2709</v>
      </c>
      <c r="E1275" s="3"/>
      <c r="F1275" s="3" t="s">
        <v>1585</v>
      </c>
      <c r="G1275" s="3" t="s">
        <v>1479</v>
      </c>
      <c r="H1275" s="3">
        <v>0.5</v>
      </c>
      <c r="I1275" s="3">
        <v>0</v>
      </c>
      <c r="J1275" s="3" t="s">
        <v>18</v>
      </c>
      <c r="K1275" s="5">
        <v>0.03</v>
      </c>
      <c r="L1275" s="6">
        <v>0</v>
      </c>
      <c r="M1275" s="7" t="s">
        <v>2710</v>
      </c>
      <c r="N1275" s="8">
        <f>VLOOKUP(B1275,'[1]новый без картинок'!$A$5:$F$2672,6,0)</f>
        <v>490</v>
      </c>
    </row>
    <row r="1276" spans="1:14" ht="151.15" customHeight="1" x14ac:dyDescent="0.2">
      <c r="A1276" s="3">
        <v>1274</v>
      </c>
      <c r="B1276" s="3">
        <v>199889</v>
      </c>
      <c r="C1276" s="4" t="str">
        <f>HYPERLINK("http://optservis.net:5080/photo?tov_code_internet=199889","Увеличить")</f>
        <v>Увеличить</v>
      </c>
      <c r="D1276" s="3" t="s">
        <v>2711</v>
      </c>
      <c r="E1276" s="3"/>
      <c r="F1276" s="3" t="s">
        <v>2712</v>
      </c>
      <c r="G1276" s="3" t="s">
        <v>1479</v>
      </c>
      <c r="H1276" s="3">
        <v>0.5</v>
      </c>
      <c r="I1276" s="3">
        <v>0</v>
      </c>
      <c r="J1276" s="3" t="s">
        <v>18</v>
      </c>
      <c r="K1276" s="5">
        <v>0.05</v>
      </c>
      <c r="L1276" s="6">
        <v>0</v>
      </c>
      <c r="M1276" s="7" t="s">
        <v>2713</v>
      </c>
      <c r="N1276" s="8">
        <f>VLOOKUP(B1276,'[1]новый без картинок'!$A$5:$F$2672,6,0)</f>
        <v>493</v>
      </c>
    </row>
    <row r="1277" spans="1:14" ht="151.15" customHeight="1" x14ac:dyDescent="0.2">
      <c r="A1277" s="3">
        <v>1275</v>
      </c>
      <c r="B1277" s="3">
        <v>152211</v>
      </c>
      <c r="C1277" s="4" t="str">
        <f>HYPERLINK("http://optservis.net:5080/photo?tov_code_internet=152211","Увеличить")</f>
        <v>Увеличить</v>
      </c>
      <c r="D1277" s="3" t="s">
        <v>2714</v>
      </c>
      <c r="E1277" s="3" t="s">
        <v>2715</v>
      </c>
      <c r="F1277" s="3" t="s">
        <v>1624</v>
      </c>
      <c r="G1277" s="3" t="s">
        <v>1101</v>
      </c>
      <c r="H1277" s="3">
        <v>0.5</v>
      </c>
      <c r="I1277" s="3">
        <v>0</v>
      </c>
      <c r="J1277" s="3" t="s">
        <v>18</v>
      </c>
      <c r="K1277" s="5">
        <v>0.11</v>
      </c>
      <c r="L1277" s="6">
        <v>4690654010300</v>
      </c>
      <c r="M1277" s="7" t="s">
        <v>2716</v>
      </c>
      <c r="N1277" s="8">
        <f>VLOOKUP(B1277,'[1]новый без картинок'!$A$5:$F$2672,6,0)</f>
        <v>230</v>
      </c>
    </row>
    <row r="1278" spans="1:14" ht="151.15" customHeight="1" x14ac:dyDescent="0.2">
      <c r="A1278" s="3">
        <v>1276</v>
      </c>
      <c r="B1278" s="3">
        <v>152210</v>
      </c>
      <c r="C1278" s="4" t="str">
        <f>HYPERLINK("http://optservis.net:5080/photo?tov_code_internet=152210","Увеличить")</f>
        <v>Увеличить</v>
      </c>
      <c r="D1278" s="3" t="s">
        <v>2717</v>
      </c>
      <c r="E1278" s="3" t="s">
        <v>2718</v>
      </c>
      <c r="F1278" s="3" t="s">
        <v>2719</v>
      </c>
      <c r="G1278" s="3" t="s">
        <v>1515</v>
      </c>
      <c r="H1278" s="3">
        <v>0.5</v>
      </c>
      <c r="I1278" s="3">
        <v>0</v>
      </c>
      <c r="J1278" s="3" t="s">
        <v>18</v>
      </c>
      <c r="K1278" s="5">
        <v>0.04</v>
      </c>
      <c r="L1278" s="6">
        <v>4690654010058</v>
      </c>
      <c r="M1278" s="7" t="s">
        <v>2720</v>
      </c>
      <c r="N1278" s="8">
        <f>VLOOKUP(B1278,'[1]новый без картинок'!$A$5:$F$2672,6,0)</f>
        <v>411</v>
      </c>
    </row>
    <row r="1279" spans="1:14" ht="151.15" customHeight="1" x14ac:dyDescent="0.2">
      <c r="A1279" s="3">
        <v>1277</v>
      </c>
      <c r="B1279" s="3">
        <v>169221</v>
      </c>
      <c r="C1279" s="4" t="str">
        <f>HYPERLINK("http://optservis.net:5080/photo?tov_code_internet=169221","Увеличить")</f>
        <v>Увеличить</v>
      </c>
      <c r="D1279" s="3" t="s">
        <v>2721</v>
      </c>
      <c r="E1279" s="3"/>
      <c r="F1279" s="3" t="s">
        <v>1615</v>
      </c>
      <c r="G1279" s="3" t="s">
        <v>430</v>
      </c>
      <c r="H1279" s="3">
        <v>0.5</v>
      </c>
      <c r="I1279" s="3">
        <v>0</v>
      </c>
      <c r="J1279" s="3" t="s">
        <v>18</v>
      </c>
      <c r="K1279" s="5">
        <v>0.21</v>
      </c>
      <c r="L1279" s="6">
        <v>0</v>
      </c>
      <c r="M1279" s="7" t="s">
        <v>2722</v>
      </c>
      <c r="N1279" s="8">
        <f>VLOOKUP(B1279,'[1]новый без картинок'!$A$5:$F$2672,6,0)</f>
        <v>321</v>
      </c>
    </row>
    <row r="1280" spans="1:14" ht="151.15" customHeight="1" x14ac:dyDescent="0.2">
      <c r="A1280" s="3">
        <v>1278</v>
      </c>
      <c r="B1280" s="3">
        <v>174247</v>
      </c>
      <c r="C1280" s="4" t="str">
        <f>HYPERLINK("http://optservis.net:5080/photo?tov_code_internet=174247","Увеличить")</f>
        <v>Увеличить</v>
      </c>
      <c r="D1280" s="3" t="s">
        <v>2723</v>
      </c>
      <c r="E1280" s="3" t="s">
        <v>2724</v>
      </c>
      <c r="F1280" s="3" t="s">
        <v>2725</v>
      </c>
      <c r="G1280" s="3" t="s">
        <v>1479</v>
      </c>
      <c r="H1280" s="3">
        <v>0.5</v>
      </c>
      <c r="I1280" s="3">
        <v>0</v>
      </c>
      <c r="J1280" s="3" t="s">
        <v>18</v>
      </c>
      <c r="K1280" s="5">
        <v>0.06</v>
      </c>
      <c r="L1280" s="6">
        <v>4690654019327</v>
      </c>
      <c r="M1280" s="7" t="s">
        <v>2726</v>
      </c>
      <c r="N1280" s="8">
        <f>VLOOKUP(B1280,'[1]новый без картинок'!$A$5:$F$2672,6,0)</f>
        <v>454</v>
      </c>
    </row>
    <row r="1281" spans="1:14" ht="151.15" customHeight="1" x14ac:dyDescent="0.2">
      <c r="A1281" s="3">
        <v>1279</v>
      </c>
      <c r="B1281" s="3">
        <v>149486</v>
      </c>
      <c r="C1281" s="4" t="str">
        <f>HYPERLINK("http://optservis.net:5080/photo?tov_code_internet=149486","Увеличить")</f>
        <v>Увеличить</v>
      </c>
      <c r="D1281" s="3" t="s">
        <v>2727</v>
      </c>
      <c r="E1281" s="3"/>
      <c r="F1281" s="3" t="s">
        <v>2728</v>
      </c>
      <c r="G1281" s="3" t="s">
        <v>373</v>
      </c>
      <c r="H1281" s="3">
        <v>0.5</v>
      </c>
      <c r="I1281" s="3">
        <v>0</v>
      </c>
      <c r="J1281" s="3" t="s">
        <v>18</v>
      </c>
      <c r="K1281" s="5">
        <v>0.1</v>
      </c>
      <c r="L1281" s="6">
        <v>0</v>
      </c>
      <c r="M1281" s="7" t="s">
        <v>2729</v>
      </c>
      <c r="N1281" s="8">
        <f>VLOOKUP(B1281,'[1]новый без картинок'!$A$5:$F$2672,6,0)</f>
        <v>182</v>
      </c>
    </row>
    <row r="1282" spans="1:14" ht="151.15" customHeight="1" x14ac:dyDescent="0.2">
      <c r="A1282" s="3">
        <v>1280</v>
      </c>
      <c r="B1282" s="3">
        <v>149487</v>
      </c>
      <c r="C1282" s="4" t="str">
        <f>HYPERLINK("http://optservis.net:5080/photo?tov_code_internet=149487","Увеличить")</f>
        <v>Увеличить</v>
      </c>
      <c r="D1282" s="3" t="s">
        <v>2727</v>
      </c>
      <c r="E1282" s="3" t="s">
        <v>2730</v>
      </c>
      <c r="F1282" s="3" t="s">
        <v>2731</v>
      </c>
      <c r="G1282" s="3" t="s">
        <v>373</v>
      </c>
      <c r="H1282" s="3">
        <v>0.5</v>
      </c>
      <c r="I1282" s="3">
        <v>0</v>
      </c>
      <c r="J1282" s="3" t="s">
        <v>18</v>
      </c>
      <c r="K1282" s="5">
        <v>0.1</v>
      </c>
      <c r="L1282" s="6">
        <v>4690654013424</v>
      </c>
      <c r="M1282" s="7" t="s">
        <v>2729</v>
      </c>
      <c r="N1282" s="8">
        <f>VLOOKUP(B1282,'[1]новый без картинок'!$A$5:$F$2672,6,0)</f>
        <v>172</v>
      </c>
    </row>
    <row r="1283" spans="1:14" ht="151.15" customHeight="1" x14ac:dyDescent="0.2">
      <c r="A1283" s="3">
        <v>1281</v>
      </c>
      <c r="B1283" s="3">
        <v>149594</v>
      </c>
      <c r="C1283" s="4" t="str">
        <f>HYPERLINK("http://optservis.net:5080/photo?tov_code_internet=149594","Увеличить")</f>
        <v>Увеличить</v>
      </c>
      <c r="D1283" s="3" t="s">
        <v>2732</v>
      </c>
      <c r="E1283" s="3"/>
      <c r="F1283" s="3" t="s">
        <v>2733</v>
      </c>
      <c r="G1283" s="3" t="s">
        <v>1429</v>
      </c>
      <c r="H1283" s="3">
        <v>0.5</v>
      </c>
      <c r="I1283" s="3">
        <v>0</v>
      </c>
      <c r="J1283" s="3" t="s">
        <v>18</v>
      </c>
      <c r="K1283" s="5">
        <v>0.03</v>
      </c>
      <c r="L1283" s="6">
        <v>0</v>
      </c>
      <c r="M1283" s="7" t="s">
        <v>2734</v>
      </c>
      <c r="N1283" s="8">
        <f>VLOOKUP(B1283,'[1]новый без картинок'!$A$5:$F$2672,6,0)</f>
        <v>402</v>
      </c>
    </row>
    <row r="1284" spans="1:14" ht="151.15" customHeight="1" x14ac:dyDescent="0.2">
      <c r="A1284" s="3">
        <v>1282</v>
      </c>
      <c r="B1284" s="3">
        <v>149595</v>
      </c>
      <c r="C1284" s="4" t="str">
        <f>HYPERLINK("http://optservis.net:5080/photo?tov_code_internet=149595","Увеличить")</f>
        <v>Увеличить</v>
      </c>
      <c r="D1284" s="3" t="s">
        <v>2732</v>
      </c>
      <c r="E1284" s="3"/>
      <c r="F1284" s="3" t="s">
        <v>2735</v>
      </c>
      <c r="G1284" s="3" t="s">
        <v>1429</v>
      </c>
      <c r="H1284" s="3">
        <v>0.5</v>
      </c>
      <c r="I1284" s="3">
        <v>0</v>
      </c>
      <c r="J1284" s="3" t="s">
        <v>18</v>
      </c>
      <c r="K1284" s="5">
        <v>0.03</v>
      </c>
      <c r="L1284" s="6">
        <v>0</v>
      </c>
      <c r="M1284" s="7" t="s">
        <v>2736</v>
      </c>
      <c r="N1284" s="8">
        <f>VLOOKUP(B1284,'[1]новый без картинок'!$A$5:$F$2672,6,0)</f>
        <v>519</v>
      </c>
    </row>
    <row r="1285" spans="1:14" ht="151.15" customHeight="1" x14ac:dyDescent="0.2">
      <c r="A1285" s="3">
        <v>1283</v>
      </c>
      <c r="B1285" s="3">
        <v>149596</v>
      </c>
      <c r="C1285" s="4" t="str">
        <f>HYPERLINK("http://optservis.net:5080/photo?tov_code_internet=149596","Увеличить")</f>
        <v>Увеличить</v>
      </c>
      <c r="D1285" s="3" t="s">
        <v>2737</v>
      </c>
      <c r="E1285" s="3"/>
      <c r="F1285" s="3" t="s">
        <v>2738</v>
      </c>
      <c r="G1285" s="3" t="s">
        <v>1697</v>
      </c>
      <c r="H1285" s="3">
        <v>0.5</v>
      </c>
      <c r="I1285" s="3">
        <v>0</v>
      </c>
      <c r="J1285" s="3" t="s">
        <v>18</v>
      </c>
      <c r="K1285" s="5">
        <v>0.02</v>
      </c>
      <c r="L1285" s="6">
        <v>0</v>
      </c>
      <c r="M1285" s="7" t="s">
        <v>2739</v>
      </c>
      <c r="N1285" s="8">
        <f>VLOOKUP(B1285,'[1]новый без картинок'!$A$5:$F$2672,6,0)</f>
        <v>384</v>
      </c>
    </row>
    <row r="1286" spans="1:14" ht="151.15" customHeight="1" x14ac:dyDescent="0.2">
      <c r="A1286" s="3">
        <v>1284</v>
      </c>
      <c r="B1286" s="3">
        <v>149606</v>
      </c>
      <c r="C1286" s="4" t="str">
        <f>HYPERLINK("http://optservis.net:5080/photo?tov_code_internet=149606","Увеличить")</f>
        <v>Увеличить</v>
      </c>
      <c r="D1286" s="3" t="s">
        <v>2737</v>
      </c>
      <c r="E1286" s="3"/>
      <c r="F1286" s="3" t="s">
        <v>2740</v>
      </c>
      <c r="G1286" s="3" t="s">
        <v>1697</v>
      </c>
      <c r="H1286" s="3">
        <v>0.5</v>
      </c>
      <c r="I1286" s="3">
        <v>0</v>
      </c>
      <c r="J1286" s="3" t="s">
        <v>18</v>
      </c>
      <c r="K1286" s="5">
        <v>0.02</v>
      </c>
      <c r="L1286" s="6">
        <v>0</v>
      </c>
      <c r="M1286" s="7" t="s">
        <v>2739</v>
      </c>
      <c r="N1286" s="8">
        <f>VLOOKUP(B1286,'[1]новый без картинок'!$A$5:$F$2672,6,0)</f>
        <v>390</v>
      </c>
    </row>
    <row r="1287" spans="1:14" ht="151.15" customHeight="1" x14ac:dyDescent="0.2">
      <c r="A1287" s="3">
        <v>1285</v>
      </c>
      <c r="B1287" s="3">
        <v>168504</v>
      </c>
      <c r="C1287" s="4" t="str">
        <f>HYPERLINK("http://optservis.net:5080/photo?tov_code_internet=168504","Увеличить")</f>
        <v>Увеличить</v>
      </c>
      <c r="D1287" s="3" t="s">
        <v>2741</v>
      </c>
      <c r="E1287" s="3"/>
      <c r="F1287" s="3" t="s">
        <v>2742</v>
      </c>
      <c r="G1287" s="3" t="s">
        <v>1697</v>
      </c>
      <c r="H1287" s="3">
        <v>0.5</v>
      </c>
      <c r="I1287" s="3">
        <v>0</v>
      </c>
      <c r="J1287" s="3" t="s">
        <v>18</v>
      </c>
      <c r="K1287" s="5">
        <v>0.03</v>
      </c>
      <c r="L1287" s="6">
        <v>0</v>
      </c>
      <c r="M1287" s="7" t="s">
        <v>2743</v>
      </c>
      <c r="N1287" s="8">
        <f>VLOOKUP(B1287,'[1]новый без картинок'!$A$5:$F$2672,6,0)</f>
        <v>493</v>
      </c>
    </row>
    <row r="1288" spans="1:14" ht="151.15" customHeight="1" x14ac:dyDescent="0.2">
      <c r="A1288" s="3">
        <v>1286</v>
      </c>
      <c r="B1288" s="3">
        <v>149485</v>
      </c>
      <c r="C1288" s="4" t="str">
        <f>HYPERLINK("http://optservis.net:5080/photo?tov_code_internet=149485","Увеличить")</f>
        <v>Увеличить</v>
      </c>
      <c r="D1288" s="3" t="s">
        <v>2744</v>
      </c>
      <c r="E1288" s="3"/>
      <c r="F1288" s="3" t="s">
        <v>2745</v>
      </c>
      <c r="G1288" s="3" t="s">
        <v>1697</v>
      </c>
      <c r="H1288" s="3">
        <v>0.5</v>
      </c>
      <c r="I1288" s="3">
        <v>0</v>
      </c>
      <c r="J1288" s="3" t="s">
        <v>18</v>
      </c>
      <c r="K1288" s="5">
        <v>0.04</v>
      </c>
      <c r="L1288" s="6">
        <v>0</v>
      </c>
      <c r="M1288" s="7" t="s">
        <v>2746</v>
      </c>
      <c r="N1288" s="8">
        <f>VLOOKUP(B1288,'[1]новый без картинок'!$A$5:$F$2672,6,0)</f>
        <v>393</v>
      </c>
    </row>
    <row r="1289" spans="1:14" ht="151.15" customHeight="1" x14ac:dyDescent="0.2">
      <c r="A1289" s="3">
        <v>1287</v>
      </c>
      <c r="B1289" s="3">
        <v>168503</v>
      </c>
      <c r="C1289" s="4" t="str">
        <f>HYPERLINK("http://optservis.net:5080/photo?tov_code_internet=168503","Увеличить")</f>
        <v>Увеличить</v>
      </c>
      <c r="D1289" s="3" t="s">
        <v>2744</v>
      </c>
      <c r="E1289" s="3"/>
      <c r="F1289" s="3" t="s">
        <v>2747</v>
      </c>
      <c r="G1289" s="3" t="s">
        <v>1697</v>
      </c>
      <c r="H1289" s="3">
        <v>0.5</v>
      </c>
      <c r="I1289" s="3">
        <v>0</v>
      </c>
      <c r="J1289" s="3" t="s">
        <v>18</v>
      </c>
      <c r="K1289" s="5">
        <v>0.04</v>
      </c>
      <c r="L1289" s="6">
        <v>0</v>
      </c>
      <c r="M1289" s="7" t="s">
        <v>2746</v>
      </c>
      <c r="N1289" s="8">
        <f>VLOOKUP(B1289,'[1]новый без картинок'!$A$5:$F$2672,6,0)</f>
        <v>393</v>
      </c>
    </row>
    <row r="1290" spans="1:14" ht="151.15" customHeight="1" x14ac:dyDescent="0.2">
      <c r="A1290" s="3">
        <v>1288</v>
      </c>
      <c r="B1290" s="3">
        <v>168731</v>
      </c>
      <c r="C1290" s="4" t="str">
        <f>HYPERLINK("http://optservis.net:5080/photo?tov_code_internet=168731","Увеличить")</f>
        <v>Увеличить</v>
      </c>
      <c r="D1290" s="3" t="s">
        <v>2748</v>
      </c>
      <c r="E1290" s="3" t="s">
        <v>2749</v>
      </c>
      <c r="F1290" s="3" t="s">
        <v>1566</v>
      </c>
      <c r="G1290" s="3" t="s">
        <v>430</v>
      </c>
      <c r="H1290" s="3">
        <v>0.5</v>
      </c>
      <c r="I1290" s="3">
        <v>0</v>
      </c>
      <c r="J1290" s="3" t="s">
        <v>18</v>
      </c>
      <c r="K1290" s="5">
        <v>0.11</v>
      </c>
      <c r="L1290" s="6">
        <v>4690654010690</v>
      </c>
      <c r="M1290" s="7" t="s">
        <v>2750</v>
      </c>
      <c r="N1290" s="8">
        <f>VLOOKUP(B1290,'[1]новый без картинок'!$A$5:$F$2672,6,0)</f>
        <v>239</v>
      </c>
    </row>
    <row r="1291" spans="1:14" ht="151.15" customHeight="1" x14ac:dyDescent="0.2">
      <c r="A1291" s="3">
        <v>1289</v>
      </c>
      <c r="B1291" s="3">
        <v>165600</v>
      </c>
      <c r="C1291" s="4" t="str">
        <f>HYPERLINK("http://optservis.net:5080/photo?tov_code_internet=165600","Увеличить")</f>
        <v>Увеличить</v>
      </c>
      <c r="D1291" s="3" t="s">
        <v>2751</v>
      </c>
      <c r="E1291" s="3" t="s">
        <v>2752</v>
      </c>
      <c r="F1291" s="3" t="s">
        <v>2753</v>
      </c>
      <c r="G1291" s="3" t="s">
        <v>1479</v>
      </c>
      <c r="H1291" s="3">
        <v>0.5</v>
      </c>
      <c r="I1291" s="3">
        <v>0</v>
      </c>
      <c r="J1291" s="3" t="s">
        <v>18</v>
      </c>
      <c r="K1291" s="5">
        <v>0.05</v>
      </c>
      <c r="L1291" s="6">
        <v>4690654013363</v>
      </c>
      <c r="M1291" s="7" t="s">
        <v>2754</v>
      </c>
      <c r="N1291" s="8">
        <f>VLOOKUP(B1291,'[1]новый без картинок'!$A$5:$F$2672,6,0)</f>
        <v>538</v>
      </c>
    </row>
    <row r="1292" spans="1:14" ht="151.15" customHeight="1" x14ac:dyDescent="0.2">
      <c r="A1292" s="3">
        <v>1290</v>
      </c>
      <c r="B1292" s="3">
        <v>174249</v>
      </c>
      <c r="C1292" s="4" t="str">
        <f>HYPERLINK("http://optservis.net:5080/photo?tov_code_internet=174249","Увеличить")</f>
        <v>Увеличить</v>
      </c>
      <c r="D1292" s="3" t="s">
        <v>2755</v>
      </c>
      <c r="E1292" s="3"/>
      <c r="F1292" s="3" t="s">
        <v>2756</v>
      </c>
      <c r="G1292" s="3" t="s">
        <v>1479</v>
      </c>
      <c r="H1292" s="3">
        <v>0.5</v>
      </c>
      <c r="I1292" s="3">
        <v>0</v>
      </c>
      <c r="J1292" s="3" t="s">
        <v>18</v>
      </c>
      <c r="K1292" s="5">
        <v>7.0000000000000007E-2</v>
      </c>
      <c r="L1292" s="6">
        <v>0</v>
      </c>
      <c r="M1292" s="7" t="s">
        <v>2757</v>
      </c>
      <c r="N1292" s="8">
        <f>VLOOKUP(B1292,'[1]новый без картинок'!$A$5:$F$2672,6,0)</f>
        <v>547</v>
      </c>
    </row>
    <row r="1293" spans="1:14" ht="164.65" customHeight="1" x14ac:dyDescent="0.2">
      <c r="A1293" s="3">
        <v>1291</v>
      </c>
      <c r="B1293" s="3">
        <v>152167</v>
      </c>
      <c r="C1293" s="4" t="str">
        <f>HYPERLINK("http://optservis.net:5080/photo?tov_code_internet=152167","Увеличить")</f>
        <v>Увеличить</v>
      </c>
      <c r="D1293" s="3" t="s">
        <v>2758</v>
      </c>
      <c r="E1293" s="3"/>
      <c r="F1293" s="3" t="s">
        <v>2759</v>
      </c>
      <c r="G1293" s="3" t="s">
        <v>373</v>
      </c>
      <c r="H1293" s="3">
        <v>0.5</v>
      </c>
      <c r="I1293" s="3">
        <v>0</v>
      </c>
      <c r="J1293" s="3" t="s">
        <v>18</v>
      </c>
      <c r="K1293" s="5">
        <v>0.11</v>
      </c>
      <c r="L1293" s="6">
        <v>0</v>
      </c>
      <c r="M1293" s="7" t="s">
        <v>2760</v>
      </c>
      <c r="N1293" s="8">
        <f>VLOOKUP(B1293,'[1]новый без картинок'!$A$5:$F$2672,6,0)</f>
        <v>199</v>
      </c>
    </row>
    <row r="1294" spans="1:14" ht="164.65" customHeight="1" x14ac:dyDescent="0.2">
      <c r="A1294" s="3">
        <v>1292</v>
      </c>
      <c r="B1294" s="3">
        <v>152172</v>
      </c>
      <c r="C1294" s="4" t="str">
        <f>HYPERLINK("http://optservis.net:5080/photo?tov_code_internet=152172","Увеличить")</f>
        <v>Увеличить</v>
      </c>
      <c r="D1294" s="3" t="s">
        <v>2761</v>
      </c>
      <c r="E1294" s="3"/>
      <c r="F1294" s="3" t="s">
        <v>2762</v>
      </c>
      <c r="G1294" s="3" t="s">
        <v>1429</v>
      </c>
      <c r="H1294" s="3">
        <v>0.5</v>
      </c>
      <c r="I1294" s="3">
        <v>0</v>
      </c>
      <c r="J1294" s="3" t="s">
        <v>18</v>
      </c>
      <c r="K1294" s="5">
        <v>0.04</v>
      </c>
      <c r="L1294" s="6">
        <v>0</v>
      </c>
      <c r="M1294" s="7" t="s">
        <v>2763</v>
      </c>
      <c r="N1294" s="8">
        <f>VLOOKUP(B1294,'[1]новый без картинок'!$A$5:$F$2672,6,0)</f>
        <v>391</v>
      </c>
    </row>
    <row r="1295" spans="1:14" ht="164.65" customHeight="1" x14ac:dyDescent="0.2">
      <c r="A1295" s="3">
        <v>1293</v>
      </c>
      <c r="B1295" s="3">
        <v>152173</v>
      </c>
      <c r="C1295" s="4" t="str">
        <f>HYPERLINK("http://optservis.net:5080/photo?tov_code_internet=152173","Увеличить")</f>
        <v>Увеличить</v>
      </c>
      <c r="D1295" s="3" t="s">
        <v>2764</v>
      </c>
      <c r="E1295" s="3"/>
      <c r="F1295" s="3" t="s">
        <v>1696</v>
      </c>
      <c r="G1295" s="3" t="s">
        <v>1697</v>
      </c>
      <c r="H1295" s="3">
        <v>0.5</v>
      </c>
      <c r="I1295" s="3">
        <v>0</v>
      </c>
      <c r="J1295" s="3" t="s">
        <v>18</v>
      </c>
      <c r="K1295" s="5">
        <v>0.03</v>
      </c>
      <c r="L1295" s="6">
        <v>0</v>
      </c>
      <c r="M1295" s="7" t="s">
        <v>2765</v>
      </c>
      <c r="N1295" s="8">
        <f>VLOOKUP(B1295,'[1]новый без картинок'!$A$5:$F$2672,6,0)</f>
        <v>417</v>
      </c>
    </row>
    <row r="1296" spans="1:14" ht="151.15" customHeight="1" x14ac:dyDescent="0.2">
      <c r="A1296" s="3">
        <v>1294</v>
      </c>
      <c r="B1296" s="3">
        <v>169223</v>
      </c>
      <c r="C1296" s="4" t="str">
        <f>HYPERLINK("http://optservis.net:5080/photo?tov_code_internet=169223","Увеличить")</f>
        <v>Увеличить</v>
      </c>
      <c r="D1296" s="3" t="s">
        <v>2766</v>
      </c>
      <c r="E1296" s="3" t="s">
        <v>2767</v>
      </c>
      <c r="F1296" s="3" t="s">
        <v>1338</v>
      </c>
      <c r="G1296" s="3" t="s">
        <v>430</v>
      </c>
      <c r="H1296" s="3">
        <v>0.5</v>
      </c>
      <c r="I1296" s="3">
        <v>0</v>
      </c>
      <c r="J1296" s="3" t="s">
        <v>18</v>
      </c>
      <c r="K1296" s="5">
        <v>0.22</v>
      </c>
      <c r="L1296" s="6">
        <v>4690654012533</v>
      </c>
      <c r="M1296" s="7" t="s">
        <v>2768</v>
      </c>
      <c r="N1296" s="8">
        <f>VLOOKUP(B1296,'[1]новый без картинок'!$A$5:$F$2672,6,0)</f>
        <v>417</v>
      </c>
    </row>
    <row r="1297" spans="1:14" ht="151.15" customHeight="1" x14ac:dyDescent="0.2">
      <c r="A1297" s="3">
        <v>1295</v>
      </c>
      <c r="B1297" s="3">
        <v>206789</v>
      </c>
      <c r="C1297" s="4" t="str">
        <f>HYPERLINK("http://optservis.net:5080/photo?tov_code_internet=206789","Увеличить")</f>
        <v>Увеличить</v>
      </c>
      <c r="D1297" s="3" t="s">
        <v>2769</v>
      </c>
      <c r="E1297" s="3"/>
      <c r="F1297" s="3" t="s">
        <v>2770</v>
      </c>
      <c r="G1297" s="3" t="s">
        <v>430</v>
      </c>
      <c r="H1297" s="3">
        <v>0.5</v>
      </c>
      <c r="I1297" s="3">
        <v>0</v>
      </c>
      <c r="J1297" s="3" t="s">
        <v>18</v>
      </c>
      <c r="K1297" s="5">
        <v>0.11</v>
      </c>
      <c r="L1297" s="6">
        <v>0</v>
      </c>
      <c r="M1297" s="7" t="s">
        <v>2771</v>
      </c>
      <c r="N1297" s="8">
        <f>VLOOKUP(B1297,'[1]новый без картинок'!$A$5:$F$2672,6,0)</f>
        <v>1076</v>
      </c>
    </row>
    <row r="1298" spans="1:14" ht="151.15" customHeight="1" x14ac:dyDescent="0.2">
      <c r="A1298" s="3">
        <v>1296</v>
      </c>
      <c r="B1298" s="3">
        <v>211087</v>
      </c>
      <c r="C1298" s="4" t="str">
        <f>HYPERLINK("http://optservis.net:5080/photo?tov_code_internet=211087","Увеличить")</f>
        <v>Увеличить</v>
      </c>
      <c r="D1298" s="3" t="s">
        <v>2772</v>
      </c>
      <c r="E1298" s="3"/>
      <c r="F1298" s="3" t="s">
        <v>1874</v>
      </c>
      <c r="G1298" s="3" t="s">
        <v>430</v>
      </c>
      <c r="H1298" s="3">
        <v>0.5</v>
      </c>
      <c r="I1298" s="3">
        <v>0</v>
      </c>
      <c r="J1298" s="3" t="s">
        <v>18</v>
      </c>
      <c r="K1298" s="5">
        <v>7.0000000000000007E-2</v>
      </c>
      <c r="L1298" s="6">
        <v>0</v>
      </c>
      <c r="M1298" s="7" t="s">
        <v>2773</v>
      </c>
      <c r="N1298" s="8">
        <f>VLOOKUP(B1298,'[1]новый без картинок'!$A$5:$F$2672,6,0)</f>
        <v>451</v>
      </c>
    </row>
    <row r="1299" spans="1:14" ht="151.15" customHeight="1" x14ac:dyDescent="0.2">
      <c r="A1299" s="3">
        <v>1297</v>
      </c>
      <c r="B1299" s="3">
        <v>211198</v>
      </c>
      <c r="C1299" s="4" t="str">
        <f>HYPERLINK("http://optservis.net:5080/photo?tov_code_internet=211198","Увеличить")</f>
        <v>Увеличить</v>
      </c>
      <c r="D1299" s="3" t="s">
        <v>2772</v>
      </c>
      <c r="E1299" s="3"/>
      <c r="F1299" s="3" t="s">
        <v>1904</v>
      </c>
      <c r="G1299" s="3" t="s">
        <v>430</v>
      </c>
      <c r="H1299" s="3">
        <v>0.5</v>
      </c>
      <c r="I1299" s="3">
        <v>0</v>
      </c>
      <c r="J1299" s="3" t="s">
        <v>18</v>
      </c>
      <c r="K1299" s="5">
        <v>7.0000000000000007E-2</v>
      </c>
      <c r="L1299" s="6">
        <v>0</v>
      </c>
      <c r="M1299" s="7" t="s">
        <v>2774</v>
      </c>
      <c r="N1299" s="8">
        <f>VLOOKUP(B1299,'[1]новый без картинок'!$A$5:$F$2672,6,0)</f>
        <v>454</v>
      </c>
    </row>
    <row r="1300" spans="1:14" ht="151.15" customHeight="1" x14ac:dyDescent="0.2">
      <c r="A1300" s="3">
        <v>1298</v>
      </c>
      <c r="B1300" s="3">
        <v>206785</v>
      </c>
      <c r="C1300" s="4" t="str">
        <f>HYPERLINK("http://optservis.net:5080/photo?tov_code_internet=206785","Увеличить")</f>
        <v>Увеличить</v>
      </c>
      <c r="D1300" s="3" t="s">
        <v>2775</v>
      </c>
      <c r="E1300" s="3"/>
      <c r="F1300" s="3" t="s">
        <v>1874</v>
      </c>
      <c r="G1300" s="3" t="s">
        <v>430</v>
      </c>
      <c r="H1300" s="3">
        <v>0.5</v>
      </c>
      <c r="I1300" s="3">
        <v>0</v>
      </c>
      <c r="J1300" s="3" t="s">
        <v>18</v>
      </c>
      <c r="K1300" s="5">
        <v>0.15</v>
      </c>
      <c r="L1300" s="6">
        <v>0</v>
      </c>
      <c r="M1300" s="7" t="s">
        <v>1875</v>
      </c>
      <c r="N1300" s="8">
        <f>VLOOKUP(B1300,'[1]новый без картинок'!$A$5:$F$2672,6,0)</f>
        <v>416</v>
      </c>
    </row>
    <row r="1301" spans="1:14" ht="151.15" customHeight="1" x14ac:dyDescent="0.2">
      <c r="A1301" s="3">
        <v>1299</v>
      </c>
      <c r="B1301" s="3">
        <v>206787</v>
      </c>
      <c r="C1301" s="4" t="str">
        <f>HYPERLINK("http://optservis.net:5080/photo?tov_code_internet=206787","Увеличить")</f>
        <v>Увеличить</v>
      </c>
      <c r="D1301" s="3" t="s">
        <v>2776</v>
      </c>
      <c r="E1301" s="3"/>
      <c r="F1301" s="3" t="s">
        <v>2777</v>
      </c>
      <c r="G1301" s="3" t="s">
        <v>1469</v>
      </c>
      <c r="H1301" s="3">
        <v>0.5</v>
      </c>
      <c r="I1301" s="3">
        <v>0</v>
      </c>
      <c r="J1301" s="3" t="s">
        <v>18</v>
      </c>
      <c r="K1301" s="5">
        <v>0.08</v>
      </c>
      <c r="L1301" s="6">
        <v>0</v>
      </c>
      <c r="M1301" s="7" t="s">
        <v>2778</v>
      </c>
      <c r="N1301" s="8">
        <f>VLOOKUP(B1301,'[1]новый без картинок'!$A$5:$F$2672,6,0)</f>
        <v>608</v>
      </c>
    </row>
    <row r="1302" spans="1:14" ht="151.15" customHeight="1" x14ac:dyDescent="0.2">
      <c r="A1302" s="3">
        <v>1300</v>
      </c>
      <c r="B1302" s="3">
        <v>206786</v>
      </c>
      <c r="C1302" s="4" t="str">
        <f>HYPERLINK("http://optservis.net:5080/photo?tov_code_internet=206786","Увеличить")</f>
        <v>Увеличить</v>
      </c>
      <c r="D1302" s="3" t="s">
        <v>2776</v>
      </c>
      <c r="E1302" s="3"/>
      <c r="F1302" s="3" t="s">
        <v>1896</v>
      </c>
      <c r="G1302" s="3" t="s">
        <v>1469</v>
      </c>
      <c r="H1302" s="3">
        <v>0.5</v>
      </c>
      <c r="I1302" s="3">
        <v>0</v>
      </c>
      <c r="J1302" s="3" t="s">
        <v>18</v>
      </c>
      <c r="K1302" s="5">
        <v>0.08</v>
      </c>
      <c r="L1302" s="6">
        <v>0</v>
      </c>
      <c r="M1302" s="7" t="s">
        <v>2778</v>
      </c>
      <c r="N1302" s="8">
        <f>VLOOKUP(B1302,'[1]новый без картинок'!$A$5:$F$2672,6,0)</f>
        <v>615</v>
      </c>
    </row>
    <row r="1303" spans="1:14" ht="151.15" customHeight="1" x14ac:dyDescent="0.2">
      <c r="A1303" s="3">
        <v>1301</v>
      </c>
      <c r="B1303" s="3">
        <v>206790</v>
      </c>
      <c r="C1303" s="4" t="str">
        <f>HYPERLINK("http://optservis.net:5080/photo?tov_code_internet=206790","Увеличить")</f>
        <v>Увеличить</v>
      </c>
      <c r="D1303" s="3" t="s">
        <v>2779</v>
      </c>
      <c r="E1303" s="3"/>
      <c r="F1303" s="3" t="s">
        <v>2780</v>
      </c>
      <c r="G1303" s="3" t="s">
        <v>430</v>
      </c>
      <c r="H1303" s="3">
        <v>0.5</v>
      </c>
      <c r="I1303" s="3">
        <v>0</v>
      </c>
      <c r="J1303" s="3" t="s">
        <v>18</v>
      </c>
      <c r="K1303" s="5">
        <v>0.23</v>
      </c>
      <c r="L1303" s="6">
        <v>0</v>
      </c>
      <c r="M1303" s="7" t="s">
        <v>1875</v>
      </c>
      <c r="N1303" s="8">
        <f>VLOOKUP(B1303,'[1]новый без картинок'!$A$5:$F$2672,6,0)</f>
        <v>504</v>
      </c>
    </row>
    <row r="1304" spans="1:14" ht="151.15" customHeight="1" x14ac:dyDescent="0.2">
      <c r="A1304" s="3">
        <v>1302</v>
      </c>
      <c r="B1304" s="3">
        <v>206784</v>
      </c>
      <c r="C1304" s="4" t="str">
        <f>HYPERLINK("http://optservis.net:5080/photo?tov_code_internet=206784","Увеличить")</f>
        <v>Увеличить</v>
      </c>
      <c r="D1304" s="3" t="s">
        <v>2781</v>
      </c>
      <c r="E1304" s="3"/>
      <c r="F1304" s="3" t="s">
        <v>1901</v>
      </c>
      <c r="G1304" s="3" t="s">
        <v>1479</v>
      </c>
      <c r="H1304" s="3">
        <v>0.5</v>
      </c>
      <c r="I1304" s="3">
        <v>0</v>
      </c>
      <c r="J1304" s="3" t="s">
        <v>18</v>
      </c>
      <c r="K1304" s="5">
        <v>7.0000000000000007E-2</v>
      </c>
      <c r="L1304" s="6">
        <v>0</v>
      </c>
      <c r="M1304" s="7" t="s">
        <v>2782</v>
      </c>
      <c r="N1304" s="8">
        <f>VLOOKUP(B1304,'[1]новый без картинок'!$A$5:$F$2672,6,0)</f>
        <v>634</v>
      </c>
    </row>
    <row r="1305" spans="1:14" ht="151.15" customHeight="1" x14ac:dyDescent="0.2">
      <c r="A1305" s="3">
        <v>1303</v>
      </c>
      <c r="B1305" s="3">
        <v>206792</v>
      </c>
      <c r="C1305" s="4" t="str">
        <f>HYPERLINK("http://optservis.net:5080/photo?tov_code_internet=206792","Увеличить")</f>
        <v>Увеличить</v>
      </c>
      <c r="D1305" s="3" t="s">
        <v>2783</v>
      </c>
      <c r="E1305" s="3"/>
      <c r="F1305" s="3" t="s">
        <v>2784</v>
      </c>
      <c r="G1305" s="3" t="s">
        <v>1479</v>
      </c>
      <c r="H1305" s="3">
        <v>0.5</v>
      </c>
      <c r="I1305" s="3">
        <v>0</v>
      </c>
      <c r="J1305" s="3" t="s">
        <v>18</v>
      </c>
      <c r="K1305" s="5">
        <v>0.08</v>
      </c>
      <c r="L1305" s="6">
        <v>0</v>
      </c>
      <c r="M1305" s="7" t="s">
        <v>2785</v>
      </c>
      <c r="N1305" s="8">
        <f>VLOOKUP(B1305,'[1]новый без картинок'!$A$5:$F$2672,6,0)</f>
        <v>759</v>
      </c>
    </row>
    <row r="1306" spans="1:14" ht="151.15" customHeight="1" x14ac:dyDescent="0.2">
      <c r="A1306" s="3">
        <v>1304</v>
      </c>
      <c r="B1306" s="3">
        <v>206782</v>
      </c>
      <c r="C1306" s="4" t="str">
        <f>HYPERLINK("http://optservis.net:5080/photo?tov_code_internet=206782","Увеличить")</f>
        <v>Увеличить</v>
      </c>
      <c r="D1306" s="3" t="s">
        <v>2786</v>
      </c>
      <c r="E1306" s="3"/>
      <c r="F1306" s="3" t="s">
        <v>2787</v>
      </c>
      <c r="G1306" s="3" t="s">
        <v>1479</v>
      </c>
      <c r="H1306" s="3">
        <v>0.5</v>
      </c>
      <c r="I1306" s="3">
        <v>0</v>
      </c>
      <c r="J1306" s="3" t="s">
        <v>18</v>
      </c>
      <c r="K1306" s="5">
        <v>0.09</v>
      </c>
      <c r="L1306" s="6">
        <v>0</v>
      </c>
      <c r="M1306" s="7" t="s">
        <v>2788</v>
      </c>
      <c r="N1306" s="8">
        <f>VLOOKUP(B1306,'[1]новый без картинок'!$A$5:$F$2672,6,0)</f>
        <v>637</v>
      </c>
    </row>
    <row r="1307" spans="1:14" ht="151.15" customHeight="1" x14ac:dyDescent="0.2">
      <c r="A1307" s="3">
        <v>1305</v>
      </c>
      <c r="B1307" s="3">
        <v>206392</v>
      </c>
      <c r="C1307" s="4" t="str">
        <f>HYPERLINK("http://optservis.net:5080/photo?tov_code_internet=206392","Увеличить")</f>
        <v>Увеличить</v>
      </c>
      <c r="D1307" s="3" t="s">
        <v>2789</v>
      </c>
      <c r="E1307" s="3"/>
      <c r="F1307" s="3" t="s">
        <v>2790</v>
      </c>
      <c r="G1307" s="3" t="s">
        <v>1101</v>
      </c>
      <c r="H1307" s="3">
        <v>0.5</v>
      </c>
      <c r="I1307" s="3">
        <v>0</v>
      </c>
      <c r="J1307" s="3" t="s">
        <v>18</v>
      </c>
      <c r="K1307" s="5">
        <v>0.11</v>
      </c>
      <c r="L1307" s="6">
        <v>0</v>
      </c>
      <c r="M1307" s="7" t="s">
        <v>2791</v>
      </c>
      <c r="N1307" s="8">
        <f>VLOOKUP(B1307,'[1]новый без картинок'!$A$5:$F$2672,6,0)</f>
        <v>1032</v>
      </c>
    </row>
    <row r="1308" spans="1:14" ht="151.15" customHeight="1" x14ac:dyDescent="0.2">
      <c r="A1308" s="3">
        <v>1306</v>
      </c>
      <c r="B1308" s="3">
        <v>206746</v>
      </c>
      <c r="C1308" s="4" t="str">
        <f>HYPERLINK("http://optservis.net:5080/photo?tov_code_internet=206746","Увеличить")</f>
        <v>Увеличить</v>
      </c>
      <c r="D1308" s="3" t="s">
        <v>2789</v>
      </c>
      <c r="E1308" s="3"/>
      <c r="F1308" s="3" t="s">
        <v>2792</v>
      </c>
      <c r="G1308" s="3" t="s">
        <v>430</v>
      </c>
      <c r="H1308" s="3">
        <v>0.5</v>
      </c>
      <c r="I1308" s="3">
        <v>0</v>
      </c>
      <c r="J1308" s="3" t="s">
        <v>18</v>
      </c>
      <c r="K1308" s="5">
        <v>0.11</v>
      </c>
      <c r="L1308" s="6">
        <v>0</v>
      </c>
      <c r="M1308" s="7" t="s">
        <v>2771</v>
      </c>
      <c r="N1308" s="8">
        <f>VLOOKUP(B1308,'[1]новый без картинок'!$A$5:$F$2672,6,0)</f>
        <v>1026</v>
      </c>
    </row>
    <row r="1309" spans="1:14" ht="151.15" customHeight="1" x14ac:dyDescent="0.2">
      <c r="A1309" s="3">
        <v>1307</v>
      </c>
      <c r="B1309" s="3">
        <v>211089</v>
      </c>
      <c r="C1309" s="4" t="str">
        <f>HYPERLINK("http://optservis.net:5080/photo?tov_code_internet=211089","Увеличить")</f>
        <v>Увеличить</v>
      </c>
      <c r="D1309" s="3" t="s">
        <v>2793</v>
      </c>
      <c r="E1309" s="3"/>
      <c r="F1309" s="3" t="s">
        <v>1909</v>
      </c>
      <c r="G1309" s="3" t="s">
        <v>1101</v>
      </c>
      <c r="H1309" s="3">
        <v>0.5</v>
      </c>
      <c r="I1309" s="3">
        <v>0</v>
      </c>
      <c r="J1309" s="3" t="s">
        <v>18</v>
      </c>
      <c r="K1309" s="5">
        <v>7.0000000000000007E-2</v>
      </c>
      <c r="L1309" s="6">
        <v>0</v>
      </c>
      <c r="M1309" s="7" t="s">
        <v>2794</v>
      </c>
      <c r="N1309" s="8">
        <f>VLOOKUP(B1309,'[1]новый без картинок'!$A$5:$F$2672,6,0)</f>
        <v>407</v>
      </c>
    </row>
    <row r="1310" spans="1:14" ht="151.15" customHeight="1" x14ac:dyDescent="0.2">
      <c r="A1310" s="3">
        <v>1308</v>
      </c>
      <c r="B1310" s="3">
        <v>211196</v>
      </c>
      <c r="C1310" s="4" t="str">
        <f>HYPERLINK("http://optservis.net:5080/photo?tov_code_internet=211196","Увеличить")</f>
        <v>Увеличить</v>
      </c>
      <c r="D1310" s="3" t="s">
        <v>2793</v>
      </c>
      <c r="E1310" s="3"/>
      <c r="F1310" s="3" t="s">
        <v>1947</v>
      </c>
      <c r="G1310" s="3" t="s">
        <v>1101</v>
      </c>
      <c r="H1310" s="3">
        <v>0.5</v>
      </c>
      <c r="I1310" s="3">
        <v>0</v>
      </c>
      <c r="J1310" s="3" t="s">
        <v>18</v>
      </c>
      <c r="K1310" s="5">
        <v>7.0000000000000007E-2</v>
      </c>
      <c r="L1310" s="6">
        <v>0</v>
      </c>
      <c r="M1310" s="7" t="s">
        <v>2795</v>
      </c>
      <c r="N1310" s="8">
        <f>VLOOKUP(B1310,'[1]новый без картинок'!$A$5:$F$2672,6,0)</f>
        <v>410</v>
      </c>
    </row>
    <row r="1311" spans="1:14" ht="151.15" customHeight="1" x14ac:dyDescent="0.2">
      <c r="A1311" s="3">
        <v>1309</v>
      </c>
      <c r="B1311" s="3">
        <v>211197</v>
      </c>
      <c r="C1311" s="4" t="str">
        <f>HYPERLINK("http://optservis.net:5080/photo?tov_code_internet=211197","Увеличить")</f>
        <v>Увеличить</v>
      </c>
      <c r="D1311" s="3" t="s">
        <v>2793</v>
      </c>
      <c r="E1311" s="3"/>
      <c r="F1311" s="3" t="s">
        <v>2796</v>
      </c>
      <c r="G1311" s="3" t="s">
        <v>430</v>
      </c>
      <c r="H1311" s="3">
        <v>0.5</v>
      </c>
      <c r="I1311" s="3">
        <v>0</v>
      </c>
      <c r="J1311" s="3" t="s">
        <v>18</v>
      </c>
      <c r="K1311" s="5">
        <v>7.0000000000000007E-2</v>
      </c>
      <c r="L1311" s="6">
        <v>0</v>
      </c>
      <c r="M1311" s="7" t="s">
        <v>2774</v>
      </c>
      <c r="N1311" s="8">
        <f>VLOOKUP(B1311,'[1]новый без картинок'!$A$5:$F$2672,6,0)</f>
        <v>403</v>
      </c>
    </row>
    <row r="1312" spans="1:14" ht="151.15" customHeight="1" x14ac:dyDescent="0.2">
      <c r="A1312" s="3">
        <v>1310</v>
      </c>
      <c r="B1312" s="3">
        <v>211088</v>
      </c>
      <c r="C1312" s="4" t="str">
        <f>HYPERLINK("http://optservis.net:5080/photo?tov_code_internet=211088","Увеличить")</f>
        <v>Увеличить</v>
      </c>
      <c r="D1312" s="3" t="s">
        <v>2793</v>
      </c>
      <c r="E1312" s="3" t="s">
        <v>2797</v>
      </c>
      <c r="F1312" s="3" t="s">
        <v>1907</v>
      </c>
      <c r="G1312" s="3" t="s">
        <v>430</v>
      </c>
      <c r="H1312" s="3">
        <v>0.5</v>
      </c>
      <c r="I1312" s="3">
        <v>0</v>
      </c>
      <c r="J1312" s="3" t="s">
        <v>18</v>
      </c>
      <c r="K1312" s="5">
        <v>7.0000000000000007E-2</v>
      </c>
      <c r="L1312" s="6">
        <v>4690654020378</v>
      </c>
      <c r="M1312" s="7" t="s">
        <v>2773</v>
      </c>
      <c r="N1312" s="8">
        <f>VLOOKUP(B1312,'[1]новый без картинок'!$A$5:$F$2672,6,0)</f>
        <v>400</v>
      </c>
    </row>
    <row r="1313" spans="1:14" ht="151.15" customHeight="1" x14ac:dyDescent="0.2">
      <c r="A1313" s="3">
        <v>1311</v>
      </c>
      <c r="B1313" s="3">
        <v>206739</v>
      </c>
      <c r="C1313" s="4" t="str">
        <f>HYPERLINK("http://optservis.net:5080/photo?tov_code_internet=206739","Увеличить")</f>
        <v>Увеличить</v>
      </c>
      <c r="D1313" s="3" t="s">
        <v>2798</v>
      </c>
      <c r="E1313" s="3"/>
      <c r="F1313" s="3" t="s">
        <v>1929</v>
      </c>
      <c r="G1313" s="3" t="s">
        <v>430</v>
      </c>
      <c r="H1313" s="3">
        <v>0.5</v>
      </c>
      <c r="I1313" s="3">
        <v>0</v>
      </c>
      <c r="J1313" s="3" t="s">
        <v>18</v>
      </c>
      <c r="K1313" s="5">
        <v>0.15</v>
      </c>
      <c r="L1313" s="6">
        <v>0</v>
      </c>
      <c r="M1313" s="7" t="s">
        <v>1875</v>
      </c>
      <c r="N1313" s="8">
        <f>VLOOKUP(B1313,'[1]новый без картинок'!$A$5:$F$2672,6,0)</f>
        <v>376</v>
      </c>
    </row>
    <row r="1314" spans="1:14" ht="151.15" customHeight="1" x14ac:dyDescent="0.2">
      <c r="A1314" s="3">
        <v>1312</v>
      </c>
      <c r="B1314" s="3">
        <v>206740</v>
      </c>
      <c r="C1314" s="4" t="str">
        <f>HYPERLINK("http://optservis.net:5080/photo?tov_code_internet=206740","Увеличить")</f>
        <v>Увеличить</v>
      </c>
      <c r="D1314" s="3" t="s">
        <v>2798</v>
      </c>
      <c r="E1314" s="3"/>
      <c r="F1314" s="3" t="s">
        <v>1907</v>
      </c>
      <c r="G1314" s="3" t="s">
        <v>430</v>
      </c>
      <c r="H1314" s="3">
        <v>0.5</v>
      </c>
      <c r="I1314" s="3">
        <v>0</v>
      </c>
      <c r="J1314" s="3" t="s">
        <v>18</v>
      </c>
      <c r="K1314" s="5">
        <v>0.15</v>
      </c>
      <c r="L1314" s="6">
        <v>0</v>
      </c>
      <c r="M1314" s="7" t="s">
        <v>1875</v>
      </c>
      <c r="N1314" s="8">
        <f>VLOOKUP(B1314,'[1]новый без картинок'!$A$5:$F$2672,6,0)</f>
        <v>367</v>
      </c>
    </row>
    <row r="1315" spans="1:14" ht="151.15" customHeight="1" x14ac:dyDescent="0.2">
      <c r="A1315" s="3">
        <v>1313</v>
      </c>
      <c r="B1315" s="3">
        <v>206387</v>
      </c>
      <c r="C1315" s="4" t="str">
        <f>HYPERLINK("http://optservis.net:5080/photo?tov_code_internet=206387","Увеличить")</f>
        <v>Увеличить</v>
      </c>
      <c r="D1315" s="3" t="s">
        <v>2799</v>
      </c>
      <c r="E1315" s="3"/>
      <c r="F1315" s="3" t="s">
        <v>1936</v>
      </c>
      <c r="G1315" s="3" t="s">
        <v>1515</v>
      </c>
      <c r="H1315" s="3">
        <v>0.5</v>
      </c>
      <c r="I1315" s="3">
        <v>0</v>
      </c>
      <c r="J1315" s="3" t="s">
        <v>18</v>
      </c>
      <c r="K1315" s="5">
        <v>0.08</v>
      </c>
      <c r="L1315" s="6">
        <v>0</v>
      </c>
      <c r="M1315" s="7" t="s">
        <v>2800</v>
      </c>
      <c r="N1315" s="8">
        <f>VLOOKUP(B1315,'[1]новый без картинок'!$A$5:$F$2672,6,0)</f>
        <v>564</v>
      </c>
    </row>
    <row r="1316" spans="1:14" ht="151.15" customHeight="1" x14ac:dyDescent="0.2">
      <c r="A1316" s="3">
        <v>1314</v>
      </c>
      <c r="B1316" s="3">
        <v>206388</v>
      </c>
      <c r="C1316" s="4" t="str">
        <f>HYPERLINK("http://optservis.net:5080/photo?tov_code_internet=206388","Увеличить")</f>
        <v>Увеличить</v>
      </c>
      <c r="D1316" s="3" t="s">
        <v>2799</v>
      </c>
      <c r="E1316" s="3"/>
      <c r="F1316" s="3" t="s">
        <v>2801</v>
      </c>
      <c r="G1316" s="3" t="s">
        <v>1515</v>
      </c>
      <c r="H1316" s="3">
        <v>0.5</v>
      </c>
      <c r="I1316" s="3">
        <v>0</v>
      </c>
      <c r="J1316" s="3" t="s">
        <v>18</v>
      </c>
      <c r="K1316" s="5">
        <v>0.08</v>
      </c>
      <c r="L1316" s="6">
        <v>0</v>
      </c>
      <c r="M1316" s="7" t="s">
        <v>2800</v>
      </c>
      <c r="N1316" s="8">
        <f>VLOOKUP(B1316,'[1]новый без картинок'!$A$5:$F$2672,6,0)</f>
        <v>572</v>
      </c>
    </row>
    <row r="1317" spans="1:14" ht="151.15" customHeight="1" x14ac:dyDescent="0.2">
      <c r="A1317" s="3">
        <v>1315</v>
      </c>
      <c r="B1317" s="3">
        <v>206743</v>
      </c>
      <c r="C1317" s="4" t="str">
        <f>HYPERLINK("http://optservis.net:5080/photo?tov_code_internet=206743","Увеличить")</f>
        <v>Увеличить</v>
      </c>
      <c r="D1317" s="3" t="s">
        <v>2799</v>
      </c>
      <c r="E1317" s="3"/>
      <c r="F1317" s="3" t="s">
        <v>2802</v>
      </c>
      <c r="G1317" s="3" t="s">
        <v>1469</v>
      </c>
      <c r="H1317" s="3">
        <v>0.5</v>
      </c>
      <c r="I1317" s="3">
        <v>0</v>
      </c>
      <c r="J1317" s="3" t="s">
        <v>18</v>
      </c>
      <c r="K1317" s="5">
        <v>0.08</v>
      </c>
      <c r="L1317" s="6">
        <v>0</v>
      </c>
      <c r="M1317" s="7" t="s">
        <v>2778</v>
      </c>
      <c r="N1317" s="8">
        <f>VLOOKUP(B1317,'[1]новый без картинок'!$A$5:$F$2672,6,0)</f>
        <v>558</v>
      </c>
    </row>
    <row r="1318" spans="1:14" ht="151.15" customHeight="1" x14ac:dyDescent="0.2">
      <c r="A1318" s="3">
        <v>1316</v>
      </c>
      <c r="B1318" s="3">
        <v>206744</v>
      </c>
      <c r="C1318" s="4" t="str">
        <f>HYPERLINK("http://optservis.net:5080/photo?tov_code_internet=206744","Увеличить")</f>
        <v>Увеличить</v>
      </c>
      <c r="D1318" s="3" t="s">
        <v>2799</v>
      </c>
      <c r="E1318" s="3"/>
      <c r="F1318" s="3" t="s">
        <v>1933</v>
      </c>
      <c r="G1318" s="3" t="s">
        <v>1469</v>
      </c>
      <c r="H1318" s="3">
        <v>0.5</v>
      </c>
      <c r="I1318" s="3">
        <v>0</v>
      </c>
      <c r="J1318" s="3" t="s">
        <v>18</v>
      </c>
      <c r="K1318" s="5">
        <v>0.08</v>
      </c>
      <c r="L1318" s="6">
        <v>0</v>
      </c>
      <c r="M1318" s="7" t="s">
        <v>2778</v>
      </c>
      <c r="N1318" s="8">
        <f>VLOOKUP(B1318,'[1]новый без картинок'!$A$5:$F$2672,6,0)</f>
        <v>566</v>
      </c>
    </row>
    <row r="1319" spans="1:14" ht="151.15" customHeight="1" x14ac:dyDescent="0.2">
      <c r="A1319" s="3">
        <v>1317</v>
      </c>
      <c r="B1319" s="3">
        <v>206741</v>
      </c>
      <c r="C1319" s="4" t="str">
        <f>HYPERLINK("http://optservis.net:5080/photo?tov_code_internet=206741","Увеличить")</f>
        <v>Увеличить</v>
      </c>
      <c r="D1319" s="3" t="s">
        <v>2803</v>
      </c>
      <c r="E1319" s="3"/>
      <c r="F1319" s="3" t="s">
        <v>1907</v>
      </c>
      <c r="G1319" s="3" t="s">
        <v>430</v>
      </c>
      <c r="H1319" s="3">
        <v>0.5</v>
      </c>
      <c r="I1319" s="3">
        <v>0</v>
      </c>
      <c r="J1319" s="3" t="s">
        <v>18</v>
      </c>
      <c r="K1319" s="5">
        <v>0.23</v>
      </c>
      <c r="L1319" s="6">
        <v>0</v>
      </c>
      <c r="M1319" s="7" t="s">
        <v>1875</v>
      </c>
      <c r="N1319" s="8">
        <f>VLOOKUP(B1319,'[1]новый без картинок'!$A$5:$F$2672,6,0)</f>
        <v>445</v>
      </c>
    </row>
    <row r="1320" spans="1:14" ht="151.15" customHeight="1" x14ac:dyDescent="0.2">
      <c r="A1320" s="3">
        <v>1318</v>
      </c>
      <c r="B1320" s="3">
        <v>206385</v>
      </c>
      <c r="C1320" s="4" t="str">
        <f>HYPERLINK("http://optservis.net:5080/photo?tov_code_internet=206385","Увеличить")</f>
        <v>Увеличить</v>
      </c>
      <c r="D1320" s="3" t="s">
        <v>2803</v>
      </c>
      <c r="E1320" s="3" t="s">
        <v>2804</v>
      </c>
      <c r="F1320" s="3" t="s">
        <v>1909</v>
      </c>
      <c r="G1320" s="3" t="s">
        <v>1101</v>
      </c>
      <c r="H1320" s="3">
        <v>0.5</v>
      </c>
      <c r="I1320" s="3">
        <v>0</v>
      </c>
      <c r="J1320" s="3" t="s">
        <v>18</v>
      </c>
      <c r="K1320" s="5">
        <v>0.23</v>
      </c>
      <c r="L1320" s="6">
        <v>4690654018894</v>
      </c>
      <c r="M1320" s="7" t="s">
        <v>1910</v>
      </c>
      <c r="N1320" s="8">
        <f>VLOOKUP(B1320,'[1]новый без картинок'!$A$5:$F$2672,6,0)</f>
        <v>451</v>
      </c>
    </row>
    <row r="1321" spans="1:14" ht="151.15" customHeight="1" x14ac:dyDescent="0.2">
      <c r="A1321" s="3">
        <v>1319</v>
      </c>
      <c r="B1321" s="3">
        <v>206390</v>
      </c>
      <c r="C1321" s="4" t="str">
        <f>HYPERLINK("http://optservis.net:5080/photo?tov_code_internet=206390","Увеличить")</f>
        <v>Увеличить</v>
      </c>
      <c r="D1321" s="3" t="s">
        <v>2805</v>
      </c>
      <c r="E1321" s="3"/>
      <c r="F1321" s="3" t="s">
        <v>2806</v>
      </c>
      <c r="G1321" s="3" t="s">
        <v>1533</v>
      </c>
      <c r="H1321" s="3">
        <v>0.5</v>
      </c>
      <c r="I1321" s="3">
        <v>0</v>
      </c>
      <c r="J1321" s="3" t="s">
        <v>18</v>
      </c>
      <c r="K1321" s="5">
        <v>7.0000000000000007E-2</v>
      </c>
      <c r="L1321" s="6">
        <v>0</v>
      </c>
      <c r="M1321" s="7" t="s">
        <v>2807</v>
      </c>
      <c r="N1321" s="8">
        <f>VLOOKUP(B1321,'[1]новый без картинок'!$A$5:$F$2672,6,0)</f>
        <v>585</v>
      </c>
    </row>
    <row r="1322" spans="1:14" ht="151.15" customHeight="1" x14ac:dyDescent="0.2">
      <c r="A1322" s="3">
        <v>1320</v>
      </c>
      <c r="B1322" s="3">
        <v>206747</v>
      </c>
      <c r="C1322" s="4" t="str">
        <f>HYPERLINK("http://optservis.net:5080/photo?tov_code_internet=206747","Увеличить")</f>
        <v>Увеличить</v>
      </c>
      <c r="D1322" s="3" t="s">
        <v>2805</v>
      </c>
      <c r="E1322" s="3"/>
      <c r="F1322" s="3" t="s">
        <v>1944</v>
      </c>
      <c r="G1322" s="3" t="s">
        <v>1479</v>
      </c>
      <c r="H1322" s="3">
        <v>0.5</v>
      </c>
      <c r="I1322" s="3">
        <v>0</v>
      </c>
      <c r="J1322" s="3" t="s">
        <v>18</v>
      </c>
      <c r="K1322" s="5">
        <v>7.0000000000000007E-2</v>
      </c>
      <c r="L1322" s="6">
        <v>0</v>
      </c>
      <c r="M1322" s="7" t="s">
        <v>2782</v>
      </c>
      <c r="N1322" s="8">
        <f>VLOOKUP(B1322,'[1]новый без картинок'!$A$5:$F$2672,6,0)</f>
        <v>584</v>
      </c>
    </row>
    <row r="1323" spans="1:14" ht="151.15" customHeight="1" x14ac:dyDescent="0.2">
      <c r="A1323" s="3">
        <v>1321</v>
      </c>
      <c r="B1323" s="3">
        <v>206394</v>
      </c>
      <c r="C1323" s="4" t="str">
        <f>HYPERLINK("http://optservis.net:5080/photo?tov_code_internet=206394","Увеличить")</f>
        <v>Увеличить</v>
      </c>
      <c r="D1323" s="3" t="s">
        <v>2808</v>
      </c>
      <c r="E1323" s="3"/>
      <c r="F1323" s="3" t="s">
        <v>2809</v>
      </c>
      <c r="G1323" s="3" t="s">
        <v>1533</v>
      </c>
      <c r="H1323" s="3">
        <v>0.5</v>
      </c>
      <c r="I1323" s="3">
        <v>0</v>
      </c>
      <c r="J1323" s="3" t="s">
        <v>18</v>
      </c>
      <c r="K1323" s="5">
        <v>0.08</v>
      </c>
      <c r="L1323" s="6">
        <v>0</v>
      </c>
      <c r="M1323" s="7" t="s">
        <v>2810</v>
      </c>
      <c r="N1323" s="8">
        <f>VLOOKUP(B1323,'[1]новый без картинок'!$A$5:$F$2672,6,0)</f>
        <v>694</v>
      </c>
    </row>
    <row r="1324" spans="1:14" ht="151.15" customHeight="1" x14ac:dyDescent="0.2">
      <c r="A1324" s="3">
        <v>1322</v>
      </c>
      <c r="B1324" s="3">
        <v>211096</v>
      </c>
      <c r="C1324" s="4" t="str">
        <f>HYPERLINK("http://optservis.net:5080/photo?tov_code_internet=211096","Увеличить")</f>
        <v>Увеличить</v>
      </c>
      <c r="D1324" s="3" t="s">
        <v>2811</v>
      </c>
      <c r="E1324" s="3"/>
      <c r="F1324" s="3" t="s">
        <v>422</v>
      </c>
      <c r="G1324" s="3" t="s">
        <v>430</v>
      </c>
      <c r="H1324" s="3">
        <v>0.5</v>
      </c>
      <c r="I1324" s="3">
        <v>0</v>
      </c>
      <c r="J1324" s="3" t="s">
        <v>18</v>
      </c>
      <c r="K1324" s="5">
        <v>0.05</v>
      </c>
      <c r="L1324" s="6">
        <v>0</v>
      </c>
      <c r="M1324" s="7" t="s">
        <v>2812</v>
      </c>
      <c r="N1324" s="8">
        <f>VLOOKUP(B1324,'[1]новый без картинок'!$A$5:$F$2672,6,0)</f>
        <v>373</v>
      </c>
    </row>
    <row r="1325" spans="1:14" ht="151.15" customHeight="1" x14ac:dyDescent="0.2">
      <c r="A1325" s="3">
        <v>1323</v>
      </c>
      <c r="B1325" s="3">
        <v>211190</v>
      </c>
      <c r="C1325" s="4" t="str">
        <f>HYPERLINK("http://optservis.net:5080/photo?tov_code_internet=211190","Увеличить")</f>
        <v>Увеличить</v>
      </c>
      <c r="D1325" s="3" t="s">
        <v>2811</v>
      </c>
      <c r="E1325" s="3"/>
      <c r="F1325" s="3" t="s">
        <v>2813</v>
      </c>
      <c r="G1325" s="3" t="s">
        <v>430</v>
      </c>
      <c r="H1325" s="3">
        <v>0.5</v>
      </c>
      <c r="I1325" s="3">
        <v>0</v>
      </c>
      <c r="J1325" s="3" t="s">
        <v>18</v>
      </c>
      <c r="K1325" s="5">
        <v>0.06</v>
      </c>
      <c r="L1325" s="6">
        <v>0</v>
      </c>
      <c r="M1325" s="7" t="s">
        <v>2814</v>
      </c>
      <c r="N1325" s="8">
        <f>VLOOKUP(B1325,'[1]новый без картинок'!$A$5:$F$2672,6,0)</f>
        <v>372</v>
      </c>
    </row>
    <row r="1326" spans="1:14" ht="151.15" customHeight="1" x14ac:dyDescent="0.2">
      <c r="A1326" s="3">
        <v>1324</v>
      </c>
      <c r="B1326" s="3">
        <v>211095</v>
      </c>
      <c r="C1326" s="4" t="str">
        <f>HYPERLINK("http://optservis.net:5080/photo?tov_code_internet=211095","Увеличить")</f>
        <v>Увеличить</v>
      </c>
      <c r="D1326" s="3" t="s">
        <v>2811</v>
      </c>
      <c r="E1326" s="3" t="s">
        <v>2815</v>
      </c>
      <c r="F1326" s="3" t="s">
        <v>1952</v>
      </c>
      <c r="G1326" s="3" t="s">
        <v>430</v>
      </c>
      <c r="H1326" s="3">
        <v>0.5</v>
      </c>
      <c r="I1326" s="3">
        <v>0</v>
      </c>
      <c r="J1326" s="3" t="s">
        <v>18</v>
      </c>
      <c r="K1326" s="5">
        <v>0.05</v>
      </c>
      <c r="L1326" s="6">
        <v>4690654020361</v>
      </c>
      <c r="M1326" s="7" t="s">
        <v>2816</v>
      </c>
      <c r="N1326" s="8">
        <f>VLOOKUP(B1326,'[1]новый без картинок'!$A$5:$F$2672,6,0)</f>
        <v>371</v>
      </c>
    </row>
    <row r="1327" spans="1:14" ht="151.15" customHeight="1" x14ac:dyDescent="0.2">
      <c r="A1327" s="3">
        <v>1325</v>
      </c>
      <c r="B1327" s="3">
        <v>211094</v>
      </c>
      <c r="C1327" s="4" t="str">
        <f>HYPERLINK("http://optservis.net:5080/photo?tov_code_internet=211094","Увеличить")</f>
        <v>Увеличить</v>
      </c>
      <c r="D1327" s="3" t="s">
        <v>2817</v>
      </c>
      <c r="E1327" s="3"/>
      <c r="F1327" s="3" t="s">
        <v>2018</v>
      </c>
      <c r="G1327" s="3" t="s">
        <v>430</v>
      </c>
      <c r="H1327" s="3">
        <v>0.5</v>
      </c>
      <c r="I1327" s="3">
        <v>0</v>
      </c>
      <c r="J1327" s="3" t="s">
        <v>18</v>
      </c>
      <c r="K1327" s="5">
        <v>0.05</v>
      </c>
      <c r="L1327" s="6">
        <v>0</v>
      </c>
      <c r="M1327" s="7" t="s">
        <v>2818</v>
      </c>
      <c r="N1327" s="8">
        <f>VLOOKUP(B1327,'[1]новый без картинок'!$A$5:$F$2672,6,0)</f>
        <v>347</v>
      </c>
    </row>
    <row r="1328" spans="1:14" ht="151.15" customHeight="1" x14ac:dyDescent="0.2">
      <c r="A1328" s="3">
        <v>1326</v>
      </c>
      <c r="B1328" s="3">
        <v>211191</v>
      </c>
      <c r="C1328" s="4" t="str">
        <f>HYPERLINK("http://optservis.net:5080/photo?tov_code_internet=211191","Увеличить")</f>
        <v>Увеличить</v>
      </c>
      <c r="D1328" s="3" t="s">
        <v>2817</v>
      </c>
      <c r="E1328" s="3"/>
      <c r="F1328" s="3" t="s">
        <v>2041</v>
      </c>
      <c r="G1328" s="3" t="s">
        <v>430</v>
      </c>
      <c r="H1328" s="3">
        <v>0.5</v>
      </c>
      <c r="I1328" s="3">
        <v>0</v>
      </c>
      <c r="J1328" s="3" t="s">
        <v>18</v>
      </c>
      <c r="K1328" s="5">
        <v>0.06</v>
      </c>
      <c r="L1328" s="6">
        <v>0</v>
      </c>
      <c r="M1328" s="7" t="s">
        <v>2819</v>
      </c>
      <c r="N1328" s="8">
        <f>VLOOKUP(B1328,'[1]новый без картинок'!$A$5:$F$2672,6,0)</f>
        <v>350</v>
      </c>
    </row>
    <row r="1329" spans="1:14" ht="151.15" customHeight="1" x14ac:dyDescent="0.2">
      <c r="A1329" s="3">
        <v>1327</v>
      </c>
      <c r="B1329" s="3">
        <v>211097</v>
      </c>
      <c r="C1329" s="4" t="str">
        <f>HYPERLINK("http://optservis.net:5080/photo?tov_code_internet=211097","Увеличить")</f>
        <v>Увеличить</v>
      </c>
      <c r="D1329" s="3" t="s">
        <v>2817</v>
      </c>
      <c r="E1329" s="3"/>
      <c r="F1329" s="3" t="s">
        <v>2000</v>
      </c>
      <c r="G1329" s="3" t="s">
        <v>2001</v>
      </c>
      <c r="H1329" s="3">
        <v>0.5</v>
      </c>
      <c r="I1329" s="3">
        <v>0</v>
      </c>
      <c r="J1329" s="3" t="s">
        <v>18</v>
      </c>
      <c r="K1329" s="5">
        <v>0.05</v>
      </c>
      <c r="L1329" s="6">
        <v>0</v>
      </c>
      <c r="M1329" s="7" t="s">
        <v>2820</v>
      </c>
      <c r="N1329" s="8">
        <f>VLOOKUP(B1329,'[1]новый без картинок'!$A$5:$F$2672,6,0)</f>
        <v>381</v>
      </c>
    </row>
    <row r="1330" spans="1:14" ht="151.15" customHeight="1" x14ac:dyDescent="0.2">
      <c r="A1330" s="3">
        <v>1328</v>
      </c>
      <c r="B1330" s="3">
        <v>194436</v>
      </c>
      <c r="C1330" s="4" t="str">
        <f>HYPERLINK("http://optservis.net:5080/photo?tov_code_internet=194436","Увеличить")</f>
        <v>Увеличить</v>
      </c>
      <c r="D1330" s="3" t="s">
        <v>2821</v>
      </c>
      <c r="E1330" s="3"/>
      <c r="F1330" s="3" t="s">
        <v>2000</v>
      </c>
      <c r="G1330" s="3" t="s">
        <v>2001</v>
      </c>
      <c r="H1330" s="3">
        <v>0.5</v>
      </c>
      <c r="I1330" s="3">
        <v>0</v>
      </c>
      <c r="J1330" s="3" t="s">
        <v>18</v>
      </c>
      <c r="K1330" s="5">
        <v>0.13</v>
      </c>
      <c r="L1330" s="6">
        <v>0</v>
      </c>
      <c r="M1330" s="7" t="s">
        <v>2822</v>
      </c>
      <c r="N1330" s="8">
        <f>VLOOKUP(B1330,'[1]новый без картинок'!$A$5:$F$2672,6,0)</f>
        <v>346</v>
      </c>
    </row>
    <row r="1331" spans="1:14" ht="151.15" customHeight="1" x14ac:dyDescent="0.2">
      <c r="A1331" s="3">
        <v>1329</v>
      </c>
      <c r="B1331" s="3">
        <v>173211</v>
      </c>
      <c r="C1331" s="4" t="str">
        <f>HYPERLINK("http://optservis.net:5080/photo?tov_code_internet=173211","Увеличить")</f>
        <v>Увеличить</v>
      </c>
      <c r="D1331" s="3" t="s">
        <v>2823</v>
      </c>
      <c r="E1331" s="3" t="s">
        <v>2824</v>
      </c>
      <c r="F1331" s="3" t="s">
        <v>2018</v>
      </c>
      <c r="G1331" s="3" t="s">
        <v>430</v>
      </c>
      <c r="H1331" s="3">
        <v>0.5</v>
      </c>
      <c r="I1331" s="3">
        <v>0</v>
      </c>
      <c r="J1331" s="3" t="s">
        <v>18</v>
      </c>
      <c r="K1331" s="5">
        <v>0.13</v>
      </c>
      <c r="L1331" s="6">
        <v>4690654011543</v>
      </c>
      <c r="M1331" s="7" t="s">
        <v>2825</v>
      </c>
      <c r="N1331" s="8">
        <f>VLOOKUP(B1331,'[1]новый без картинок'!$A$5:$F$2672,6,0)</f>
        <v>313</v>
      </c>
    </row>
    <row r="1332" spans="1:14" ht="151.15" customHeight="1" x14ac:dyDescent="0.2">
      <c r="A1332" s="3">
        <v>1330</v>
      </c>
      <c r="B1332" s="3">
        <v>194140</v>
      </c>
      <c r="C1332" s="4" t="str">
        <f>HYPERLINK("http://optservis.net:5080/photo?tov_code_internet=194140","Увеличить")</f>
        <v>Увеличить</v>
      </c>
      <c r="D1332" s="3" t="s">
        <v>2826</v>
      </c>
      <c r="E1332" s="3"/>
      <c r="F1332" s="3" t="s">
        <v>2827</v>
      </c>
      <c r="G1332" s="3" t="s">
        <v>2029</v>
      </c>
      <c r="H1332" s="3">
        <v>0.5</v>
      </c>
      <c r="I1332" s="3">
        <v>0</v>
      </c>
      <c r="J1332" s="3" t="s">
        <v>18</v>
      </c>
      <c r="K1332" s="5">
        <v>0.06</v>
      </c>
      <c r="L1332" s="6">
        <v>0</v>
      </c>
      <c r="M1332" s="7" t="s">
        <v>2828</v>
      </c>
      <c r="N1332" s="8">
        <f>VLOOKUP(B1332,'[1]новый без картинок'!$A$5:$F$2672,6,0)</f>
        <v>576</v>
      </c>
    </row>
    <row r="1333" spans="1:14" ht="151.15" customHeight="1" x14ac:dyDescent="0.2">
      <c r="A1333" s="3">
        <v>1331</v>
      </c>
      <c r="B1333" s="3">
        <v>194430</v>
      </c>
      <c r="C1333" s="4" t="str">
        <f>HYPERLINK("http://optservis.net:5080/photo?tov_code_internet=194430","Увеличить")</f>
        <v>Увеличить</v>
      </c>
      <c r="D1333" s="3" t="s">
        <v>2826</v>
      </c>
      <c r="E1333" s="3"/>
      <c r="F1333" s="3" t="s">
        <v>2829</v>
      </c>
      <c r="G1333" s="3" t="s">
        <v>2029</v>
      </c>
      <c r="H1333" s="3">
        <v>0.5</v>
      </c>
      <c r="I1333" s="3">
        <v>0</v>
      </c>
      <c r="J1333" s="3" t="s">
        <v>18</v>
      </c>
      <c r="K1333" s="5">
        <v>0.06</v>
      </c>
      <c r="L1333" s="6">
        <v>0</v>
      </c>
      <c r="M1333" s="7" t="s">
        <v>2828</v>
      </c>
      <c r="N1333" s="8">
        <f>VLOOKUP(B1333,'[1]новый без картинок'!$A$5:$F$2672,6,0)</f>
        <v>545</v>
      </c>
    </row>
    <row r="1334" spans="1:14" ht="151.15" customHeight="1" x14ac:dyDescent="0.2">
      <c r="A1334" s="3">
        <v>1332</v>
      </c>
      <c r="B1334" s="3">
        <v>194434</v>
      </c>
      <c r="C1334" s="4" t="str">
        <f>HYPERLINK("http://optservis.net:5080/photo?tov_code_internet=194434","Увеличить")</f>
        <v>Увеличить</v>
      </c>
      <c r="D1334" s="3" t="s">
        <v>2830</v>
      </c>
      <c r="E1334" s="3"/>
      <c r="F1334" s="3" t="s">
        <v>2000</v>
      </c>
      <c r="G1334" s="3" t="s">
        <v>2001</v>
      </c>
      <c r="H1334" s="3">
        <v>0.5</v>
      </c>
      <c r="I1334" s="3">
        <v>0</v>
      </c>
      <c r="J1334" s="3" t="s">
        <v>18</v>
      </c>
      <c r="K1334" s="5">
        <v>0.22</v>
      </c>
      <c r="L1334" s="6">
        <v>0</v>
      </c>
      <c r="M1334" s="7" t="s">
        <v>2822</v>
      </c>
      <c r="N1334" s="8">
        <f>VLOOKUP(B1334,'[1]новый без картинок'!$A$5:$F$2672,6,0)</f>
        <v>424</v>
      </c>
    </row>
    <row r="1335" spans="1:14" ht="151.15" customHeight="1" x14ac:dyDescent="0.2">
      <c r="A1335" s="3">
        <v>1333</v>
      </c>
      <c r="B1335" s="3">
        <v>194432</v>
      </c>
      <c r="C1335" s="4" t="str">
        <f>HYPERLINK("http://optservis.net:5080/photo?tov_code_internet=194432","Увеличить")</f>
        <v>Увеличить</v>
      </c>
      <c r="D1335" s="3" t="s">
        <v>2831</v>
      </c>
      <c r="E1335" s="3"/>
      <c r="F1335" s="3" t="s">
        <v>2832</v>
      </c>
      <c r="G1335" s="3" t="s">
        <v>2036</v>
      </c>
      <c r="H1335" s="3">
        <v>0.5</v>
      </c>
      <c r="I1335" s="3">
        <v>0</v>
      </c>
      <c r="J1335" s="3" t="s">
        <v>18</v>
      </c>
      <c r="K1335" s="5">
        <v>0.05</v>
      </c>
      <c r="L1335" s="6">
        <v>0</v>
      </c>
      <c r="M1335" s="7" t="s">
        <v>2833</v>
      </c>
      <c r="N1335" s="8">
        <f>VLOOKUP(B1335,'[1]новый без картинок'!$A$5:$F$2672,6,0)</f>
        <v>558</v>
      </c>
    </row>
    <row r="1336" spans="1:14" ht="151.15" customHeight="1" x14ac:dyDescent="0.2">
      <c r="A1336" s="3">
        <v>1334</v>
      </c>
      <c r="B1336" s="3">
        <v>194431</v>
      </c>
      <c r="C1336" s="4" t="str">
        <f>HYPERLINK("http://optservis.net:5080/photo?tov_code_internet=194431","Увеличить")</f>
        <v>Увеличить</v>
      </c>
      <c r="D1336" s="3" t="s">
        <v>2831</v>
      </c>
      <c r="E1336" s="3"/>
      <c r="F1336" s="3" t="s">
        <v>2035</v>
      </c>
      <c r="G1336" s="3" t="s">
        <v>2036</v>
      </c>
      <c r="H1336" s="3">
        <v>0.5</v>
      </c>
      <c r="I1336" s="3">
        <v>0</v>
      </c>
      <c r="J1336" s="3" t="s">
        <v>18</v>
      </c>
      <c r="K1336" s="5">
        <v>0.05</v>
      </c>
      <c r="L1336" s="6">
        <v>0</v>
      </c>
      <c r="M1336" s="7" t="s">
        <v>2833</v>
      </c>
      <c r="N1336" s="8">
        <f>VLOOKUP(B1336,'[1]новый без картинок'!$A$5:$F$2672,6,0)</f>
        <v>563</v>
      </c>
    </row>
    <row r="1337" spans="1:14" ht="151.15" customHeight="1" x14ac:dyDescent="0.2">
      <c r="A1337" s="3">
        <v>1335</v>
      </c>
      <c r="B1337" s="3">
        <v>194433</v>
      </c>
      <c r="C1337" s="4" t="str">
        <f>HYPERLINK("http://optservis.net:5080/photo?tov_code_internet=194433","Увеличить")</f>
        <v>Увеличить</v>
      </c>
      <c r="D1337" s="3" t="s">
        <v>2834</v>
      </c>
      <c r="E1337" s="3"/>
      <c r="F1337" s="3" t="s">
        <v>2835</v>
      </c>
      <c r="G1337" s="3" t="s">
        <v>2036</v>
      </c>
      <c r="H1337" s="3">
        <v>0.5</v>
      </c>
      <c r="I1337" s="3">
        <v>0</v>
      </c>
      <c r="J1337" s="3" t="s">
        <v>18</v>
      </c>
      <c r="K1337" s="5">
        <v>0.06</v>
      </c>
      <c r="L1337" s="6">
        <v>0</v>
      </c>
      <c r="M1337" s="7" t="s">
        <v>2836</v>
      </c>
      <c r="N1337" s="8">
        <f>VLOOKUP(B1337,'[1]новый без картинок'!$A$5:$F$2672,6,0)</f>
        <v>667</v>
      </c>
    </row>
    <row r="1338" spans="1:14" ht="151.15" customHeight="1" x14ac:dyDescent="0.2">
      <c r="A1338" s="3">
        <v>1336</v>
      </c>
      <c r="B1338" s="3">
        <v>209257</v>
      </c>
      <c r="C1338" s="4" t="str">
        <f>HYPERLINK("http://optservis.net:5080/photo?tov_code_internet=209257","Увеличить")</f>
        <v>Увеличить</v>
      </c>
      <c r="D1338" s="3" t="s">
        <v>2837</v>
      </c>
      <c r="E1338" s="3"/>
      <c r="F1338" s="3" t="s">
        <v>2838</v>
      </c>
      <c r="G1338" s="3" t="s">
        <v>430</v>
      </c>
      <c r="H1338" s="3">
        <v>0.5</v>
      </c>
      <c r="I1338" s="3">
        <v>0</v>
      </c>
      <c r="J1338" s="3" t="s">
        <v>18</v>
      </c>
      <c r="K1338" s="5">
        <v>0.09</v>
      </c>
      <c r="L1338" s="6">
        <v>0</v>
      </c>
      <c r="M1338" s="7" t="s">
        <v>2839</v>
      </c>
      <c r="N1338" s="8">
        <f>VLOOKUP(B1338,'[1]новый без картинок'!$A$5:$F$2672,6,0)</f>
        <v>982</v>
      </c>
    </row>
    <row r="1339" spans="1:14" ht="151.15" customHeight="1" x14ac:dyDescent="0.2">
      <c r="A1339" s="3">
        <v>1337</v>
      </c>
      <c r="B1339" s="3">
        <v>211098</v>
      </c>
      <c r="C1339" s="4" t="str">
        <f>HYPERLINK("http://optservis.net:5080/photo?tov_code_internet=211098","Увеличить")</f>
        <v>Увеличить</v>
      </c>
      <c r="D1339" s="3" t="s">
        <v>2840</v>
      </c>
      <c r="E1339" s="3"/>
      <c r="F1339" s="3" t="s">
        <v>434</v>
      </c>
      <c r="G1339" s="3" t="s">
        <v>430</v>
      </c>
      <c r="H1339" s="3">
        <v>0.5</v>
      </c>
      <c r="I1339" s="3">
        <v>0</v>
      </c>
      <c r="J1339" s="3" t="s">
        <v>18</v>
      </c>
      <c r="K1339" s="5">
        <v>0.06</v>
      </c>
      <c r="L1339" s="6">
        <v>0</v>
      </c>
      <c r="M1339" s="7" t="s">
        <v>2841</v>
      </c>
      <c r="N1339" s="8">
        <f>VLOOKUP(B1339,'[1]новый без картинок'!$A$5:$F$2672,6,0)</f>
        <v>356</v>
      </c>
    </row>
    <row r="1340" spans="1:14" ht="151.15" customHeight="1" x14ac:dyDescent="0.2">
      <c r="A1340" s="3">
        <v>1338</v>
      </c>
      <c r="B1340" s="3">
        <v>211189</v>
      </c>
      <c r="C1340" s="4" t="str">
        <f>HYPERLINK("http://optservis.net:5080/photo?tov_code_internet=211189","Увеличить")</f>
        <v>Увеличить</v>
      </c>
      <c r="D1340" s="3" t="s">
        <v>2840</v>
      </c>
      <c r="E1340" s="3"/>
      <c r="F1340" s="3" t="s">
        <v>2096</v>
      </c>
      <c r="G1340" s="3" t="s">
        <v>430</v>
      </c>
      <c r="H1340" s="3">
        <v>0.5</v>
      </c>
      <c r="I1340" s="3">
        <v>0</v>
      </c>
      <c r="J1340" s="3" t="s">
        <v>18</v>
      </c>
      <c r="K1340" s="5">
        <v>0.06</v>
      </c>
      <c r="L1340" s="6">
        <v>0</v>
      </c>
      <c r="M1340" s="7" t="s">
        <v>2842</v>
      </c>
      <c r="N1340" s="8">
        <f>VLOOKUP(B1340,'[1]новый без картинок'!$A$5:$F$2672,6,0)</f>
        <v>358</v>
      </c>
    </row>
    <row r="1341" spans="1:14" ht="151.15" customHeight="1" x14ac:dyDescent="0.2">
      <c r="A1341" s="3">
        <v>1339</v>
      </c>
      <c r="B1341" s="3">
        <v>209253</v>
      </c>
      <c r="C1341" s="4" t="str">
        <f>HYPERLINK("http://optservis.net:5080/photo?tov_code_internet=209253","Увеличить")</f>
        <v>Увеличить</v>
      </c>
      <c r="D1341" s="3" t="s">
        <v>2843</v>
      </c>
      <c r="E1341" s="3"/>
      <c r="F1341" s="3" t="s">
        <v>2072</v>
      </c>
      <c r="G1341" s="3" t="s">
        <v>430</v>
      </c>
      <c r="H1341" s="3">
        <v>0.5</v>
      </c>
      <c r="I1341" s="3">
        <v>0</v>
      </c>
      <c r="J1341" s="3" t="s">
        <v>18</v>
      </c>
      <c r="K1341" s="5">
        <v>0.13</v>
      </c>
      <c r="L1341" s="6">
        <v>0</v>
      </c>
      <c r="M1341" s="7" t="s">
        <v>2844</v>
      </c>
      <c r="N1341" s="8">
        <f>VLOOKUP(B1341,'[1]новый без картинок'!$A$5:$F$2672,6,0)</f>
        <v>321</v>
      </c>
    </row>
    <row r="1342" spans="1:14" ht="151.15" customHeight="1" x14ac:dyDescent="0.2">
      <c r="A1342" s="3">
        <v>1340</v>
      </c>
      <c r="B1342" s="3">
        <v>209252</v>
      </c>
      <c r="C1342" s="4" t="str">
        <f>HYPERLINK("http://optservis.net:5080/photo?tov_code_internet=209252","Увеличить")</f>
        <v>Увеличить</v>
      </c>
      <c r="D1342" s="3" t="s">
        <v>2843</v>
      </c>
      <c r="E1342" s="3"/>
      <c r="F1342" s="3" t="s">
        <v>2048</v>
      </c>
      <c r="G1342" s="3" t="s">
        <v>430</v>
      </c>
      <c r="H1342" s="3">
        <v>0.5</v>
      </c>
      <c r="I1342" s="3">
        <v>0</v>
      </c>
      <c r="J1342" s="3" t="s">
        <v>18</v>
      </c>
      <c r="K1342" s="5">
        <v>0.13</v>
      </c>
      <c r="L1342" s="6">
        <v>0</v>
      </c>
      <c r="M1342" s="7" t="s">
        <v>2844</v>
      </c>
      <c r="N1342" s="8">
        <f>VLOOKUP(B1342,'[1]новый без картинок'!$A$5:$F$2672,6,0)</f>
        <v>332</v>
      </c>
    </row>
    <row r="1343" spans="1:14" ht="151.15" customHeight="1" x14ac:dyDescent="0.2">
      <c r="A1343" s="3">
        <v>1341</v>
      </c>
      <c r="B1343" s="3">
        <v>209255</v>
      </c>
      <c r="C1343" s="4" t="str">
        <f>HYPERLINK("http://optservis.net:5080/photo?tov_code_internet=209255","Увеличить")</f>
        <v>Увеличить</v>
      </c>
      <c r="D1343" s="3" t="s">
        <v>2845</v>
      </c>
      <c r="E1343" s="3"/>
      <c r="F1343" s="3" t="s">
        <v>2082</v>
      </c>
      <c r="G1343" s="3" t="s">
        <v>1469</v>
      </c>
      <c r="H1343" s="3">
        <v>0.5</v>
      </c>
      <c r="I1343" s="3">
        <v>0</v>
      </c>
      <c r="J1343" s="3" t="s">
        <v>18</v>
      </c>
      <c r="K1343" s="5">
        <v>0.06</v>
      </c>
      <c r="L1343" s="6">
        <v>0</v>
      </c>
      <c r="M1343" s="7" t="s">
        <v>2846</v>
      </c>
      <c r="N1343" s="8">
        <f>VLOOKUP(B1343,'[1]новый без картинок'!$A$5:$F$2672,6,0)</f>
        <v>551</v>
      </c>
    </row>
    <row r="1344" spans="1:14" ht="151.15" customHeight="1" x14ac:dyDescent="0.2">
      <c r="A1344" s="3">
        <v>1342</v>
      </c>
      <c r="B1344" s="3">
        <v>209259</v>
      </c>
      <c r="C1344" s="4" t="str">
        <f>HYPERLINK("http://optservis.net:5080/photo?tov_code_internet=209259","Увеличить")</f>
        <v>Увеличить</v>
      </c>
      <c r="D1344" s="3" t="s">
        <v>2847</v>
      </c>
      <c r="E1344" s="3"/>
      <c r="F1344" s="3" t="s">
        <v>2848</v>
      </c>
      <c r="G1344" s="3" t="s">
        <v>1479</v>
      </c>
      <c r="H1344" s="3">
        <v>0.5</v>
      </c>
      <c r="I1344" s="3">
        <v>0</v>
      </c>
      <c r="J1344" s="3" t="s">
        <v>18</v>
      </c>
      <c r="K1344" s="5">
        <v>0.06</v>
      </c>
      <c r="L1344" s="6">
        <v>0</v>
      </c>
      <c r="M1344" s="7" t="s">
        <v>2849</v>
      </c>
      <c r="N1344" s="8">
        <f>VLOOKUP(B1344,'[1]новый без картинок'!$A$5:$F$2672,6,0)</f>
        <v>533</v>
      </c>
    </row>
    <row r="1345" spans="1:14" ht="151.15" customHeight="1" x14ac:dyDescent="0.2">
      <c r="A1345" s="3">
        <v>1343</v>
      </c>
      <c r="B1345" s="3">
        <v>209260</v>
      </c>
      <c r="C1345" s="4" t="str">
        <f>HYPERLINK("http://optservis.net:5080/photo?tov_code_internet=209260","Увеличить")</f>
        <v>Увеличить</v>
      </c>
      <c r="D1345" s="3" t="s">
        <v>2850</v>
      </c>
      <c r="E1345" s="3"/>
      <c r="F1345" s="3" t="s">
        <v>2851</v>
      </c>
      <c r="G1345" s="3" t="s">
        <v>1479</v>
      </c>
      <c r="H1345" s="3">
        <v>0.5</v>
      </c>
      <c r="I1345" s="3">
        <v>0</v>
      </c>
      <c r="J1345" s="3" t="s">
        <v>18</v>
      </c>
      <c r="K1345" s="5">
        <v>0.06</v>
      </c>
      <c r="L1345" s="6">
        <v>0</v>
      </c>
      <c r="M1345" s="7" t="s">
        <v>2852</v>
      </c>
      <c r="N1345" s="8">
        <f>VLOOKUP(B1345,'[1]новый без картинок'!$A$5:$F$2672,6,0)</f>
        <v>664</v>
      </c>
    </row>
    <row r="1346" spans="1:14" ht="151.15" customHeight="1" x14ac:dyDescent="0.2">
      <c r="A1346" s="3">
        <v>1344</v>
      </c>
      <c r="B1346" s="3">
        <v>209261</v>
      </c>
      <c r="C1346" s="4" t="str">
        <f>HYPERLINK("http://optservis.net:5080/photo?tov_code_internet=209261","Увеличить")</f>
        <v>Увеличить</v>
      </c>
      <c r="D1346" s="3" t="s">
        <v>2853</v>
      </c>
      <c r="E1346" s="3"/>
      <c r="F1346" s="3" t="s">
        <v>2851</v>
      </c>
      <c r="G1346" s="3" t="s">
        <v>1479</v>
      </c>
      <c r="H1346" s="3">
        <v>0.5</v>
      </c>
      <c r="I1346" s="3">
        <v>0</v>
      </c>
      <c r="J1346" s="3" t="s">
        <v>18</v>
      </c>
      <c r="K1346" s="5">
        <v>0.06</v>
      </c>
      <c r="L1346" s="6">
        <v>0</v>
      </c>
      <c r="M1346" s="7" t="s">
        <v>2852</v>
      </c>
      <c r="N1346" s="8">
        <f>VLOOKUP(B1346,'[1]новый без картинок'!$A$5:$F$2672,6,0)</f>
        <v>642</v>
      </c>
    </row>
    <row r="1347" spans="1:14" ht="151.15" customHeight="1" x14ac:dyDescent="0.2">
      <c r="A1347" s="3">
        <v>1345</v>
      </c>
      <c r="B1347" s="3">
        <v>209262</v>
      </c>
      <c r="C1347" s="4" t="str">
        <f>HYPERLINK("http://optservis.net:5080/photo?tov_code_internet=209262","Увеличить")</f>
        <v>Увеличить</v>
      </c>
      <c r="D1347" s="3" t="s">
        <v>2854</v>
      </c>
      <c r="E1347" s="3"/>
      <c r="F1347" s="3" t="s">
        <v>2855</v>
      </c>
      <c r="G1347" s="3" t="s">
        <v>1479</v>
      </c>
      <c r="H1347" s="3">
        <v>0.5</v>
      </c>
      <c r="I1347" s="3">
        <v>0</v>
      </c>
      <c r="J1347" s="3" t="s">
        <v>18</v>
      </c>
      <c r="K1347" s="5">
        <v>7.0000000000000007E-2</v>
      </c>
      <c r="L1347" s="6">
        <v>0</v>
      </c>
      <c r="M1347" s="7" t="s">
        <v>2856</v>
      </c>
      <c r="N1347" s="8">
        <f>VLOOKUP(B1347,'[1]новый без картинок'!$A$5:$F$2672,6,0)</f>
        <v>542</v>
      </c>
    </row>
    <row r="1348" spans="1:14" ht="151.15" customHeight="1" x14ac:dyDescent="0.2">
      <c r="A1348" s="3">
        <v>1346</v>
      </c>
      <c r="B1348" s="3">
        <v>211184</v>
      </c>
      <c r="C1348" s="4" t="str">
        <f>HYPERLINK("http://optservis.net:5080/photo?tov_code_internet=211184","Увеличить")</f>
        <v>Увеличить</v>
      </c>
      <c r="D1348" s="3" t="s">
        <v>2857</v>
      </c>
      <c r="E1348" s="3"/>
      <c r="F1348" s="3" t="s">
        <v>2127</v>
      </c>
      <c r="G1348" s="3" t="s">
        <v>430</v>
      </c>
      <c r="H1348" s="3">
        <v>0.5</v>
      </c>
      <c r="I1348" s="3">
        <v>0</v>
      </c>
      <c r="J1348" s="3" t="s">
        <v>18</v>
      </c>
      <c r="K1348" s="5">
        <v>0.06</v>
      </c>
      <c r="L1348" s="6">
        <v>0</v>
      </c>
      <c r="M1348" s="7" t="s">
        <v>2858</v>
      </c>
      <c r="N1348" s="8">
        <f>VLOOKUP(B1348,'[1]новый без картинок'!$A$5:$F$2672,6,0)</f>
        <v>365</v>
      </c>
    </row>
    <row r="1349" spans="1:14" ht="151.15" customHeight="1" x14ac:dyDescent="0.2">
      <c r="A1349" s="3">
        <v>1347</v>
      </c>
      <c r="B1349" s="3">
        <v>211102</v>
      </c>
      <c r="C1349" s="4" t="str">
        <f>HYPERLINK("http://optservis.net:5080/photo?tov_code_internet=211102","Увеличить")</f>
        <v>Увеличить</v>
      </c>
      <c r="D1349" s="3" t="s">
        <v>2857</v>
      </c>
      <c r="E1349" s="3" t="s">
        <v>2859</v>
      </c>
      <c r="F1349" s="3" t="s">
        <v>2102</v>
      </c>
      <c r="G1349" s="3" t="s">
        <v>430</v>
      </c>
      <c r="H1349" s="3">
        <v>0.5</v>
      </c>
      <c r="I1349" s="3">
        <v>0</v>
      </c>
      <c r="J1349" s="3" t="s">
        <v>18</v>
      </c>
      <c r="K1349" s="5">
        <v>0.05</v>
      </c>
      <c r="L1349" s="6">
        <v>4690654020347</v>
      </c>
      <c r="M1349" s="7" t="s">
        <v>2860</v>
      </c>
      <c r="N1349" s="8">
        <f>VLOOKUP(B1349,'[1]новый без картинок'!$A$5:$F$2672,6,0)</f>
        <v>363</v>
      </c>
    </row>
    <row r="1350" spans="1:14" ht="151.15" customHeight="1" x14ac:dyDescent="0.2">
      <c r="A1350" s="3">
        <v>1348</v>
      </c>
      <c r="B1350" s="3">
        <v>181043</v>
      </c>
      <c r="C1350" s="4" t="str">
        <f>HYPERLINK("http://optservis.net:5080/photo?tov_code_internet=181043","Увеличить")</f>
        <v>Увеличить</v>
      </c>
      <c r="D1350" s="3" t="s">
        <v>2861</v>
      </c>
      <c r="E1350" s="3" t="s">
        <v>2862</v>
      </c>
      <c r="F1350" s="3" t="s">
        <v>2863</v>
      </c>
      <c r="G1350" s="3" t="s">
        <v>1479</v>
      </c>
      <c r="H1350" s="3">
        <v>0.5</v>
      </c>
      <c r="I1350" s="3">
        <v>0</v>
      </c>
      <c r="J1350" s="3" t="s">
        <v>18</v>
      </c>
      <c r="K1350" s="5">
        <v>0.06</v>
      </c>
      <c r="L1350" s="6">
        <v>4690654012076</v>
      </c>
      <c r="M1350" s="7" t="s">
        <v>2864</v>
      </c>
      <c r="N1350" s="8">
        <f>VLOOKUP(B1350,'[1]новый без картинок'!$A$5:$F$2672,6,0)</f>
        <v>649</v>
      </c>
    </row>
    <row r="1351" spans="1:14" ht="151.15" customHeight="1" x14ac:dyDescent="0.2">
      <c r="A1351" s="3">
        <v>1349</v>
      </c>
      <c r="B1351" s="3">
        <v>209716</v>
      </c>
      <c r="C1351" s="4" t="str">
        <f>HYPERLINK("http://optservis.net:5080/photo?tov_code_internet=209716","Увеличить")</f>
        <v>Увеличить</v>
      </c>
      <c r="D1351" s="3" t="s">
        <v>2865</v>
      </c>
      <c r="E1351" s="3"/>
      <c r="F1351" s="3" t="s">
        <v>2866</v>
      </c>
      <c r="G1351" s="3" t="s">
        <v>430</v>
      </c>
      <c r="H1351" s="3">
        <v>0.5</v>
      </c>
      <c r="I1351" s="3">
        <v>0</v>
      </c>
      <c r="J1351" s="3" t="s">
        <v>18</v>
      </c>
      <c r="K1351" s="5">
        <v>0.09</v>
      </c>
      <c r="L1351" s="6">
        <v>0</v>
      </c>
      <c r="M1351" s="7" t="s">
        <v>2867</v>
      </c>
      <c r="N1351" s="8">
        <f>VLOOKUP(B1351,'[1]новый без картинок'!$A$5:$F$2672,6,0)</f>
        <v>962</v>
      </c>
    </row>
    <row r="1352" spans="1:14" ht="151.15" customHeight="1" x14ac:dyDescent="0.2">
      <c r="A1352" s="3">
        <v>1350</v>
      </c>
      <c r="B1352" s="3">
        <v>209042</v>
      </c>
      <c r="C1352" s="4" t="str">
        <f>HYPERLINK("http://optservis.net:5080/photo?tov_code_internet=209042","Увеличить")</f>
        <v>Увеличить</v>
      </c>
      <c r="D1352" s="3" t="s">
        <v>2865</v>
      </c>
      <c r="E1352" s="3"/>
      <c r="F1352" s="3" t="s">
        <v>2868</v>
      </c>
      <c r="G1352" s="3" t="s">
        <v>430</v>
      </c>
      <c r="H1352" s="3">
        <v>0.5</v>
      </c>
      <c r="I1352" s="3">
        <v>0</v>
      </c>
      <c r="J1352" s="3" t="s">
        <v>18</v>
      </c>
      <c r="K1352" s="5">
        <v>0.09</v>
      </c>
      <c r="L1352" s="6">
        <v>0</v>
      </c>
      <c r="M1352" s="7" t="s">
        <v>2867</v>
      </c>
      <c r="N1352" s="8">
        <f>VLOOKUP(B1352,'[1]новый без картинок'!$A$5:$F$2672,6,0)</f>
        <v>959</v>
      </c>
    </row>
    <row r="1353" spans="1:14" ht="151.15" customHeight="1" x14ac:dyDescent="0.2">
      <c r="A1353" s="3">
        <v>1351</v>
      </c>
      <c r="B1353" s="3">
        <v>211100</v>
      </c>
      <c r="C1353" s="4" t="str">
        <f>HYPERLINK("http://optservis.net:5080/photo?tov_code_internet=211100","Увеличить")</f>
        <v>Увеличить</v>
      </c>
      <c r="D1353" s="3" t="s">
        <v>2869</v>
      </c>
      <c r="E1353" s="3"/>
      <c r="F1353" s="3" t="s">
        <v>2130</v>
      </c>
      <c r="G1353" s="3" t="s">
        <v>430</v>
      </c>
      <c r="H1353" s="3">
        <v>0.5</v>
      </c>
      <c r="I1353" s="3">
        <v>0</v>
      </c>
      <c r="J1353" s="3" t="s">
        <v>18</v>
      </c>
      <c r="K1353" s="5">
        <v>0.06</v>
      </c>
      <c r="L1353" s="6">
        <v>0</v>
      </c>
      <c r="M1353" s="7" t="s">
        <v>2860</v>
      </c>
      <c r="N1353" s="8">
        <f>VLOOKUP(B1353,'[1]новый без картинок'!$A$5:$F$2672,6,0)</f>
        <v>338</v>
      </c>
    </row>
    <row r="1354" spans="1:14" ht="151.15" customHeight="1" x14ac:dyDescent="0.2">
      <c r="A1354" s="3">
        <v>1352</v>
      </c>
      <c r="B1354" s="3">
        <v>211186</v>
      </c>
      <c r="C1354" s="4" t="str">
        <f>HYPERLINK("http://optservis.net:5080/photo?tov_code_internet=211186","Увеличить")</f>
        <v>Увеличить</v>
      </c>
      <c r="D1354" s="3" t="s">
        <v>2869</v>
      </c>
      <c r="E1354" s="3"/>
      <c r="F1354" s="3" t="s">
        <v>2216</v>
      </c>
      <c r="G1354" s="3" t="s">
        <v>430</v>
      </c>
      <c r="H1354" s="3">
        <v>0.5</v>
      </c>
      <c r="I1354" s="3">
        <v>0</v>
      </c>
      <c r="J1354" s="3" t="s">
        <v>18</v>
      </c>
      <c r="K1354" s="5">
        <v>0.06</v>
      </c>
      <c r="L1354" s="6">
        <v>0</v>
      </c>
      <c r="M1354" s="7" t="s">
        <v>2858</v>
      </c>
      <c r="N1354" s="8">
        <f>VLOOKUP(B1354,'[1]новый без картинок'!$A$5:$F$2672,6,0)</f>
        <v>339</v>
      </c>
    </row>
    <row r="1355" spans="1:14" ht="151.15" customHeight="1" x14ac:dyDescent="0.2">
      <c r="A1355" s="3">
        <v>1353</v>
      </c>
      <c r="B1355" s="3">
        <v>211188</v>
      </c>
      <c r="C1355" s="4" t="str">
        <f>HYPERLINK("http://optservis.net:5080/photo?tov_code_internet=211188","Увеличить")</f>
        <v>Увеличить</v>
      </c>
      <c r="D1355" s="3" t="s">
        <v>2869</v>
      </c>
      <c r="E1355" s="3"/>
      <c r="F1355" s="3" t="s">
        <v>2870</v>
      </c>
      <c r="G1355" s="3" t="s">
        <v>430</v>
      </c>
      <c r="H1355" s="3">
        <v>0.5</v>
      </c>
      <c r="I1355" s="3">
        <v>0</v>
      </c>
      <c r="J1355" s="3" t="s">
        <v>18</v>
      </c>
      <c r="K1355" s="5">
        <v>0.06</v>
      </c>
      <c r="L1355" s="6">
        <v>0</v>
      </c>
      <c r="M1355" s="7" t="s">
        <v>2858</v>
      </c>
      <c r="N1355" s="8">
        <f>VLOOKUP(B1355,'[1]новый без картинок'!$A$5:$F$2672,6,0)</f>
        <v>337</v>
      </c>
    </row>
    <row r="1356" spans="1:14" ht="151.15" customHeight="1" x14ac:dyDescent="0.2">
      <c r="A1356" s="3">
        <v>1354</v>
      </c>
      <c r="B1356" s="3">
        <v>211101</v>
      </c>
      <c r="C1356" s="4" t="str">
        <f>HYPERLINK("http://optservis.net:5080/photo?tov_code_internet=211101","Увеличить")</f>
        <v>Увеличить</v>
      </c>
      <c r="D1356" s="3" t="s">
        <v>2869</v>
      </c>
      <c r="E1356" s="3"/>
      <c r="F1356" s="3" t="s">
        <v>2132</v>
      </c>
      <c r="G1356" s="3" t="s">
        <v>430</v>
      </c>
      <c r="H1356" s="3">
        <v>0.5</v>
      </c>
      <c r="I1356" s="3">
        <v>0</v>
      </c>
      <c r="J1356" s="3" t="s">
        <v>18</v>
      </c>
      <c r="K1356" s="5">
        <v>0.05</v>
      </c>
      <c r="L1356" s="6">
        <v>0</v>
      </c>
      <c r="M1356" s="7" t="s">
        <v>2860</v>
      </c>
      <c r="N1356" s="8">
        <f>VLOOKUP(B1356,'[1]новый без картинок'!$A$5:$F$2672,6,0)</f>
        <v>337</v>
      </c>
    </row>
    <row r="1357" spans="1:14" ht="151.15" customHeight="1" x14ac:dyDescent="0.2">
      <c r="A1357" s="3">
        <v>1355</v>
      </c>
      <c r="B1357" s="3">
        <v>211185</v>
      </c>
      <c r="C1357" s="4" t="str">
        <f>HYPERLINK("http://optservis.net:5080/photo?tov_code_internet=211185","Увеличить")</f>
        <v>Увеличить</v>
      </c>
      <c r="D1357" s="3" t="s">
        <v>2869</v>
      </c>
      <c r="E1357" s="3"/>
      <c r="F1357" s="3" t="s">
        <v>2871</v>
      </c>
      <c r="G1357" s="3" t="s">
        <v>430</v>
      </c>
      <c r="H1357" s="3">
        <v>0.5</v>
      </c>
      <c r="I1357" s="3">
        <v>0</v>
      </c>
      <c r="J1357" s="3" t="s">
        <v>18</v>
      </c>
      <c r="K1357" s="5">
        <v>0.06</v>
      </c>
      <c r="L1357" s="6">
        <v>0</v>
      </c>
      <c r="M1357" s="7" t="s">
        <v>2858</v>
      </c>
      <c r="N1357" s="8">
        <f>VLOOKUP(B1357,'[1]новый без картинок'!$A$5:$F$2672,6,0)</f>
        <v>338</v>
      </c>
    </row>
    <row r="1358" spans="1:14" ht="151.15" customHeight="1" x14ac:dyDescent="0.2">
      <c r="A1358" s="3">
        <v>1356</v>
      </c>
      <c r="B1358" s="3">
        <v>211099</v>
      </c>
      <c r="C1358" s="4" t="str">
        <f>HYPERLINK("http://optservis.net:5080/photo?tov_code_internet=211099","Увеличить")</f>
        <v>Увеличить</v>
      </c>
      <c r="D1358" s="3" t="s">
        <v>2869</v>
      </c>
      <c r="E1358" s="3"/>
      <c r="F1358" s="3" t="s">
        <v>2134</v>
      </c>
      <c r="G1358" s="3" t="s">
        <v>430</v>
      </c>
      <c r="H1358" s="3">
        <v>0.5</v>
      </c>
      <c r="I1358" s="3">
        <v>0</v>
      </c>
      <c r="J1358" s="3" t="s">
        <v>18</v>
      </c>
      <c r="K1358" s="5">
        <v>0.05</v>
      </c>
      <c r="L1358" s="6">
        <v>0</v>
      </c>
      <c r="M1358" s="7" t="s">
        <v>2860</v>
      </c>
      <c r="N1358" s="8">
        <f>VLOOKUP(B1358,'[1]новый без картинок'!$A$5:$F$2672,6,0)</f>
        <v>334</v>
      </c>
    </row>
    <row r="1359" spans="1:14" ht="151.15" customHeight="1" x14ac:dyDescent="0.2">
      <c r="A1359" s="3">
        <v>1357</v>
      </c>
      <c r="B1359" s="3">
        <v>211187</v>
      </c>
      <c r="C1359" s="4" t="str">
        <f>HYPERLINK("http://optservis.net:5080/photo?tov_code_internet=211187","Увеличить")</f>
        <v>Увеличить</v>
      </c>
      <c r="D1359" s="3" t="s">
        <v>2869</v>
      </c>
      <c r="E1359" s="3"/>
      <c r="F1359" s="3" t="s">
        <v>2221</v>
      </c>
      <c r="G1359" s="3" t="s">
        <v>430</v>
      </c>
      <c r="H1359" s="3">
        <v>0.5</v>
      </c>
      <c r="I1359" s="3">
        <v>0</v>
      </c>
      <c r="J1359" s="3" t="s">
        <v>18</v>
      </c>
      <c r="K1359" s="5">
        <v>0.06</v>
      </c>
      <c r="L1359" s="6">
        <v>0</v>
      </c>
      <c r="M1359" s="7" t="s">
        <v>2858</v>
      </c>
      <c r="N1359" s="8">
        <f>VLOOKUP(B1359,'[1]новый без картинок'!$A$5:$F$2672,6,0)</f>
        <v>337</v>
      </c>
    </row>
    <row r="1360" spans="1:14" ht="151.15" customHeight="1" x14ac:dyDescent="0.2">
      <c r="A1360" s="3">
        <v>1358</v>
      </c>
      <c r="B1360" s="3">
        <v>209711</v>
      </c>
      <c r="C1360" s="4" t="str">
        <f>HYPERLINK("http://optservis.net:5080/photo?tov_code_internet=209711","Увеличить")</f>
        <v>Увеличить</v>
      </c>
      <c r="D1360" s="3" t="s">
        <v>2872</v>
      </c>
      <c r="E1360" s="3"/>
      <c r="F1360" s="3" t="s">
        <v>2162</v>
      </c>
      <c r="G1360" s="3" t="s">
        <v>430</v>
      </c>
      <c r="H1360" s="3">
        <v>0.5</v>
      </c>
      <c r="I1360" s="3">
        <v>0</v>
      </c>
      <c r="J1360" s="3" t="s">
        <v>18</v>
      </c>
      <c r="K1360" s="5">
        <v>0.13</v>
      </c>
      <c r="L1360" s="6">
        <v>0</v>
      </c>
      <c r="M1360" s="7" t="s">
        <v>2131</v>
      </c>
      <c r="N1360" s="8">
        <f>VLOOKUP(B1360,'[1]новый без картинок'!$A$5:$F$2672,6,0)</f>
        <v>303</v>
      </c>
    </row>
    <row r="1361" spans="1:14" ht="151.15" customHeight="1" x14ac:dyDescent="0.2">
      <c r="A1361" s="3">
        <v>1359</v>
      </c>
      <c r="B1361" s="3">
        <v>209710</v>
      </c>
      <c r="C1361" s="4" t="str">
        <f>HYPERLINK("http://optservis.net:5080/photo?tov_code_internet=209710","Увеличить")</f>
        <v>Увеличить</v>
      </c>
      <c r="D1361" s="3" t="s">
        <v>2872</v>
      </c>
      <c r="E1361" s="3" t="s">
        <v>2873</v>
      </c>
      <c r="F1361" s="3" t="s">
        <v>2130</v>
      </c>
      <c r="G1361" s="3" t="s">
        <v>430</v>
      </c>
      <c r="H1361" s="3">
        <v>0.5</v>
      </c>
      <c r="I1361" s="3">
        <v>0</v>
      </c>
      <c r="J1361" s="3" t="s">
        <v>18</v>
      </c>
      <c r="K1361" s="5">
        <v>0.13</v>
      </c>
      <c r="L1361" s="6">
        <v>4690654019464</v>
      </c>
      <c r="M1361" s="7" t="s">
        <v>2131</v>
      </c>
      <c r="N1361" s="8">
        <f>VLOOKUP(B1361,'[1]новый без картинок'!$A$5:$F$2672,6,0)</f>
        <v>303</v>
      </c>
    </row>
    <row r="1362" spans="1:14" ht="151.15" customHeight="1" x14ac:dyDescent="0.2">
      <c r="A1362" s="3">
        <v>1360</v>
      </c>
      <c r="B1362" s="3">
        <v>149658</v>
      </c>
      <c r="C1362" s="4" t="str">
        <f>HYPERLINK("http://optservis.net:5080/photo?tov_code_internet=149658","Увеличить")</f>
        <v>Увеличить</v>
      </c>
      <c r="D1362" s="3" t="s">
        <v>2872</v>
      </c>
      <c r="E1362" s="3" t="s">
        <v>2873</v>
      </c>
      <c r="F1362" s="3" t="s">
        <v>2168</v>
      </c>
      <c r="G1362" s="3" t="s">
        <v>430</v>
      </c>
      <c r="H1362" s="3">
        <v>0.5</v>
      </c>
      <c r="I1362" s="3">
        <v>0</v>
      </c>
      <c r="J1362" s="3" t="s">
        <v>18</v>
      </c>
      <c r="K1362" s="5">
        <v>0.13</v>
      </c>
      <c r="L1362" s="6">
        <v>4690654013325</v>
      </c>
      <c r="M1362" s="7" t="s">
        <v>2874</v>
      </c>
      <c r="N1362" s="8">
        <f>VLOOKUP(B1362,'[1]новый без картинок'!$A$5:$F$2672,6,0)</f>
        <v>299</v>
      </c>
    </row>
    <row r="1363" spans="1:14" ht="151.15" customHeight="1" x14ac:dyDescent="0.2">
      <c r="A1363" s="3">
        <v>1361</v>
      </c>
      <c r="B1363" s="3">
        <v>209040</v>
      </c>
      <c r="C1363" s="4" t="str">
        <f>HYPERLINK("http://optservis.net:5080/photo?tov_code_internet=209040","Увеличить")</f>
        <v>Увеличить</v>
      </c>
      <c r="D1363" s="3" t="s">
        <v>2872</v>
      </c>
      <c r="E1363" s="3" t="s">
        <v>2873</v>
      </c>
      <c r="F1363" s="3" t="s">
        <v>2134</v>
      </c>
      <c r="G1363" s="3" t="s">
        <v>430</v>
      </c>
      <c r="H1363" s="3">
        <v>0.5</v>
      </c>
      <c r="I1363" s="3">
        <v>0</v>
      </c>
      <c r="J1363" s="3" t="s">
        <v>18</v>
      </c>
      <c r="K1363" s="5">
        <v>0.13</v>
      </c>
      <c r="L1363" s="6">
        <v>4690654019204</v>
      </c>
      <c r="M1363" s="7" t="s">
        <v>2131</v>
      </c>
      <c r="N1363" s="8">
        <f>VLOOKUP(B1363,'[1]новый без картинок'!$A$5:$F$2672,6,0)</f>
        <v>299</v>
      </c>
    </row>
    <row r="1364" spans="1:14" ht="151.15" customHeight="1" x14ac:dyDescent="0.2">
      <c r="A1364" s="3">
        <v>1362</v>
      </c>
      <c r="B1364" s="3">
        <v>209713</v>
      </c>
      <c r="C1364" s="4" t="str">
        <f>HYPERLINK("http://optservis.net:5080/photo?tov_code_internet=209713","Увеличить")</f>
        <v>Увеличить</v>
      </c>
      <c r="D1364" s="3" t="s">
        <v>2875</v>
      </c>
      <c r="E1364" s="3"/>
      <c r="F1364" s="3" t="s">
        <v>2178</v>
      </c>
      <c r="G1364" s="3" t="s">
        <v>1469</v>
      </c>
      <c r="H1364" s="3">
        <v>0.5</v>
      </c>
      <c r="I1364" s="3">
        <v>0</v>
      </c>
      <c r="J1364" s="3" t="s">
        <v>18</v>
      </c>
      <c r="K1364" s="5">
        <v>0.06</v>
      </c>
      <c r="L1364" s="6">
        <v>0</v>
      </c>
      <c r="M1364" s="7" t="s">
        <v>2876</v>
      </c>
      <c r="N1364" s="8">
        <f>VLOOKUP(B1364,'[1]новый без картинок'!$A$5:$F$2672,6,0)</f>
        <v>502</v>
      </c>
    </row>
    <row r="1365" spans="1:14" ht="151.15" customHeight="1" x14ac:dyDescent="0.2">
      <c r="A1365" s="3">
        <v>1363</v>
      </c>
      <c r="B1365" s="3">
        <v>179994</v>
      </c>
      <c r="C1365" s="4" t="str">
        <f>HYPERLINK("http://optservis.net:5080/photo?tov_code_internet=179994","Увеличить")</f>
        <v>Увеличить</v>
      </c>
      <c r="D1365" s="3" t="s">
        <v>2875</v>
      </c>
      <c r="E1365" s="3"/>
      <c r="F1365" s="3" t="s">
        <v>2877</v>
      </c>
      <c r="G1365" s="3" t="s">
        <v>2182</v>
      </c>
      <c r="H1365" s="3">
        <v>0.5</v>
      </c>
      <c r="I1365" s="3">
        <v>0</v>
      </c>
      <c r="J1365" s="3" t="s">
        <v>18</v>
      </c>
      <c r="K1365" s="5">
        <v>0.06</v>
      </c>
      <c r="L1365" s="6">
        <v>0</v>
      </c>
      <c r="M1365" s="7" t="s">
        <v>2878</v>
      </c>
      <c r="N1365" s="8">
        <f>VLOOKUP(B1365,'[1]новый без картинок'!$A$5:$F$2672,6,0)</f>
        <v>647</v>
      </c>
    </row>
    <row r="1366" spans="1:14" ht="151.15" customHeight="1" x14ac:dyDescent="0.2">
      <c r="A1366" s="3">
        <v>1364</v>
      </c>
      <c r="B1366" s="3">
        <v>179972</v>
      </c>
      <c r="C1366" s="4" t="str">
        <f>HYPERLINK("http://optservis.net:5080/photo?tov_code_internet=179972","Увеличить")</f>
        <v>Увеличить</v>
      </c>
      <c r="D1366" s="3" t="s">
        <v>2875</v>
      </c>
      <c r="E1366" s="3"/>
      <c r="F1366" s="3" t="s">
        <v>2879</v>
      </c>
      <c r="G1366" s="3" t="s">
        <v>1469</v>
      </c>
      <c r="H1366" s="3">
        <v>0.5</v>
      </c>
      <c r="I1366" s="3">
        <v>0</v>
      </c>
      <c r="J1366" s="3" t="s">
        <v>18</v>
      </c>
      <c r="K1366" s="5">
        <v>0.06</v>
      </c>
      <c r="L1366" s="6">
        <v>0</v>
      </c>
      <c r="M1366" s="7" t="s">
        <v>2880</v>
      </c>
      <c r="N1366" s="8">
        <f>VLOOKUP(B1366,'[1]новый без картинок'!$A$5:$F$2672,6,0)</f>
        <v>493</v>
      </c>
    </row>
    <row r="1367" spans="1:14" ht="151.15" customHeight="1" x14ac:dyDescent="0.2">
      <c r="A1367" s="3">
        <v>1365</v>
      </c>
      <c r="B1367" s="3">
        <v>209037</v>
      </c>
      <c r="C1367" s="4" t="str">
        <f>HYPERLINK("http://optservis.net:5080/photo?tov_code_internet=209037","Увеличить")</f>
        <v>Увеличить</v>
      </c>
      <c r="D1367" s="3" t="s">
        <v>2875</v>
      </c>
      <c r="E1367" s="3"/>
      <c r="F1367" s="3" t="s">
        <v>2190</v>
      </c>
      <c r="G1367" s="3" t="s">
        <v>1469</v>
      </c>
      <c r="H1367" s="3">
        <v>0.5</v>
      </c>
      <c r="I1367" s="3">
        <v>0</v>
      </c>
      <c r="J1367" s="3" t="s">
        <v>18</v>
      </c>
      <c r="K1367" s="5">
        <v>0.06</v>
      </c>
      <c r="L1367" s="6">
        <v>0</v>
      </c>
      <c r="M1367" s="7" t="s">
        <v>2876</v>
      </c>
      <c r="N1367" s="8">
        <f>VLOOKUP(B1367,'[1]новый без картинок'!$A$5:$F$2672,6,0)</f>
        <v>491</v>
      </c>
    </row>
    <row r="1368" spans="1:14" ht="151.15" customHeight="1" x14ac:dyDescent="0.2">
      <c r="A1368" s="3">
        <v>1366</v>
      </c>
      <c r="B1368" s="3">
        <v>209038</v>
      </c>
      <c r="C1368" s="4" t="str">
        <f>HYPERLINK("http://optservis.net:5080/photo?tov_code_internet=209038","Увеличить")</f>
        <v>Увеличить</v>
      </c>
      <c r="D1368" s="3" t="s">
        <v>2875</v>
      </c>
      <c r="E1368" s="3"/>
      <c r="F1368" s="3" t="s">
        <v>2265</v>
      </c>
      <c r="G1368" s="3" t="s">
        <v>1469</v>
      </c>
      <c r="H1368" s="3">
        <v>0.5</v>
      </c>
      <c r="I1368" s="3">
        <v>0</v>
      </c>
      <c r="J1368" s="3" t="s">
        <v>18</v>
      </c>
      <c r="K1368" s="5">
        <v>0.06</v>
      </c>
      <c r="L1368" s="6">
        <v>0</v>
      </c>
      <c r="M1368" s="7" t="s">
        <v>2876</v>
      </c>
      <c r="N1368" s="8">
        <f>VLOOKUP(B1368,'[1]новый без картинок'!$A$5:$F$2672,6,0)</f>
        <v>498</v>
      </c>
    </row>
    <row r="1369" spans="1:14" ht="151.15" customHeight="1" x14ac:dyDescent="0.2">
      <c r="A1369" s="3">
        <v>1367</v>
      </c>
      <c r="B1369" s="3">
        <v>180452</v>
      </c>
      <c r="C1369" s="4" t="str">
        <f>HYPERLINK("http://optservis.net:5080/photo?tov_code_internet=180452","Увеличить")</f>
        <v>Увеличить</v>
      </c>
      <c r="D1369" s="3" t="s">
        <v>2875</v>
      </c>
      <c r="E1369" s="3" t="s">
        <v>2881</v>
      </c>
      <c r="F1369" s="3" t="s">
        <v>2882</v>
      </c>
      <c r="G1369" s="3" t="s">
        <v>1469</v>
      </c>
      <c r="H1369" s="3">
        <v>0.5</v>
      </c>
      <c r="I1369" s="3">
        <v>0</v>
      </c>
      <c r="J1369" s="3" t="s">
        <v>18</v>
      </c>
      <c r="K1369" s="5">
        <v>0.06</v>
      </c>
      <c r="L1369" s="6">
        <v>4690654015114</v>
      </c>
      <c r="M1369" s="7" t="s">
        <v>2880</v>
      </c>
      <c r="N1369" s="8">
        <f>VLOOKUP(B1369,'[1]новый без картинок'!$A$5:$F$2672,6,0)</f>
        <v>529</v>
      </c>
    </row>
    <row r="1370" spans="1:14" ht="151.15" customHeight="1" x14ac:dyDescent="0.2">
      <c r="A1370" s="3">
        <v>1368</v>
      </c>
      <c r="B1370" s="3">
        <v>209712</v>
      </c>
      <c r="C1370" s="4" t="str">
        <f>HYPERLINK("http://optservis.net:5080/photo?tov_code_internet=209712","Увеличить")</f>
        <v>Увеличить</v>
      </c>
      <c r="D1370" s="3" t="s">
        <v>2883</v>
      </c>
      <c r="E1370" s="3"/>
      <c r="F1370" s="3" t="s">
        <v>2130</v>
      </c>
      <c r="G1370" s="3" t="s">
        <v>430</v>
      </c>
      <c r="H1370" s="3">
        <v>0.5</v>
      </c>
      <c r="I1370" s="3">
        <v>0</v>
      </c>
      <c r="J1370" s="3" t="s">
        <v>18</v>
      </c>
      <c r="K1370" s="5">
        <v>0.22</v>
      </c>
      <c r="L1370" s="6">
        <v>0</v>
      </c>
      <c r="M1370" s="7" t="s">
        <v>2884</v>
      </c>
      <c r="N1370" s="8">
        <f>VLOOKUP(B1370,'[1]новый без картинок'!$A$5:$F$2672,6,0)</f>
        <v>381</v>
      </c>
    </row>
    <row r="1371" spans="1:14" ht="151.15" customHeight="1" x14ac:dyDescent="0.2">
      <c r="A1371" s="3">
        <v>1369</v>
      </c>
      <c r="B1371" s="3">
        <v>173290</v>
      </c>
      <c r="C1371" s="4" t="str">
        <f>HYPERLINK("http://optservis.net:5080/photo?tov_code_internet=173290","Увеличить")</f>
        <v>Увеличить</v>
      </c>
      <c r="D1371" s="3" t="s">
        <v>2883</v>
      </c>
      <c r="E1371" s="3" t="s">
        <v>2885</v>
      </c>
      <c r="F1371" s="3" t="s">
        <v>2139</v>
      </c>
      <c r="G1371" s="3" t="s">
        <v>430</v>
      </c>
      <c r="H1371" s="3">
        <v>0.5</v>
      </c>
      <c r="I1371" s="3">
        <v>0</v>
      </c>
      <c r="J1371" s="3" t="s">
        <v>18</v>
      </c>
      <c r="K1371" s="5">
        <v>0.22</v>
      </c>
      <c r="L1371" s="6">
        <v>4690654011901</v>
      </c>
      <c r="M1371" s="7" t="s">
        <v>2884</v>
      </c>
      <c r="N1371" s="8">
        <f>VLOOKUP(B1371,'[1]новый без картинок'!$A$5:$F$2672,6,0)</f>
        <v>390</v>
      </c>
    </row>
    <row r="1372" spans="1:14" ht="151.15" customHeight="1" x14ac:dyDescent="0.2">
      <c r="A1372" s="3">
        <v>1370</v>
      </c>
      <c r="B1372" s="3">
        <v>173242</v>
      </c>
      <c r="C1372" s="4" t="str">
        <f>HYPERLINK("http://optservis.net:5080/photo?tov_code_internet=173242","Увеличить")</f>
        <v>Увеличить</v>
      </c>
      <c r="D1372" s="3" t="s">
        <v>2883</v>
      </c>
      <c r="E1372" s="3" t="s">
        <v>2885</v>
      </c>
      <c r="F1372" s="3" t="s">
        <v>2212</v>
      </c>
      <c r="G1372" s="3" t="s">
        <v>430</v>
      </c>
      <c r="H1372" s="3">
        <v>0.5</v>
      </c>
      <c r="I1372" s="3">
        <v>0</v>
      </c>
      <c r="J1372" s="3" t="s">
        <v>18</v>
      </c>
      <c r="K1372" s="5">
        <v>0.22</v>
      </c>
      <c r="L1372" s="6">
        <v>4690654014247</v>
      </c>
      <c r="M1372" s="7" t="s">
        <v>2884</v>
      </c>
      <c r="N1372" s="8">
        <f>VLOOKUP(B1372,'[1]новый без картинок'!$A$5:$F$2672,6,0)</f>
        <v>377</v>
      </c>
    </row>
    <row r="1373" spans="1:14" ht="151.15" customHeight="1" x14ac:dyDescent="0.2">
      <c r="A1373" s="3">
        <v>1371</v>
      </c>
      <c r="B1373" s="3">
        <v>209718</v>
      </c>
      <c r="C1373" s="4" t="str">
        <f>HYPERLINK("http://optservis.net:5080/photo?tov_code_internet=209718","Увеличить")</f>
        <v>Увеличить</v>
      </c>
      <c r="D1373" s="3" t="s">
        <v>2886</v>
      </c>
      <c r="E1373" s="3"/>
      <c r="F1373" s="3" t="s">
        <v>2200</v>
      </c>
      <c r="G1373" s="3" t="s">
        <v>1479</v>
      </c>
      <c r="H1373" s="3">
        <v>0.5</v>
      </c>
      <c r="I1373" s="3">
        <v>0</v>
      </c>
      <c r="J1373" s="3" t="s">
        <v>18</v>
      </c>
      <c r="K1373" s="5">
        <v>0.06</v>
      </c>
      <c r="L1373" s="6">
        <v>0</v>
      </c>
      <c r="M1373" s="7" t="s">
        <v>2887</v>
      </c>
      <c r="N1373" s="8">
        <f>VLOOKUP(B1373,'[1]новый без картинок'!$A$5:$F$2672,6,0)</f>
        <v>521</v>
      </c>
    </row>
    <row r="1374" spans="1:14" ht="151.15" customHeight="1" x14ac:dyDescent="0.2">
      <c r="A1374" s="3">
        <v>1372</v>
      </c>
      <c r="B1374" s="3">
        <v>209043</v>
      </c>
      <c r="C1374" s="4" t="str">
        <f>HYPERLINK("http://optservis.net:5080/photo?tov_code_internet=209043","Увеличить")</f>
        <v>Увеличить</v>
      </c>
      <c r="D1374" s="3" t="s">
        <v>2886</v>
      </c>
      <c r="E1374" s="3"/>
      <c r="F1374" s="3" t="s">
        <v>2202</v>
      </c>
      <c r="G1374" s="3" t="s">
        <v>1479</v>
      </c>
      <c r="H1374" s="3">
        <v>0.5</v>
      </c>
      <c r="I1374" s="3">
        <v>0</v>
      </c>
      <c r="J1374" s="3" t="s">
        <v>18</v>
      </c>
      <c r="K1374" s="5">
        <v>0.05</v>
      </c>
      <c r="L1374" s="6">
        <v>0</v>
      </c>
      <c r="M1374" s="7" t="s">
        <v>2887</v>
      </c>
      <c r="N1374" s="8">
        <f>VLOOKUP(B1374,'[1]новый без картинок'!$A$5:$F$2672,6,0)</f>
        <v>517</v>
      </c>
    </row>
    <row r="1375" spans="1:14" ht="151.15" customHeight="1" x14ac:dyDescent="0.2">
      <c r="A1375" s="3">
        <v>1373</v>
      </c>
      <c r="B1375" s="3">
        <v>180451</v>
      </c>
      <c r="C1375" s="4" t="str">
        <f>HYPERLINK("http://optservis.net:5080/photo?tov_code_internet=180451","Увеличить")</f>
        <v>Увеличить</v>
      </c>
      <c r="D1375" s="3" t="s">
        <v>2886</v>
      </c>
      <c r="E1375" s="3"/>
      <c r="F1375" s="3" t="s">
        <v>2888</v>
      </c>
      <c r="G1375" s="3" t="s">
        <v>1479</v>
      </c>
      <c r="H1375" s="3">
        <v>0.5</v>
      </c>
      <c r="I1375" s="3">
        <v>0</v>
      </c>
      <c r="J1375" s="3" t="s">
        <v>18</v>
      </c>
      <c r="K1375" s="5">
        <v>0.05</v>
      </c>
      <c r="L1375" s="6">
        <v>0</v>
      </c>
      <c r="M1375" s="7" t="s">
        <v>2889</v>
      </c>
      <c r="N1375" s="8">
        <f>VLOOKUP(B1375,'[1]новый без картинок'!$A$5:$F$2672,6,0)</f>
        <v>511</v>
      </c>
    </row>
    <row r="1376" spans="1:14" ht="151.15" customHeight="1" x14ac:dyDescent="0.2">
      <c r="A1376" s="3">
        <v>1374</v>
      </c>
      <c r="B1376" s="3">
        <v>149739</v>
      </c>
      <c r="C1376" s="4" t="str">
        <f>HYPERLINK("http://optservis.net:5080/photo?tov_code_internet=149739","Увеличить")</f>
        <v>Увеличить</v>
      </c>
      <c r="D1376" s="3" t="s">
        <v>2886</v>
      </c>
      <c r="E1376" s="3" t="s">
        <v>2890</v>
      </c>
      <c r="F1376" s="3" t="s">
        <v>2204</v>
      </c>
      <c r="G1376" s="3" t="s">
        <v>1479</v>
      </c>
      <c r="H1376" s="3">
        <v>0.5</v>
      </c>
      <c r="I1376" s="3">
        <v>0</v>
      </c>
      <c r="J1376" s="3" t="s">
        <v>18</v>
      </c>
      <c r="K1376" s="5">
        <v>0.05</v>
      </c>
      <c r="L1376" s="6">
        <v>4690654011819</v>
      </c>
      <c r="M1376" s="7" t="s">
        <v>2889</v>
      </c>
      <c r="N1376" s="8">
        <f>VLOOKUP(B1376,'[1]новый без картинок'!$A$5:$F$2672,6,0)</f>
        <v>517</v>
      </c>
    </row>
    <row r="1377" spans="1:14" ht="151.15" customHeight="1" x14ac:dyDescent="0.2">
      <c r="A1377" s="3">
        <v>1375</v>
      </c>
      <c r="B1377" s="3">
        <v>149741</v>
      </c>
      <c r="C1377" s="4" t="str">
        <f>HYPERLINK("http://optservis.net:5080/photo?tov_code_internet=149741","Увеличить")</f>
        <v>Увеличить</v>
      </c>
      <c r="D1377" s="3" t="s">
        <v>2891</v>
      </c>
      <c r="E1377" s="3"/>
      <c r="F1377" s="3" t="s">
        <v>2877</v>
      </c>
      <c r="G1377" s="3" t="s">
        <v>2182</v>
      </c>
      <c r="H1377" s="3">
        <v>0.5</v>
      </c>
      <c r="I1377" s="3">
        <v>0</v>
      </c>
      <c r="J1377" s="3" t="s">
        <v>18</v>
      </c>
      <c r="K1377" s="5">
        <v>0.05</v>
      </c>
      <c r="L1377" s="6">
        <v>0</v>
      </c>
      <c r="M1377" s="7" t="s">
        <v>2892</v>
      </c>
      <c r="N1377" s="8">
        <f>VLOOKUP(B1377,'[1]новый без картинок'!$A$5:$F$2672,6,0)</f>
        <v>527</v>
      </c>
    </row>
    <row r="1378" spans="1:14" ht="151.15" customHeight="1" x14ac:dyDescent="0.2">
      <c r="A1378" s="3">
        <v>1376</v>
      </c>
      <c r="B1378" s="3">
        <v>209719</v>
      </c>
      <c r="C1378" s="4" t="str">
        <f>HYPERLINK("http://optservis.net:5080/photo?tov_code_internet=209719","Увеличить")</f>
        <v>Увеличить</v>
      </c>
      <c r="D1378" s="3" t="s">
        <v>2893</v>
      </c>
      <c r="E1378" s="3"/>
      <c r="F1378" s="3" t="s">
        <v>2894</v>
      </c>
      <c r="G1378" s="3" t="s">
        <v>1479</v>
      </c>
      <c r="H1378" s="3">
        <v>0.5</v>
      </c>
      <c r="I1378" s="3">
        <v>0</v>
      </c>
      <c r="J1378" s="3" t="s">
        <v>18</v>
      </c>
      <c r="K1378" s="5">
        <v>0.06</v>
      </c>
      <c r="L1378" s="6">
        <v>0</v>
      </c>
      <c r="M1378" s="7" t="s">
        <v>2895</v>
      </c>
      <c r="N1378" s="8">
        <f>VLOOKUP(B1378,'[1]новый без картинок'!$A$5:$F$2672,6,0)</f>
        <v>646</v>
      </c>
    </row>
    <row r="1379" spans="1:14" ht="151.15" customHeight="1" x14ac:dyDescent="0.2">
      <c r="A1379" s="3">
        <v>1377</v>
      </c>
      <c r="B1379" s="3">
        <v>209044</v>
      </c>
      <c r="C1379" s="4" t="str">
        <f>HYPERLINK("http://optservis.net:5080/photo?tov_code_internet=209044","Увеличить")</f>
        <v>Увеличить</v>
      </c>
      <c r="D1379" s="3" t="s">
        <v>2896</v>
      </c>
      <c r="E1379" s="3"/>
      <c r="F1379" s="3" t="s">
        <v>2897</v>
      </c>
      <c r="G1379" s="3" t="s">
        <v>1479</v>
      </c>
      <c r="H1379" s="3">
        <v>0.5</v>
      </c>
      <c r="I1379" s="3">
        <v>0</v>
      </c>
      <c r="J1379" s="3" t="s">
        <v>18</v>
      </c>
      <c r="K1379" s="5">
        <v>0.06</v>
      </c>
      <c r="L1379" s="6">
        <v>0</v>
      </c>
      <c r="M1379" s="7" t="s">
        <v>2895</v>
      </c>
      <c r="N1379" s="8">
        <f>VLOOKUP(B1379,'[1]новый без картинок'!$A$5:$F$2672,6,0)</f>
        <v>620</v>
      </c>
    </row>
    <row r="1380" spans="1:14" ht="151.15" customHeight="1" x14ac:dyDescent="0.2">
      <c r="A1380" s="3">
        <v>1378</v>
      </c>
      <c r="B1380" s="3">
        <v>173301</v>
      </c>
      <c r="C1380" s="4" t="str">
        <f>HYPERLINK("http://optservis.net:5080/photo?tov_code_internet=173301","Увеличить")</f>
        <v>Увеличить</v>
      </c>
      <c r="D1380" s="3" t="s">
        <v>2896</v>
      </c>
      <c r="E1380" s="3" t="s">
        <v>2898</v>
      </c>
      <c r="F1380" s="3" t="s">
        <v>2899</v>
      </c>
      <c r="G1380" s="3" t="s">
        <v>1479</v>
      </c>
      <c r="H1380" s="3">
        <v>0.5</v>
      </c>
      <c r="I1380" s="3">
        <v>0</v>
      </c>
      <c r="J1380" s="3" t="s">
        <v>18</v>
      </c>
      <c r="K1380" s="5">
        <v>0.06</v>
      </c>
      <c r="L1380" s="6">
        <v>4690654016128</v>
      </c>
      <c r="M1380" s="7" t="s">
        <v>2900</v>
      </c>
      <c r="N1380" s="8">
        <f>VLOOKUP(B1380,'[1]новый без картинок'!$A$5:$F$2672,6,0)</f>
        <v>620</v>
      </c>
    </row>
    <row r="1381" spans="1:14" ht="151.15" customHeight="1" x14ac:dyDescent="0.2">
      <c r="A1381" s="3">
        <v>1379</v>
      </c>
      <c r="B1381" s="3">
        <v>209045</v>
      </c>
      <c r="C1381" s="4" t="str">
        <f>HYPERLINK("http://optservis.net:5080/photo?tov_code_internet=209045","Увеличить")</f>
        <v>Увеличить</v>
      </c>
      <c r="D1381" s="3" t="s">
        <v>2901</v>
      </c>
      <c r="E1381" s="3"/>
      <c r="F1381" s="3" t="s">
        <v>2902</v>
      </c>
      <c r="G1381" s="3" t="s">
        <v>1479</v>
      </c>
      <c r="H1381" s="3">
        <v>0.5</v>
      </c>
      <c r="I1381" s="3">
        <v>0</v>
      </c>
      <c r="J1381" s="3" t="s">
        <v>18</v>
      </c>
      <c r="K1381" s="5">
        <v>7.0000000000000007E-2</v>
      </c>
      <c r="L1381" s="6">
        <v>0</v>
      </c>
      <c r="M1381" s="7" t="s">
        <v>2903</v>
      </c>
      <c r="N1381" s="8">
        <f>VLOOKUP(B1381,'[1]новый без картинок'!$A$5:$F$2672,6,0)</f>
        <v>520</v>
      </c>
    </row>
    <row r="1382" spans="1:14" ht="151.15" customHeight="1" x14ac:dyDescent="0.2">
      <c r="A1382" s="3">
        <v>1380</v>
      </c>
      <c r="B1382" s="3">
        <v>179974</v>
      </c>
      <c r="C1382" s="4" t="str">
        <f>HYPERLINK("http://optservis.net:5080/photo?tov_code_internet=179974","Увеличить")</f>
        <v>Увеличить</v>
      </c>
      <c r="D1382" s="3" t="s">
        <v>2901</v>
      </c>
      <c r="E1382" s="3" t="s">
        <v>1222</v>
      </c>
      <c r="F1382" s="3" t="s">
        <v>2904</v>
      </c>
      <c r="G1382" s="3" t="s">
        <v>1479</v>
      </c>
      <c r="H1382" s="3">
        <v>0.5</v>
      </c>
      <c r="I1382" s="3">
        <v>0</v>
      </c>
      <c r="J1382" s="3" t="s">
        <v>18</v>
      </c>
      <c r="K1382" s="5">
        <v>7.0000000000000007E-2</v>
      </c>
      <c r="L1382" s="6">
        <v>4690654012854</v>
      </c>
      <c r="M1382" s="7" t="s">
        <v>2905</v>
      </c>
      <c r="N1382" s="8">
        <f>VLOOKUP(B1382,'[1]новый без картинок'!$A$5:$F$2672,6,0)</f>
        <v>523</v>
      </c>
    </row>
    <row r="1383" spans="1:14" ht="151.15" customHeight="1" x14ac:dyDescent="0.2">
      <c r="A1383" s="3">
        <v>1381</v>
      </c>
      <c r="B1383" s="3">
        <v>211152</v>
      </c>
      <c r="C1383" s="4" t="str">
        <f>HYPERLINK("http://optservis.net:5080/photo?tov_code_internet=211152","Увеличить")</f>
        <v>Увеличить</v>
      </c>
      <c r="D1383" s="3" t="s">
        <v>2906</v>
      </c>
      <c r="E1383" s="3"/>
      <c r="F1383" s="3" t="s">
        <v>2226</v>
      </c>
      <c r="G1383" s="3" t="s">
        <v>430</v>
      </c>
      <c r="H1383" s="3">
        <v>0.5</v>
      </c>
      <c r="I1383" s="3">
        <v>0</v>
      </c>
      <c r="J1383" s="3" t="s">
        <v>18</v>
      </c>
      <c r="K1383" s="5">
        <v>7.0000000000000007E-2</v>
      </c>
      <c r="L1383" s="6">
        <v>0</v>
      </c>
      <c r="M1383" s="7" t="s">
        <v>2907</v>
      </c>
      <c r="N1383" s="8">
        <f>VLOOKUP(B1383,'[1]новый без картинок'!$A$5:$F$2672,6,0)</f>
        <v>397</v>
      </c>
    </row>
    <row r="1384" spans="1:14" ht="151.15" customHeight="1" x14ac:dyDescent="0.2">
      <c r="A1384" s="3">
        <v>1382</v>
      </c>
      <c r="B1384" s="3">
        <v>211180</v>
      </c>
      <c r="C1384" s="4" t="str">
        <f>HYPERLINK("http://optservis.net:5080/photo?tov_code_internet=211180","Увеличить")</f>
        <v>Увеличить</v>
      </c>
      <c r="D1384" s="3" t="s">
        <v>2906</v>
      </c>
      <c r="E1384" s="3"/>
      <c r="F1384" s="3" t="s">
        <v>2278</v>
      </c>
      <c r="G1384" s="3" t="s">
        <v>430</v>
      </c>
      <c r="H1384" s="3">
        <v>0.5</v>
      </c>
      <c r="I1384" s="3">
        <v>0</v>
      </c>
      <c r="J1384" s="3" t="s">
        <v>18</v>
      </c>
      <c r="K1384" s="5">
        <v>7.0000000000000007E-2</v>
      </c>
      <c r="L1384" s="6">
        <v>0</v>
      </c>
      <c r="M1384" s="7" t="s">
        <v>2908</v>
      </c>
      <c r="N1384" s="8">
        <f>VLOOKUP(B1384,'[1]новый без картинок'!$A$5:$F$2672,6,0)</f>
        <v>399</v>
      </c>
    </row>
    <row r="1385" spans="1:14" ht="151.15" customHeight="1" x14ac:dyDescent="0.2">
      <c r="A1385" s="3">
        <v>1383</v>
      </c>
      <c r="B1385" s="3">
        <v>211153</v>
      </c>
      <c r="C1385" s="4" t="str">
        <f>HYPERLINK("http://optservis.net:5080/photo?tov_code_internet=211153","Увеличить")</f>
        <v>Увеличить</v>
      </c>
      <c r="D1385" s="3" t="s">
        <v>2906</v>
      </c>
      <c r="E1385" s="3"/>
      <c r="F1385" s="3" t="s">
        <v>2134</v>
      </c>
      <c r="G1385" s="3" t="s">
        <v>430</v>
      </c>
      <c r="H1385" s="3">
        <v>0.5</v>
      </c>
      <c r="I1385" s="3">
        <v>0</v>
      </c>
      <c r="J1385" s="3" t="s">
        <v>18</v>
      </c>
      <c r="K1385" s="5">
        <v>7.0000000000000007E-2</v>
      </c>
      <c r="L1385" s="6">
        <v>0</v>
      </c>
      <c r="M1385" s="7" t="s">
        <v>2907</v>
      </c>
      <c r="N1385" s="8">
        <f>VLOOKUP(B1385,'[1]новый без картинок'!$A$5:$F$2672,6,0)</f>
        <v>394</v>
      </c>
    </row>
    <row r="1386" spans="1:14" ht="151.15" customHeight="1" x14ac:dyDescent="0.2">
      <c r="A1386" s="3">
        <v>1384</v>
      </c>
      <c r="B1386" s="3">
        <v>211179</v>
      </c>
      <c r="C1386" s="4" t="str">
        <f>HYPERLINK("http://optservis.net:5080/photo?tov_code_internet=211179","Увеличить")</f>
        <v>Увеличить</v>
      </c>
      <c r="D1386" s="3" t="s">
        <v>2906</v>
      </c>
      <c r="E1386" s="3"/>
      <c r="F1386" s="3" t="s">
        <v>2221</v>
      </c>
      <c r="G1386" s="3" t="s">
        <v>430</v>
      </c>
      <c r="H1386" s="3">
        <v>0.5</v>
      </c>
      <c r="I1386" s="3">
        <v>0</v>
      </c>
      <c r="J1386" s="3" t="s">
        <v>18</v>
      </c>
      <c r="K1386" s="5">
        <v>7.0000000000000007E-2</v>
      </c>
      <c r="L1386" s="6">
        <v>0</v>
      </c>
      <c r="M1386" s="7" t="s">
        <v>2908</v>
      </c>
      <c r="N1386" s="8">
        <f>VLOOKUP(B1386,'[1]новый без картинок'!$A$5:$F$2672,6,0)</f>
        <v>397</v>
      </c>
    </row>
    <row r="1387" spans="1:14" ht="151.15" customHeight="1" x14ac:dyDescent="0.2">
      <c r="A1387" s="3">
        <v>1385</v>
      </c>
      <c r="B1387" s="3">
        <v>196797</v>
      </c>
      <c r="C1387" s="4" t="str">
        <f>HYPERLINK("http://optservis.net:5080/photo?tov_code_internet=196797","Увеличить")</f>
        <v>Увеличить</v>
      </c>
      <c r="D1387" s="3" t="s">
        <v>2909</v>
      </c>
      <c r="E1387" s="3"/>
      <c r="F1387" s="3" t="s">
        <v>2249</v>
      </c>
      <c r="G1387" s="3" t="s">
        <v>430</v>
      </c>
      <c r="H1387" s="3">
        <v>0.5</v>
      </c>
      <c r="I1387" s="3">
        <v>0</v>
      </c>
      <c r="J1387" s="3" t="s">
        <v>18</v>
      </c>
      <c r="K1387" s="5">
        <v>0.15</v>
      </c>
      <c r="L1387" s="6">
        <v>0</v>
      </c>
      <c r="M1387" s="7" t="s">
        <v>2248</v>
      </c>
      <c r="N1387" s="8">
        <f>VLOOKUP(B1387,'[1]новый без картинок'!$A$5:$F$2672,6,0)</f>
        <v>363</v>
      </c>
    </row>
    <row r="1388" spans="1:14" ht="151.15" customHeight="1" x14ac:dyDescent="0.2">
      <c r="A1388" s="3">
        <v>1386</v>
      </c>
      <c r="B1388" s="3">
        <v>188425</v>
      </c>
      <c r="C1388" s="4" t="str">
        <f>HYPERLINK("http://optservis.net:5080/photo?tov_code_internet=188425","Увеличить")</f>
        <v>Увеличить</v>
      </c>
      <c r="D1388" s="3" t="s">
        <v>2909</v>
      </c>
      <c r="E1388" s="3" t="s">
        <v>2910</v>
      </c>
      <c r="F1388" s="3" t="s">
        <v>2230</v>
      </c>
      <c r="G1388" s="3" t="s">
        <v>430</v>
      </c>
      <c r="H1388" s="3">
        <v>0.5</v>
      </c>
      <c r="I1388" s="3">
        <v>0</v>
      </c>
      <c r="J1388" s="3" t="s">
        <v>18</v>
      </c>
      <c r="K1388" s="5">
        <v>0.15</v>
      </c>
      <c r="L1388" s="6">
        <v>4690654019730</v>
      </c>
      <c r="M1388" s="7" t="s">
        <v>2911</v>
      </c>
      <c r="N1388" s="8">
        <f>VLOOKUP(B1388,'[1]новый без картинок'!$A$5:$F$2672,6,0)</f>
        <v>369</v>
      </c>
    </row>
    <row r="1389" spans="1:14" ht="151.15" customHeight="1" x14ac:dyDescent="0.2">
      <c r="A1389" s="3">
        <v>1387</v>
      </c>
      <c r="B1389" s="3">
        <v>188505</v>
      </c>
      <c r="C1389" s="4" t="str">
        <f>HYPERLINK("http://optservis.net:5080/photo?tov_code_internet=188505","Увеличить")</f>
        <v>Увеличить</v>
      </c>
      <c r="D1389" s="3" t="s">
        <v>2912</v>
      </c>
      <c r="E1389" s="3"/>
      <c r="F1389" s="3" t="s">
        <v>2190</v>
      </c>
      <c r="G1389" s="3" t="s">
        <v>1469</v>
      </c>
      <c r="H1389" s="3">
        <v>0.5</v>
      </c>
      <c r="I1389" s="3">
        <v>0</v>
      </c>
      <c r="J1389" s="3" t="s">
        <v>18</v>
      </c>
      <c r="K1389" s="5">
        <v>0.08</v>
      </c>
      <c r="L1389" s="6">
        <v>0</v>
      </c>
      <c r="M1389" s="7" t="s">
        <v>2913</v>
      </c>
      <c r="N1389" s="8">
        <f>VLOOKUP(B1389,'[1]новый без картинок'!$A$5:$F$2672,6,0)</f>
        <v>551</v>
      </c>
    </row>
    <row r="1390" spans="1:14" ht="151.15" customHeight="1" x14ac:dyDescent="0.2">
      <c r="A1390" s="3">
        <v>1388</v>
      </c>
      <c r="B1390" s="3">
        <v>188424</v>
      </c>
      <c r="C1390" s="4" t="str">
        <f>HYPERLINK("http://optservis.net:5080/photo?tov_code_internet=188424","Увеличить")</f>
        <v>Увеличить</v>
      </c>
      <c r="D1390" s="3" t="s">
        <v>2914</v>
      </c>
      <c r="E1390" s="3"/>
      <c r="F1390" s="3" t="s">
        <v>2134</v>
      </c>
      <c r="G1390" s="3" t="s">
        <v>430</v>
      </c>
      <c r="H1390" s="3">
        <v>0.5</v>
      </c>
      <c r="I1390" s="3">
        <v>0</v>
      </c>
      <c r="J1390" s="3" t="s">
        <v>18</v>
      </c>
      <c r="K1390" s="5">
        <v>0.23</v>
      </c>
      <c r="L1390" s="6">
        <v>0</v>
      </c>
      <c r="M1390" s="7" t="s">
        <v>2915</v>
      </c>
      <c r="N1390" s="8">
        <f>VLOOKUP(B1390,'[1]новый без картинок'!$A$5:$F$2672,6,0)</f>
        <v>438</v>
      </c>
    </row>
    <row r="1391" spans="1:14" ht="151.15" customHeight="1" x14ac:dyDescent="0.2">
      <c r="A1391" s="3">
        <v>1389</v>
      </c>
      <c r="B1391" s="3">
        <v>188423</v>
      </c>
      <c r="C1391" s="4" t="str">
        <f>HYPERLINK("http://optservis.net:5080/photo?tov_code_internet=188423","Увеличить")</f>
        <v>Увеличить</v>
      </c>
      <c r="D1391" s="3" t="s">
        <v>2916</v>
      </c>
      <c r="E1391" s="3"/>
      <c r="F1391" s="3" t="s">
        <v>2917</v>
      </c>
      <c r="G1391" s="3" t="s">
        <v>1045</v>
      </c>
      <c r="H1391" s="3">
        <v>0.5</v>
      </c>
      <c r="I1391" s="3">
        <v>0</v>
      </c>
      <c r="J1391" s="3" t="s">
        <v>18</v>
      </c>
      <c r="K1391" s="5">
        <v>7.0000000000000007E-2</v>
      </c>
      <c r="L1391" s="6">
        <v>0</v>
      </c>
      <c r="M1391" s="7" t="s">
        <v>2918</v>
      </c>
      <c r="N1391" s="8">
        <f>VLOOKUP(B1391,'[1]новый без картинок'!$A$5:$F$2672,6,0)</f>
        <v>681</v>
      </c>
    </row>
    <row r="1392" spans="1:14" ht="151.15" customHeight="1" x14ac:dyDescent="0.2">
      <c r="A1392" s="3">
        <v>1390</v>
      </c>
      <c r="B1392" s="3">
        <v>196805</v>
      </c>
      <c r="C1392" s="4" t="str">
        <f>HYPERLINK("http://optservis.net:5080/photo?tov_code_internet=196805","Увеличить")</f>
        <v>Увеличить</v>
      </c>
      <c r="D1392" s="3" t="s">
        <v>2919</v>
      </c>
      <c r="E1392" s="3"/>
      <c r="F1392" s="3" t="s">
        <v>2270</v>
      </c>
      <c r="G1392" s="3" t="s">
        <v>1479</v>
      </c>
      <c r="H1392" s="3">
        <v>0.5</v>
      </c>
      <c r="I1392" s="3">
        <v>0</v>
      </c>
      <c r="J1392" s="3" t="s">
        <v>18</v>
      </c>
      <c r="K1392" s="5">
        <v>0.08</v>
      </c>
      <c r="L1392" s="6">
        <v>0</v>
      </c>
      <c r="M1392" s="7" t="s">
        <v>2920</v>
      </c>
      <c r="N1392" s="8">
        <f>VLOOKUP(B1392,'[1]новый без картинок'!$A$5:$F$2672,6,0)</f>
        <v>582</v>
      </c>
    </row>
    <row r="1393" spans="1:14" ht="151.15" customHeight="1" x14ac:dyDescent="0.2">
      <c r="A1393" s="3">
        <v>1391</v>
      </c>
      <c r="B1393" s="3">
        <v>205001</v>
      </c>
      <c r="C1393" s="4" t="str">
        <f>HYPERLINK("http://optservis.net:5080/photo?tov_code_internet=205001","Увеличить")</f>
        <v>Увеличить</v>
      </c>
      <c r="D1393" s="3" t="s">
        <v>2921</v>
      </c>
      <c r="E1393" s="3"/>
      <c r="F1393" s="3" t="s">
        <v>2922</v>
      </c>
      <c r="G1393" s="3" t="s">
        <v>430</v>
      </c>
      <c r="H1393" s="3">
        <v>0.5</v>
      </c>
      <c r="I1393" s="3">
        <v>0</v>
      </c>
      <c r="J1393" s="3" t="s">
        <v>18</v>
      </c>
      <c r="K1393" s="5">
        <v>0.1</v>
      </c>
      <c r="L1393" s="6">
        <v>0</v>
      </c>
      <c r="M1393" s="7" t="s">
        <v>2923</v>
      </c>
      <c r="N1393" s="8">
        <f>VLOOKUP(B1393,'[1]новый без картинок'!$A$5:$F$2672,6,0)</f>
        <v>1019</v>
      </c>
    </row>
    <row r="1394" spans="1:14" ht="151.15" customHeight="1" x14ac:dyDescent="0.2">
      <c r="A1394" s="3">
        <v>1392</v>
      </c>
      <c r="B1394" s="3">
        <v>211183</v>
      </c>
      <c r="C1394" s="4" t="str">
        <f>HYPERLINK("http://optservis.net:5080/photo?tov_code_internet=211183","Увеличить")</f>
        <v>Увеличить</v>
      </c>
      <c r="D1394" s="3" t="s">
        <v>2924</v>
      </c>
      <c r="E1394" s="3"/>
      <c r="F1394" s="3" t="s">
        <v>2340</v>
      </c>
      <c r="G1394" s="3" t="s">
        <v>430</v>
      </c>
      <c r="H1394" s="3">
        <v>0.5</v>
      </c>
      <c r="I1394" s="3">
        <v>0</v>
      </c>
      <c r="J1394" s="3" t="s">
        <v>18</v>
      </c>
      <c r="K1394" s="5">
        <v>7.0000000000000007E-2</v>
      </c>
      <c r="L1394" s="6">
        <v>0</v>
      </c>
      <c r="M1394" s="7" t="s">
        <v>2925</v>
      </c>
      <c r="N1394" s="8">
        <f>VLOOKUP(B1394,'[1]новый без картинок'!$A$5:$F$2672,6,0)</f>
        <v>387</v>
      </c>
    </row>
    <row r="1395" spans="1:14" ht="151.15" customHeight="1" x14ac:dyDescent="0.2">
      <c r="A1395" s="3">
        <v>1393</v>
      </c>
      <c r="B1395" s="3">
        <v>204998</v>
      </c>
      <c r="C1395" s="4" t="str">
        <f>HYPERLINK("http://optservis.net:5080/photo?tov_code_internet=204998","Увеличить")</f>
        <v>Увеличить</v>
      </c>
      <c r="D1395" s="3" t="s">
        <v>2926</v>
      </c>
      <c r="E1395" s="3"/>
      <c r="F1395" s="3" t="s">
        <v>444</v>
      </c>
      <c r="G1395" s="3" t="s">
        <v>430</v>
      </c>
      <c r="H1395" s="3">
        <v>0.5</v>
      </c>
      <c r="I1395" s="3">
        <v>0</v>
      </c>
      <c r="J1395" s="3" t="s">
        <v>18</v>
      </c>
      <c r="K1395" s="5">
        <v>0.14000000000000001</v>
      </c>
      <c r="L1395" s="6">
        <v>0</v>
      </c>
      <c r="M1395" s="7" t="s">
        <v>2927</v>
      </c>
      <c r="N1395" s="8">
        <f>VLOOKUP(B1395,'[1]новый без картинок'!$A$5:$F$2672,6,0)</f>
        <v>369</v>
      </c>
    </row>
    <row r="1396" spans="1:14" ht="151.15" customHeight="1" x14ac:dyDescent="0.2">
      <c r="A1396" s="3">
        <v>1394</v>
      </c>
      <c r="B1396" s="3">
        <v>188569</v>
      </c>
      <c r="C1396" s="4" t="str">
        <f>HYPERLINK("http://optservis.net:5080/photo?tov_code_internet=188569","Увеличить")</f>
        <v>Увеличить</v>
      </c>
      <c r="D1396" s="3" t="s">
        <v>2926</v>
      </c>
      <c r="E1396" s="3" t="s">
        <v>2928</v>
      </c>
      <c r="F1396" s="3" t="s">
        <v>2929</v>
      </c>
      <c r="G1396" s="3" t="s">
        <v>430</v>
      </c>
      <c r="H1396" s="3">
        <v>0.5</v>
      </c>
      <c r="I1396" s="3">
        <v>0</v>
      </c>
      <c r="J1396" s="3" t="s">
        <v>18</v>
      </c>
      <c r="K1396" s="5">
        <v>0.15</v>
      </c>
      <c r="L1396" s="6">
        <v>4690654015503</v>
      </c>
      <c r="M1396" s="7" t="s">
        <v>2930</v>
      </c>
      <c r="N1396" s="8">
        <f>VLOOKUP(B1396,'[1]новый без картинок'!$A$5:$F$2672,6,0)</f>
        <v>361</v>
      </c>
    </row>
    <row r="1397" spans="1:14" ht="151.15" customHeight="1" x14ac:dyDescent="0.2">
      <c r="A1397" s="3">
        <v>1395</v>
      </c>
      <c r="B1397" s="3">
        <v>205002</v>
      </c>
      <c r="C1397" s="4" t="str">
        <f>HYPERLINK("http://optservis.net:5080/photo?tov_code_internet=205002","Увеличить")</f>
        <v>Увеличить</v>
      </c>
      <c r="D1397" s="3" t="s">
        <v>2931</v>
      </c>
      <c r="E1397" s="3"/>
      <c r="F1397" s="3" t="s">
        <v>2320</v>
      </c>
      <c r="G1397" s="3" t="s">
        <v>1469</v>
      </c>
      <c r="H1397" s="3">
        <v>0.5</v>
      </c>
      <c r="I1397" s="3">
        <v>0</v>
      </c>
      <c r="J1397" s="3" t="s">
        <v>18</v>
      </c>
      <c r="K1397" s="5">
        <v>7.0000000000000007E-2</v>
      </c>
      <c r="L1397" s="6">
        <v>0</v>
      </c>
      <c r="M1397" s="7" t="s">
        <v>2932</v>
      </c>
      <c r="N1397" s="8">
        <f>VLOOKUP(B1397,'[1]новый без картинок'!$A$5:$F$2672,6,0)</f>
        <v>551</v>
      </c>
    </row>
    <row r="1398" spans="1:14" ht="151.15" customHeight="1" x14ac:dyDescent="0.2">
      <c r="A1398" s="3">
        <v>1396</v>
      </c>
      <c r="B1398" s="3">
        <v>188507</v>
      </c>
      <c r="C1398" s="4" t="str">
        <f>HYPERLINK("http://optservis.net:5080/photo?tov_code_internet=188507","Увеличить")</f>
        <v>Увеличить</v>
      </c>
      <c r="D1398" s="3" t="s">
        <v>2931</v>
      </c>
      <c r="E1398" s="3"/>
      <c r="F1398" s="3" t="s">
        <v>2933</v>
      </c>
      <c r="G1398" s="3" t="s">
        <v>1469</v>
      </c>
      <c r="H1398" s="3">
        <v>0.5</v>
      </c>
      <c r="I1398" s="3">
        <v>0</v>
      </c>
      <c r="J1398" s="3" t="s">
        <v>18</v>
      </c>
      <c r="K1398" s="5">
        <v>0.08</v>
      </c>
      <c r="L1398" s="6">
        <v>0</v>
      </c>
      <c r="M1398" s="7" t="s">
        <v>2934</v>
      </c>
      <c r="N1398" s="8">
        <f>VLOOKUP(B1398,'[1]новый без картинок'!$A$5:$F$2672,6,0)</f>
        <v>542</v>
      </c>
    </row>
    <row r="1399" spans="1:14" ht="151.15" customHeight="1" x14ac:dyDescent="0.2">
      <c r="A1399" s="3">
        <v>1397</v>
      </c>
      <c r="B1399" s="3">
        <v>188506</v>
      </c>
      <c r="C1399" s="4" t="str">
        <f>HYPERLINK("http://optservis.net:5080/photo?tov_code_internet=188506","Увеличить")</f>
        <v>Увеличить</v>
      </c>
      <c r="D1399" s="3" t="s">
        <v>2931</v>
      </c>
      <c r="E1399" s="3"/>
      <c r="F1399" s="3" t="s">
        <v>2935</v>
      </c>
      <c r="G1399" s="3" t="s">
        <v>1469</v>
      </c>
      <c r="H1399" s="3">
        <v>0.5</v>
      </c>
      <c r="I1399" s="3">
        <v>0</v>
      </c>
      <c r="J1399" s="3" t="s">
        <v>18</v>
      </c>
      <c r="K1399" s="5">
        <v>0.08</v>
      </c>
      <c r="L1399" s="6">
        <v>0</v>
      </c>
      <c r="M1399" s="7" t="s">
        <v>2934</v>
      </c>
      <c r="N1399" s="8">
        <f>VLOOKUP(B1399,'[1]новый без картинок'!$A$5:$F$2672,6,0)</f>
        <v>550</v>
      </c>
    </row>
    <row r="1400" spans="1:14" ht="151.15" customHeight="1" x14ac:dyDescent="0.2">
      <c r="A1400" s="3">
        <v>1398</v>
      </c>
      <c r="B1400" s="3">
        <v>204999</v>
      </c>
      <c r="C1400" s="4" t="str">
        <f>HYPERLINK("http://optservis.net:5080/photo?tov_code_internet=204999","Увеличить")</f>
        <v>Увеличить</v>
      </c>
      <c r="D1400" s="3" t="s">
        <v>2936</v>
      </c>
      <c r="E1400" s="3"/>
      <c r="F1400" s="3" t="s">
        <v>2284</v>
      </c>
      <c r="G1400" s="3" t="s">
        <v>430</v>
      </c>
      <c r="H1400" s="3">
        <v>0.5</v>
      </c>
      <c r="I1400" s="3">
        <v>0</v>
      </c>
      <c r="J1400" s="3" t="s">
        <v>18</v>
      </c>
      <c r="K1400" s="5">
        <v>0.23</v>
      </c>
      <c r="L1400" s="6">
        <v>0</v>
      </c>
      <c r="M1400" s="7" t="s">
        <v>2927</v>
      </c>
      <c r="N1400" s="8">
        <f>VLOOKUP(B1400,'[1]новый без картинок'!$A$5:$F$2672,6,0)</f>
        <v>438</v>
      </c>
    </row>
    <row r="1401" spans="1:14" ht="151.15" customHeight="1" x14ac:dyDescent="0.2">
      <c r="A1401" s="3">
        <v>1399</v>
      </c>
      <c r="B1401" s="3">
        <v>205004</v>
      </c>
      <c r="C1401" s="4" t="str">
        <f>HYPERLINK("http://optservis.net:5080/photo?tov_code_internet=205004","Увеличить")</f>
        <v>Увеличить</v>
      </c>
      <c r="D1401" s="3" t="s">
        <v>2937</v>
      </c>
      <c r="E1401" s="3"/>
      <c r="F1401" s="3" t="s">
        <v>2938</v>
      </c>
      <c r="G1401" s="3" t="s">
        <v>1479</v>
      </c>
      <c r="H1401" s="3">
        <v>0.5</v>
      </c>
      <c r="I1401" s="3">
        <v>0</v>
      </c>
      <c r="J1401" s="3" t="s">
        <v>18</v>
      </c>
      <c r="K1401" s="5">
        <v>0.06</v>
      </c>
      <c r="L1401" s="6">
        <v>0</v>
      </c>
      <c r="M1401" s="7" t="s">
        <v>2939</v>
      </c>
      <c r="N1401" s="8">
        <f>VLOOKUP(B1401,'[1]новый без картинок'!$A$5:$F$2672,6,0)</f>
        <v>572</v>
      </c>
    </row>
    <row r="1402" spans="1:14" ht="151.15" customHeight="1" x14ac:dyDescent="0.2">
      <c r="A1402" s="3">
        <v>1400</v>
      </c>
      <c r="B1402" s="3">
        <v>188370</v>
      </c>
      <c r="C1402" s="4" t="str">
        <f>HYPERLINK("http://optservis.net:5080/photo?tov_code_internet=188370","Увеличить")</f>
        <v>Увеличить</v>
      </c>
      <c r="D1402" s="3" t="s">
        <v>2937</v>
      </c>
      <c r="E1402" s="3"/>
      <c r="F1402" s="3" t="s">
        <v>2940</v>
      </c>
      <c r="G1402" s="3" t="s">
        <v>1045</v>
      </c>
      <c r="H1402" s="3">
        <v>0.5</v>
      </c>
      <c r="I1402" s="3">
        <v>0</v>
      </c>
      <c r="J1402" s="3" t="s">
        <v>18</v>
      </c>
      <c r="K1402" s="5">
        <v>7.0000000000000007E-2</v>
      </c>
      <c r="L1402" s="6">
        <v>0</v>
      </c>
      <c r="M1402" s="7" t="s">
        <v>2941</v>
      </c>
      <c r="N1402" s="8">
        <f>VLOOKUP(B1402,'[1]новый без картинок'!$A$5:$F$2672,6,0)</f>
        <v>568</v>
      </c>
    </row>
    <row r="1403" spans="1:14" ht="151.15" customHeight="1" x14ac:dyDescent="0.2">
      <c r="A1403" s="3">
        <v>1401</v>
      </c>
      <c r="B1403" s="3">
        <v>205006</v>
      </c>
      <c r="C1403" s="4" t="str">
        <f>HYPERLINK("http://optservis.net:5080/photo?tov_code_internet=205006","Увеличить")</f>
        <v>Увеличить</v>
      </c>
      <c r="D1403" s="3" t="s">
        <v>2942</v>
      </c>
      <c r="E1403" s="3"/>
      <c r="F1403" s="3" t="s">
        <v>2943</v>
      </c>
      <c r="G1403" s="3" t="s">
        <v>1479</v>
      </c>
      <c r="H1403" s="3">
        <v>0.5</v>
      </c>
      <c r="I1403" s="3">
        <v>0</v>
      </c>
      <c r="J1403" s="3" t="s">
        <v>18</v>
      </c>
      <c r="K1403" s="5">
        <v>7.0000000000000007E-2</v>
      </c>
      <c r="L1403" s="6">
        <v>0</v>
      </c>
      <c r="M1403" s="7" t="s">
        <v>2944</v>
      </c>
      <c r="N1403" s="8">
        <f>VLOOKUP(B1403,'[1]новый без картинок'!$A$5:$F$2672,6,0)</f>
        <v>681</v>
      </c>
    </row>
    <row r="1404" spans="1:14" ht="151.15" customHeight="1" x14ac:dyDescent="0.2">
      <c r="A1404" s="3">
        <v>1402</v>
      </c>
      <c r="B1404" s="3">
        <v>205294</v>
      </c>
      <c r="C1404" s="4" t="str">
        <f>HYPERLINK("http://optservis.net:5080/photo?tov_code_internet=205294","Увеличить")</f>
        <v>Увеличить</v>
      </c>
      <c r="D1404" s="3" t="s">
        <v>2945</v>
      </c>
      <c r="E1404" s="3"/>
      <c r="F1404" s="3" t="s">
        <v>2946</v>
      </c>
      <c r="G1404" s="3" t="s">
        <v>430</v>
      </c>
      <c r="H1404" s="3">
        <v>0.5</v>
      </c>
      <c r="I1404" s="3">
        <v>0</v>
      </c>
      <c r="J1404" s="3" t="s">
        <v>18</v>
      </c>
      <c r="K1404" s="5">
        <v>0.1</v>
      </c>
      <c r="L1404" s="6">
        <v>0</v>
      </c>
      <c r="M1404" s="7" t="s">
        <v>2947</v>
      </c>
      <c r="N1404" s="8">
        <f>VLOOKUP(B1404,'[1]новый без картинок'!$A$5:$F$2672,6,0)</f>
        <v>1022</v>
      </c>
    </row>
    <row r="1405" spans="1:14" ht="151.15" customHeight="1" x14ac:dyDescent="0.2">
      <c r="A1405" s="3">
        <v>1403</v>
      </c>
      <c r="B1405" s="3">
        <v>211151</v>
      </c>
      <c r="C1405" s="4" t="str">
        <f>HYPERLINK("http://optservis.net:5080/photo?tov_code_internet=211151","Увеличить")</f>
        <v>Увеличить</v>
      </c>
      <c r="D1405" s="3" t="s">
        <v>2948</v>
      </c>
      <c r="E1405" s="3"/>
      <c r="F1405" s="3" t="s">
        <v>2344</v>
      </c>
      <c r="G1405" s="3" t="s">
        <v>430</v>
      </c>
      <c r="H1405" s="3">
        <v>0.5</v>
      </c>
      <c r="I1405" s="3">
        <v>0</v>
      </c>
      <c r="J1405" s="3" t="s">
        <v>18</v>
      </c>
      <c r="K1405" s="5">
        <v>0.06</v>
      </c>
      <c r="L1405" s="6">
        <v>0</v>
      </c>
      <c r="M1405" s="7" t="s">
        <v>2949</v>
      </c>
      <c r="N1405" s="8">
        <f>VLOOKUP(B1405,'[1]новый без картинок'!$A$5:$F$2672,6,0)</f>
        <v>397</v>
      </c>
    </row>
    <row r="1406" spans="1:14" ht="151.15" customHeight="1" x14ac:dyDescent="0.2">
      <c r="A1406" s="3">
        <v>1404</v>
      </c>
      <c r="B1406" s="3">
        <v>205275</v>
      </c>
      <c r="C1406" s="4" t="str">
        <f>HYPERLINK("http://optservis.net:5080/photo?tov_code_internet=205275","Увеличить")</f>
        <v>Увеличить</v>
      </c>
      <c r="D1406" s="3" t="s">
        <v>2950</v>
      </c>
      <c r="E1406" s="3"/>
      <c r="F1406" s="3" t="s">
        <v>2951</v>
      </c>
      <c r="G1406" s="3" t="s">
        <v>430</v>
      </c>
      <c r="H1406" s="3">
        <v>0.5</v>
      </c>
      <c r="I1406" s="3">
        <v>0</v>
      </c>
      <c r="J1406" s="3" t="s">
        <v>18</v>
      </c>
      <c r="K1406" s="5">
        <v>0.14000000000000001</v>
      </c>
      <c r="L1406" s="6">
        <v>0</v>
      </c>
      <c r="M1406" s="7" t="s">
        <v>2348</v>
      </c>
      <c r="N1406" s="8">
        <f>VLOOKUP(B1406,'[1]новый без картинок'!$A$5:$F$2672,6,0)</f>
        <v>361</v>
      </c>
    </row>
    <row r="1407" spans="1:14" ht="151.15" customHeight="1" x14ac:dyDescent="0.2">
      <c r="A1407" s="3">
        <v>1405</v>
      </c>
      <c r="B1407" s="3">
        <v>205283</v>
      </c>
      <c r="C1407" s="4" t="str">
        <f>HYPERLINK("http://optservis.net:5080/photo?tov_code_internet=205283","Увеличить")</f>
        <v>Увеличить</v>
      </c>
      <c r="D1407" s="3" t="s">
        <v>2952</v>
      </c>
      <c r="E1407" s="3"/>
      <c r="F1407" s="3" t="s">
        <v>2360</v>
      </c>
      <c r="G1407" s="3" t="s">
        <v>1469</v>
      </c>
      <c r="H1407" s="3">
        <v>0.5</v>
      </c>
      <c r="I1407" s="3">
        <v>0</v>
      </c>
      <c r="J1407" s="3" t="s">
        <v>18</v>
      </c>
      <c r="K1407" s="5">
        <v>7.0000000000000007E-2</v>
      </c>
      <c r="L1407" s="6">
        <v>0</v>
      </c>
      <c r="M1407" s="7" t="s">
        <v>2953</v>
      </c>
      <c r="N1407" s="8">
        <f>VLOOKUP(B1407,'[1]новый без картинок'!$A$5:$F$2672,6,0)</f>
        <v>592</v>
      </c>
    </row>
    <row r="1408" spans="1:14" ht="151.15" customHeight="1" x14ac:dyDescent="0.2">
      <c r="A1408" s="3">
        <v>1406</v>
      </c>
      <c r="B1408" s="3">
        <v>205280</v>
      </c>
      <c r="C1408" s="4" t="str">
        <f>HYPERLINK("http://optservis.net:5080/photo?tov_code_internet=205280","Увеличить")</f>
        <v>Увеличить</v>
      </c>
      <c r="D1408" s="3" t="s">
        <v>2952</v>
      </c>
      <c r="E1408" s="3"/>
      <c r="F1408" s="3" t="s">
        <v>2362</v>
      </c>
      <c r="G1408" s="3" t="s">
        <v>1469</v>
      </c>
      <c r="H1408" s="3">
        <v>0.5</v>
      </c>
      <c r="I1408" s="3">
        <v>0</v>
      </c>
      <c r="J1408" s="3" t="s">
        <v>18</v>
      </c>
      <c r="K1408" s="5">
        <v>7.0000000000000007E-2</v>
      </c>
      <c r="L1408" s="6">
        <v>0</v>
      </c>
      <c r="M1408" s="7" t="s">
        <v>2953</v>
      </c>
      <c r="N1408" s="8">
        <f>VLOOKUP(B1408,'[1]новый без картинок'!$A$5:$F$2672,6,0)</f>
        <v>554</v>
      </c>
    </row>
    <row r="1409" spans="1:14" ht="151.15" customHeight="1" x14ac:dyDescent="0.2">
      <c r="A1409" s="3">
        <v>1407</v>
      </c>
      <c r="B1409" s="3">
        <v>205277</v>
      </c>
      <c r="C1409" s="4" t="str">
        <f>HYPERLINK("http://optservis.net:5080/photo?tov_code_internet=205277","Увеличить")</f>
        <v>Увеличить</v>
      </c>
      <c r="D1409" s="3" t="s">
        <v>2954</v>
      </c>
      <c r="E1409" s="3"/>
      <c r="F1409" s="3" t="s">
        <v>2344</v>
      </c>
      <c r="G1409" s="3" t="s">
        <v>430</v>
      </c>
      <c r="H1409" s="3">
        <v>0.5</v>
      </c>
      <c r="I1409" s="3">
        <v>0</v>
      </c>
      <c r="J1409" s="3" t="s">
        <v>18</v>
      </c>
      <c r="K1409" s="5">
        <v>0.23</v>
      </c>
      <c r="L1409" s="6">
        <v>0</v>
      </c>
      <c r="M1409" s="7" t="s">
        <v>2348</v>
      </c>
      <c r="N1409" s="8">
        <f>VLOOKUP(B1409,'[1]новый без картинок'!$A$5:$F$2672,6,0)</f>
        <v>441</v>
      </c>
    </row>
    <row r="1410" spans="1:14" ht="151.15" customHeight="1" x14ac:dyDescent="0.2">
      <c r="A1410" s="3">
        <v>1408</v>
      </c>
      <c r="B1410" s="3">
        <v>205286</v>
      </c>
      <c r="C1410" s="4" t="str">
        <f>HYPERLINK("http://optservis.net:5080/photo?tov_code_internet=205286","Увеличить")</f>
        <v>Увеличить</v>
      </c>
      <c r="D1410" s="3" t="s">
        <v>2955</v>
      </c>
      <c r="E1410" s="3"/>
      <c r="F1410" s="3" t="s">
        <v>2366</v>
      </c>
      <c r="G1410" s="3" t="s">
        <v>1479</v>
      </c>
      <c r="H1410" s="3">
        <v>0.5</v>
      </c>
      <c r="I1410" s="3">
        <v>0</v>
      </c>
      <c r="J1410" s="3" t="s">
        <v>18</v>
      </c>
      <c r="K1410" s="5">
        <v>0.06</v>
      </c>
      <c r="L1410" s="6">
        <v>0</v>
      </c>
      <c r="M1410" s="7" t="s">
        <v>2956</v>
      </c>
      <c r="N1410" s="8">
        <f>VLOOKUP(B1410,'[1]новый без картинок'!$A$5:$F$2672,6,0)</f>
        <v>573</v>
      </c>
    </row>
    <row r="1411" spans="1:14" ht="151.15" customHeight="1" x14ac:dyDescent="0.2">
      <c r="A1411" s="3">
        <v>1409</v>
      </c>
      <c r="B1411" s="3">
        <v>205301</v>
      </c>
      <c r="C1411" s="4" t="str">
        <f>HYPERLINK("http://optservis.net:5080/photo?tov_code_internet=205301","Увеличить")</f>
        <v>Увеличить</v>
      </c>
      <c r="D1411" s="3" t="s">
        <v>2957</v>
      </c>
      <c r="E1411" s="3"/>
      <c r="F1411" s="3" t="s">
        <v>2958</v>
      </c>
      <c r="G1411" s="3" t="s">
        <v>1479</v>
      </c>
      <c r="H1411" s="3">
        <v>0.5</v>
      </c>
      <c r="I1411" s="3">
        <v>0</v>
      </c>
      <c r="J1411" s="3" t="s">
        <v>18</v>
      </c>
      <c r="K1411" s="5">
        <v>7.0000000000000007E-2</v>
      </c>
      <c r="L1411" s="6">
        <v>0</v>
      </c>
      <c r="M1411" s="7" t="s">
        <v>2959</v>
      </c>
      <c r="N1411" s="8">
        <f>VLOOKUP(B1411,'[1]новый без картинок'!$A$5:$F$2672,6,0)</f>
        <v>705</v>
      </c>
    </row>
    <row r="1412" spans="1:14" ht="151.15" customHeight="1" x14ac:dyDescent="0.2">
      <c r="A1412" s="3">
        <v>1410</v>
      </c>
      <c r="B1412" s="3">
        <v>205304</v>
      </c>
      <c r="C1412" s="4" t="str">
        <f>HYPERLINK("http://optservis.net:5080/photo?tov_code_internet=205304","Увеличить")</f>
        <v>Увеличить</v>
      </c>
      <c r="D1412" s="3" t="s">
        <v>2960</v>
      </c>
      <c r="E1412" s="3"/>
      <c r="F1412" s="3" t="s">
        <v>2958</v>
      </c>
      <c r="G1412" s="3" t="s">
        <v>1479</v>
      </c>
      <c r="H1412" s="3">
        <v>0.5</v>
      </c>
      <c r="I1412" s="3">
        <v>0</v>
      </c>
      <c r="J1412" s="3" t="s">
        <v>18</v>
      </c>
      <c r="K1412" s="5">
        <v>7.0000000000000007E-2</v>
      </c>
      <c r="L1412" s="6">
        <v>0</v>
      </c>
      <c r="M1412" s="7" t="s">
        <v>2959</v>
      </c>
      <c r="N1412" s="8">
        <f>VLOOKUP(B1412,'[1]новый без картинок'!$A$5:$F$2672,6,0)</f>
        <v>683</v>
      </c>
    </row>
    <row r="1413" spans="1:14" ht="151.15" customHeight="1" x14ac:dyDescent="0.2">
      <c r="A1413" s="3">
        <v>1411</v>
      </c>
      <c r="B1413" s="3">
        <v>205306</v>
      </c>
      <c r="C1413" s="4" t="str">
        <f>HYPERLINK("http://optservis.net:5080/photo?tov_code_internet=205306","Увеличить")</f>
        <v>Увеличить</v>
      </c>
      <c r="D1413" s="3" t="s">
        <v>2961</v>
      </c>
      <c r="E1413" s="3"/>
      <c r="F1413" s="3" t="s">
        <v>2962</v>
      </c>
      <c r="G1413" s="3" t="s">
        <v>1479</v>
      </c>
      <c r="H1413" s="3">
        <v>0.5</v>
      </c>
      <c r="I1413" s="3">
        <v>0</v>
      </c>
      <c r="J1413" s="3" t="s">
        <v>18</v>
      </c>
      <c r="K1413" s="5">
        <v>0.08</v>
      </c>
      <c r="L1413" s="6">
        <v>0</v>
      </c>
      <c r="M1413" s="7" t="s">
        <v>2963</v>
      </c>
      <c r="N1413" s="8">
        <f>VLOOKUP(B1413,'[1]новый без картинок'!$A$5:$F$2672,6,0)</f>
        <v>582</v>
      </c>
    </row>
    <row r="1414" spans="1:14" ht="151.15" customHeight="1" x14ac:dyDescent="0.2">
      <c r="A1414" s="3">
        <v>1412</v>
      </c>
      <c r="B1414" s="3">
        <v>209523</v>
      </c>
      <c r="C1414" s="4" t="str">
        <f>HYPERLINK("http://optservis.net:5080/photo?tov_code_internet=209523","Увеличить")</f>
        <v>Увеличить</v>
      </c>
      <c r="D1414" s="3" t="s">
        <v>2964</v>
      </c>
      <c r="E1414" s="3"/>
      <c r="F1414" s="3" t="s">
        <v>2660</v>
      </c>
      <c r="G1414" s="3" t="s">
        <v>430</v>
      </c>
      <c r="H1414" s="3">
        <v>0.5</v>
      </c>
      <c r="I1414" s="3">
        <v>0</v>
      </c>
      <c r="J1414" s="3" t="s">
        <v>18</v>
      </c>
      <c r="K1414" s="5">
        <v>0.1</v>
      </c>
      <c r="L1414" s="6">
        <v>0</v>
      </c>
      <c r="M1414" s="7" t="s">
        <v>2965</v>
      </c>
      <c r="N1414" s="8">
        <f>VLOOKUP(B1414,'[1]новый без картинок'!$A$5:$F$2672,6,0)</f>
        <v>1014</v>
      </c>
    </row>
    <row r="1415" spans="1:14" ht="151.15" customHeight="1" x14ac:dyDescent="0.2">
      <c r="A1415" s="3">
        <v>1413</v>
      </c>
      <c r="B1415" s="3">
        <v>209640</v>
      </c>
      <c r="C1415" s="4" t="str">
        <f>HYPERLINK("http://optservis.net:5080/photo?tov_code_internet=209640","Увеличить")</f>
        <v>Увеличить</v>
      </c>
      <c r="D1415" s="3" t="s">
        <v>2964</v>
      </c>
      <c r="E1415" s="3"/>
      <c r="F1415" s="3" t="s">
        <v>2966</v>
      </c>
      <c r="G1415" s="3" t="s">
        <v>430</v>
      </c>
      <c r="H1415" s="3">
        <v>0.5</v>
      </c>
      <c r="I1415" s="3">
        <v>0</v>
      </c>
      <c r="J1415" s="3" t="s">
        <v>18</v>
      </c>
      <c r="K1415" s="5">
        <v>0.1</v>
      </c>
      <c r="L1415" s="6">
        <v>0</v>
      </c>
      <c r="M1415" s="7" t="s">
        <v>2965</v>
      </c>
      <c r="N1415" s="8">
        <f>VLOOKUP(B1415,'[1]новый без картинок'!$A$5:$F$2672,6,0)</f>
        <v>1014</v>
      </c>
    </row>
    <row r="1416" spans="1:14" ht="151.15" customHeight="1" x14ac:dyDescent="0.2">
      <c r="A1416" s="3">
        <v>1414</v>
      </c>
      <c r="B1416" s="3">
        <v>211149</v>
      </c>
      <c r="C1416" s="4" t="str">
        <f>HYPERLINK("http://optservis.net:5080/photo?tov_code_internet=211149","Увеличить")</f>
        <v>Увеличить</v>
      </c>
      <c r="D1416" s="3" t="s">
        <v>2967</v>
      </c>
      <c r="E1416" s="3"/>
      <c r="F1416" s="3" t="s">
        <v>429</v>
      </c>
      <c r="G1416" s="3" t="s">
        <v>430</v>
      </c>
      <c r="H1416" s="3">
        <v>0.5</v>
      </c>
      <c r="I1416" s="3">
        <v>0</v>
      </c>
      <c r="J1416" s="3" t="s">
        <v>18</v>
      </c>
      <c r="K1416" s="5">
        <v>7.0000000000000007E-2</v>
      </c>
      <c r="L1416" s="6">
        <v>0</v>
      </c>
      <c r="M1416" s="7" t="s">
        <v>2968</v>
      </c>
      <c r="N1416" s="8">
        <f>VLOOKUP(B1416,'[1]новый без картинок'!$A$5:$F$2672,6,0)</f>
        <v>389</v>
      </c>
    </row>
    <row r="1417" spans="1:14" ht="151.15" customHeight="1" x14ac:dyDescent="0.2">
      <c r="A1417" s="3">
        <v>1415</v>
      </c>
      <c r="B1417" s="3">
        <v>211181</v>
      </c>
      <c r="C1417" s="4" t="str">
        <f>HYPERLINK("http://optservis.net:5080/photo?tov_code_internet=211181","Увеличить")</f>
        <v>Увеличить</v>
      </c>
      <c r="D1417" s="3" t="s">
        <v>2967</v>
      </c>
      <c r="E1417" s="3"/>
      <c r="F1417" s="3" t="s">
        <v>2969</v>
      </c>
      <c r="G1417" s="3" t="s">
        <v>430</v>
      </c>
      <c r="H1417" s="3">
        <v>0.5</v>
      </c>
      <c r="I1417" s="3">
        <v>0</v>
      </c>
      <c r="J1417" s="3" t="s">
        <v>18</v>
      </c>
      <c r="K1417" s="5">
        <v>7.0000000000000007E-2</v>
      </c>
      <c r="L1417" s="6">
        <v>0</v>
      </c>
      <c r="M1417" s="7" t="s">
        <v>2925</v>
      </c>
      <c r="N1417" s="8">
        <f>VLOOKUP(B1417,'[1]новый без картинок'!$A$5:$F$2672,6,0)</f>
        <v>390</v>
      </c>
    </row>
    <row r="1418" spans="1:14" ht="151.15" customHeight="1" x14ac:dyDescent="0.2">
      <c r="A1418" s="3">
        <v>1416</v>
      </c>
      <c r="B1418" s="3">
        <v>211150</v>
      </c>
      <c r="C1418" s="4" t="str">
        <f>HYPERLINK("http://optservis.net:5080/photo?tov_code_internet=211150","Увеличить")</f>
        <v>Увеличить</v>
      </c>
      <c r="D1418" s="3" t="s">
        <v>2967</v>
      </c>
      <c r="E1418" s="3"/>
      <c r="F1418" s="3" t="s">
        <v>2374</v>
      </c>
      <c r="G1418" s="3" t="s">
        <v>430</v>
      </c>
      <c r="H1418" s="3">
        <v>0.5</v>
      </c>
      <c r="I1418" s="3">
        <v>0</v>
      </c>
      <c r="J1418" s="3" t="s">
        <v>18</v>
      </c>
      <c r="K1418" s="5">
        <v>7.0000000000000007E-2</v>
      </c>
      <c r="L1418" s="6">
        <v>0</v>
      </c>
      <c r="M1418" s="7" t="s">
        <v>2968</v>
      </c>
      <c r="N1418" s="8">
        <f>VLOOKUP(B1418,'[1]новый без картинок'!$A$5:$F$2672,6,0)</f>
        <v>389</v>
      </c>
    </row>
    <row r="1419" spans="1:14" ht="151.15" customHeight="1" x14ac:dyDescent="0.2">
      <c r="A1419" s="3">
        <v>1417</v>
      </c>
      <c r="B1419" s="3">
        <v>211182</v>
      </c>
      <c r="C1419" s="4" t="str">
        <f>HYPERLINK("http://optservis.net:5080/photo?tov_code_internet=211182","Увеличить")</f>
        <v>Увеличить</v>
      </c>
      <c r="D1419" s="3" t="s">
        <v>2967</v>
      </c>
      <c r="E1419" s="3"/>
      <c r="F1419" s="3" t="s">
        <v>2410</v>
      </c>
      <c r="G1419" s="3" t="s">
        <v>430</v>
      </c>
      <c r="H1419" s="3">
        <v>0.5</v>
      </c>
      <c r="I1419" s="3">
        <v>0</v>
      </c>
      <c r="J1419" s="3" t="s">
        <v>18</v>
      </c>
      <c r="K1419" s="5">
        <v>7.0000000000000007E-2</v>
      </c>
      <c r="L1419" s="6">
        <v>0</v>
      </c>
      <c r="M1419" s="7" t="s">
        <v>2925</v>
      </c>
      <c r="N1419" s="8">
        <f>VLOOKUP(B1419,'[1]новый без картинок'!$A$5:$F$2672,6,0)</f>
        <v>390</v>
      </c>
    </row>
    <row r="1420" spans="1:14" ht="151.15" customHeight="1" x14ac:dyDescent="0.2">
      <c r="A1420" s="3">
        <v>1418</v>
      </c>
      <c r="B1420" s="3">
        <v>209517</v>
      </c>
      <c r="C1420" s="4" t="str">
        <f>HYPERLINK("http://optservis.net:5080/photo?tov_code_internet=209517","Увеличить")</f>
        <v>Увеличить</v>
      </c>
      <c r="D1420" s="3" t="s">
        <v>2970</v>
      </c>
      <c r="E1420" s="3"/>
      <c r="F1420" s="3" t="s">
        <v>1488</v>
      </c>
      <c r="G1420" s="3" t="s">
        <v>430</v>
      </c>
      <c r="H1420" s="3">
        <v>0.5</v>
      </c>
      <c r="I1420" s="3">
        <v>0</v>
      </c>
      <c r="J1420" s="3" t="s">
        <v>18</v>
      </c>
      <c r="K1420" s="5">
        <v>0.15</v>
      </c>
      <c r="L1420" s="6">
        <v>0</v>
      </c>
      <c r="M1420" s="7" t="s">
        <v>2390</v>
      </c>
      <c r="N1420" s="8">
        <f>VLOOKUP(B1420,'[1]новый без картинок'!$A$5:$F$2672,6,0)</f>
        <v>354</v>
      </c>
    </row>
    <row r="1421" spans="1:14" ht="151.15" customHeight="1" x14ac:dyDescent="0.2">
      <c r="A1421" s="3">
        <v>1419</v>
      </c>
      <c r="B1421" s="3">
        <v>209636</v>
      </c>
      <c r="C1421" s="4" t="str">
        <f>HYPERLINK("http://optservis.net:5080/photo?tov_code_internet=209636","Увеличить")</f>
        <v>Увеличить</v>
      </c>
      <c r="D1421" s="3" t="s">
        <v>2970</v>
      </c>
      <c r="E1421" s="3"/>
      <c r="F1421" s="3" t="s">
        <v>2393</v>
      </c>
      <c r="G1421" s="3" t="s">
        <v>430</v>
      </c>
      <c r="H1421" s="3">
        <v>0.5</v>
      </c>
      <c r="I1421" s="3">
        <v>0</v>
      </c>
      <c r="J1421" s="3" t="s">
        <v>18</v>
      </c>
      <c r="K1421" s="5">
        <v>0.15</v>
      </c>
      <c r="L1421" s="6">
        <v>0</v>
      </c>
      <c r="M1421" s="7" t="s">
        <v>2390</v>
      </c>
      <c r="N1421" s="8">
        <f>VLOOKUP(B1421,'[1]новый без картинок'!$A$5:$F$2672,6,0)</f>
        <v>354</v>
      </c>
    </row>
    <row r="1422" spans="1:14" ht="151.15" customHeight="1" x14ac:dyDescent="0.2">
      <c r="A1422" s="3">
        <v>1420</v>
      </c>
      <c r="B1422" s="3">
        <v>209637</v>
      </c>
      <c r="C1422" s="4" t="str">
        <f>HYPERLINK("http://optservis.net:5080/photo?tov_code_internet=209637","Увеличить")</f>
        <v>Увеличить</v>
      </c>
      <c r="D1422" s="3" t="s">
        <v>2970</v>
      </c>
      <c r="E1422" s="3"/>
      <c r="F1422" s="3" t="s">
        <v>2374</v>
      </c>
      <c r="G1422" s="3" t="s">
        <v>430</v>
      </c>
      <c r="H1422" s="3">
        <v>0.5</v>
      </c>
      <c r="I1422" s="3">
        <v>0</v>
      </c>
      <c r="J1422" s="3" t="s">
        <v>18</v>
      </c>
      <c r="K1422" s="5">
        <v>0.15</v>
      </c>
      <c r="L1422" s="6">
        <v>0</v>
      </c>
      <c r="M1422" s="7" t="s">
        <v>2390</v>
      </c>
      <c r="N1422" s="8">
        <f>VLOOKUP(B1422,'[1]новый без картинок'!$A$5:$F$2672,6,0)</f>
        <v>354</v>
      </c>
    </row>
    <row r="1423" spans="1:14" ht="151.15" customHeight="1" x14ac:dyDescent="0.2">
      <c r="A1423" s="3">
        <v>1421</v>
      </c>
      <c r="B1423" s="3">
        <v>209519</v>
      </c>
      <c r="C1423" s="4" t="str">
        <f>HYPERLINK("http://optservis.net:5080/photo?tov_code_internet=209519","Увеличить")</f>
        <v>Увеличить</v>
      </c>
      <c r="D1423" s="3" t="s">
        <v>2971</v>
      </c>
      <c r="E1423" s="3"/>
      <c r="F1423" s="3" t="s">
        <v>2972</v>
      </c>
      <c r="G1423" s="3" t="s">
        <v>1469</v>
      </c>
      <c r="H1423" s="3">
        <v>0.5</v>
      </c>
      <c r="I1423" s="3">
        <v>0</v>
      </c>
      <c r="J1423" s="3" t="s">
        <v>18</v>
      </c>
      <c r="K1423" s="5">
        <v>7.0000000000000007E-2</v>
      </c>
      <c r="L1423" s="6">
        <v>0</v>
      </c>
      <c r="M1423" s="7" t="s">
        <v>2973</v>
      </c>
      <c r="N1423" s="8">
        <f>VLOOKUP(B1423,'[1]новый без картинок'!$A$5:$F$2672,6,0)</f>
        <v>545</v>
      </c>
    </row>
    <row r="1424" spans="1:14" ht="151.15" customHeight="1" x14ac:dyDescent="0.2">
      <c r="A1424" s="3">
        <v>1422</v>
      </c>
      <c r="B1424" s="3">
        <v>209638</v>
      </c>
      <c r="C1424" s="4" t="str">
        <f>HYPERLINK("http://optservis.net:5080/photo?tov_code_internet=209638","Увеличить")</f>
        <v>Увеличить</v>
      </c>
      <c r="D1424" s="3" t="s">
        <v>2971</v>
      </c>
      <c r="E1424" s="3"/>
      <c r="F1424" s="3" t="s">
        <v>2974</v>
      </c>
      <c r="G1424" s="3" t="s">
        <v>1469</v>
      </c>
      <c r="H1424" s="3">
        <v>0.5</v>
      </c>
      <c r="I1424" s="3">
        <v>0</v>
      </c>
      <c r="J1424" s="3" t="s">
        <v>18</v>
      </c>
      <c r="K1424" s="5">
        <v>7.0000000000000007E-2</v>
      </c>
      <c r="L1424" s="6">
        <v>0</v>
      </c>
      <c r="M1424" s="7" t="s">
        <v>2973</v>
      </c>
      <c r="N1424" s="8">
        <f>VLOOKUP(B1424,'[1]новый без картинок'!$A$5:$F$2672,6,0)</f>
        <v>584</v>
      </c>
    </row>
    <row r="1425" spans="1:14" ht="151.15" customHeight="1" x14ac:dyDescent="0.2">
      <c r="A1425" s="3">
        <v>1423</v>
      </c>
      <c r="B1425" s="3">
        <v>209518</v>
      </c>
      <c r="C1425" s="4" t="str">
        <f>HYPERLINK("http://optservis.net:5080/photo?tov_code_internet=209518","Увеличить")</f>
        <v>Увеличить</v>
      </c>
      <c r="D1425" s="3" t="s">
        <v>2975</v>
      </c>
      <c r="E1425" s="3"/>
      <c r="F1425" s="3" t="s">
        <v>2391</v>
      </c>
      <c r="G1425" s="3" t="s">
        <v>430</v>
      </c>
      <c r="H1425" s="3">
        <v>0.5</v>
      </c>
      <c r="I1425" s="3">
        <v>0</v>
      </c>
      <c r="J1425" s="3" t="s">
        <v>18</v>
      </c>
      <c r="K1425" s="5">
        <v>0.23</v>
      </c>
      <c r="L1425" s="6">
        <v>0</v>
      </c>
      <c r="M1425" s="7" t="s">
        <v>2390</v>
      </c>
      <c r="N1425" s="8">
        <f>VLOOKUP(B1425,'[1]новый без картинок'!$A$5:$F$2672,6,0)</f>
        <v>442</v>
      </c>
    </row>
    <row r="1426" spans="1:14" ht="151.15" customHeight="1" x14ac:dyDescent="0.2">
      <c r="A1426" s="3">
        <v>1424</v>
      </c>
      <c r="B1426" s="3">
        <v>209521</v>
      </c>
      <c r="C1426" s="4" t="str">
        <f>HYPERLINK("http://optservis.net:5080/photo?tov_code_internet=209521","Увеличить")</f>
        <v>Увеличить</v>
      </c>
      <c r="D1426" s="3" t="s">
        <v>2976</v>
      </c>
      <c r="E1426" s="3"/>
      <c r="F1426" s="3" t="s">
        <v>2666</v>
      </c>
      <c r="G1426" s="3" t="s">
        <v>1045</v>
      </c>
      <c r="H1426" s="3">
        <v>0.5</v>
      </c>
      <c r="I1426" s="3">
        <v>0</v>
      </c>
      <c r="J1426" s="3" t="s">
        <v>18</v>
      </c>
      <c r="K1426" s="5">
        <v>7.0000000000000007E-2</v>
      </c>
      <c r="L1426" s="6">
        <v>0</v>
      </c>
      <c r="M1426" s="7" t="s">
        <v>2977</v>
      </c>
      <c r="N1426" s="8">
        <f>VLOOKUP(B1426,'[1]новый без картинок'!$A$5:$F$2672,6,0)</f>
        <v>572</v>
      </c>
    </row>
    <row r="1427" spans="1:14" ht="151.15" customHeight="1" x14ac:dyDescent="0.2">
      <c r="A1427" s="3">
        <v>1425</v>
      </c>
      <c r="B1427" s="3">
        <v>209642</v>
      </c>
      <c r="C1427" s="4" t="str">
        <f>HYPERLINK("http://optservis.net:5080/photo?tov_code_internet=209642","Увеличить")</f>
        <v>Увеличить</v>
      </c>
      <c r="D1427" s="3" t="s">
        <v>2976</v>
      </c>
      <c r="E1427" s="3"/>
      <c r="F1427" s="3" t="s">
        <v>2978</v>
      </c>
      <c r="G1427" s="3" t="s">
        <v>1045</v>
      </c>
      <c r="H1427" s="3">
        <v>0.5</v>
      </c>
      <c r="I1427" s="3">
        <v>0</v>
      </c>
      <c r="J1427" s="3" t="s">
        <v>18</v>
      </c>
      <c r="K1427" s="5">
        <v>7.0000000000000007E-2</v>
      </c>
      <c r="L1427" s="6">
        <v>0</v>
      </c>
      <c r="M1427" s="7" t="s">
        <v>2977</v>
      </c>
      <c r="N1427" s="8">
        <f>VLOOKUP(B1427,'[1]новый без картинок'!$A$5:$F$2672,6,0)</f>
        <v>566</v>
      </c>
    </row>
    <row r="1428" spans="1:14" ht="151.15" customHeight="1" x14ac:dyDescent="0.2">
      <c r="A1428" s="3">
        <v>1426</v>
      </c>
      <c r="B1428" s="3">
        <v>209522</v>
      </c>
      <c r="C1428" s="4" t="str">
        <f>HYPERLINK("http://optservis.net:5080/photo?tov_code_internet=209522","Увеличить")</f>
        <v>Увеличить</v>
      </c>
      <c r="D1428" s="3" t="s">
        <v>2979</v>
      </c>
      <c r="E1428" s="3"/>
      <c r="F1428" s="3" t="s">
        <v>2980</v>
      </c>
      <c r="G1428" s="3" t="s">
        <v>1479</v>
      </c>
      <c r="H1428" s="3">
        <v>0.5</v>
      </c>
      <c r="I1428" s="3">
        <v>0</v>
      </c>
      <c r="J1428" s="3" t="s">
        <v>18</v>
      </c>
      <c r="K1428" s="5">
        <v>7.0000000000000007E-2</v>
      </c>
      <c r="L1428" s="6">
        <v>0</v>
      </c>
      <c r="M1428" s="7" t="s">
        <v>2981</v>
      </c>
      <c r="N1428" s="8">
        <f>VLOOKUP(B1428,'[1]новый без картинок'!$A$5:$F$2672,6,0)</f>
        <v>675</v>
      </c>
    </row>
    <row r="1429" spans="1:14" ht="151.15" customHeight="1" x14ac:dyDescent="0.2">
      <c r="A1429" s="3">
        <v>1427</v>
      </c>
      <c r="B1429" s="3">
        <v>209641</v>
      </c>
      <c r="C1429" s="4" t="str">
        <f>HYPERLINK("http://optservis.net:5080/photo?tov_code_internet=209641","Увеличить")</f>
        <v>Увеличить</v>
      </c>
      <c r="D1429" s="3" t="s">
        <v>2979</v>
      </c>
      <c r="E1429" s="3"/>
      <c r="F1429" s="3" t="s">
        <v>2982</v>
      </c>
      <c r="G1429" s="3" t="s">
        <v>1479</v>
      </c>
      <c r="H1429" s="3">
        <v>0.5</v>
      </c>
      <c r="I1429" s="3">
        <v>0</v>
      </c>
      <c r="J1429" s="3" t="s">
        <v>18</v>
      </c>
      <c r="K1429" s="5">
        <v>7.0000000000000007E-2</v>
      </c>
      <c r="L1429" s="6">
        <v>0</v>
      </c>
      <c r="M1429" s="7" t="s">
        <v>2981</v>
      </c>
      <c r="N1429" s="8">
        <f>VLOOKUP(B1429,'[1]новый без картинок'!$A$5:$F$2672,6,0)</f>
        <v>675</v>
      </c>
    </row>
    <row r="1430" spans="1:14" ht="151.15" customHeight="1" x14ac:dyDescent="0.2">
      <c r="A1430" s="3">
        <v>1428</v>
      </c>
      <c r="B1430" s="3">
        <v>209524</v>
      </c>
      <c r="C1430" s="4" t="str">
        <f>HYPERLINK("http://optservis.net:5080/photo?tov_code_internet=209524","Увеличить")</f>
        <v>Увеличить</v>
      </c>
      <c r="D1430" s="3" t="s">
        <v>2983</v>
      </c>
      <c r="E1430" s="3"/>
      <c r="F1430" s="3" t="s">
        <v>2984</v>
      </c>
      <c r="G1430" s="3" t="s">
        <v>1479</v>
      </c>
      <c r="H1430" s="3">
        <v>0.5</v>
      </c>
      <c r="I1430" s="3">
        <v>0</v>
      </c>
      <c r="J1430" s="3" t="s">
        <v>18</v>
      </c>
      <c r="K1430" s="5">
        <v>0.08</v>
      </c>
      <c r="L1430" s="6">
        <v>0</v>
      </c>
      <c r="M1430" s="7" t="s">
        <v>2985</v>
      </c>
      <c r="N1430" s="8">
        <f>VLOOKUP(B1430,'[1]новый без картинок'!$A$5:$F$2672,6,0)</f>
        <v>575</v>
      </c>
    </row>
    <row r="1431" spans="1:14" ht="151.15" customHeight="1" x14ac:dyDescent="0.2">
      <c r="A1431" s="3">
        <v>1429</v>
      </c>
      <c r="B1431" s="3">
        <v>212262</v>
      </c>
      <c r="C1431" s="4" t="str">
        <f>HYPERLINK("http://optservis.net:5080/photo?tov_code_internet=212262","Увеличить")</f>
        <v>Увеличить</v>
      </c>
      <c r="D1431" s="3" t="s">
        <v>2986</v>
      </c>
      <c r="E1431" s="3"/>
      <c r="F1431" s="3" t="s">
        <v>2216</v>
      </c>
      <c r="G1431" s="3" t="s">
        <v>430</v>
      </c>
      <c r="H1431" s="3">
        <v>0.5</v>
      </c>
      <c r="I1431" s="3">
        <v>0</v>
      </c>
      <c r="J1431" s="3" t="s">
        <v>18</v>
      </c>
      <c r="K1431" s="5">
        <v>0.06</v>
      </c>
      <c r="L1431" s="6">
        <v>0</v>
      </c>
      <c r="M1431" s="7" t="s">
        <v>2987</v>
      </c>
      <c r="N1431" s="8">
        <f>VLOOKUP(B1431,'[1]новый без картинок'!$A$5:$F$2672,6,0)</f>
        <v>399</v>
      </c>
    </row>
    <row r="1432" spans="1:14" ht="151.15" customHeight="1" x14ac:dyDescent="0.2">
      <c r="A1432" s="3">
        <v>1430</v>
      </c>
      <c r="B1432" s="3">
        <v>211155</v>
      </c>
      <c r="C1432" s="4" t="str">
        <f>HYPERLINK("http://optservis.net:5080/photo?tov_code_internet=211155","Увеличить")</f>
        <v>Увеличить</v>
      </c>
      <c r="D1432" s="3" t="s">
        <v>2986</v>
      </c>
      <c r="E1432" s="3"/>
      <c r="F1432" s="3" t="s">
        <v>2436</v>
      </c>
      <c r="G1432" s="3" t="s">
        <v>430</v>
      </c>
      <c r="H1432" s="3">
        <v>0.5</v>
      </c>
      <c r="I1432" s="3">
        <v>0</v>
      </c>
      <c r="J1432" s="3" t="s">
        <v>18</v>
      </c>
      <c r="K1432" s="5">
        <v>0.08</v>
      </c>
      <c r="L1432" s="6">
        <v>0</v>
      </c>
      <c r="M1432" s="7" t="s">
        <v>2988</v>
      </c>
      <c r="N1432" s="8">
        <f>VLOOKUP(B1432,'[1]новый без картинок'!$A$5:$F$2672,6,0)</f>
        <v>389</v>
      </c>
    </row>
    <row r="1433" spans="1:14" ht="151.15" customHeight="1" x14ac:dyDescent="0.2">
      <c r="A1433" s="3">
        <v>1431</v>
      </c>
      <c r="B1433" s="3">
        <v>211177</v>
      </c>
      <c r="C1433" s="4" t="str">
        <f>HYPERLINK("http://optservis.net:5080/photo?tov_code_internet=211177","Увеличить")</f>
        <v>Увеличить</v>
      </c>
      <c r="D1433" s="3" t="s">
        <v>2986</v>
      </c>
      <c r="E1433" s="3"/>
      <c r="F1433" s="3" t="s">
        <v>2452</v>
      </c>
      <c r="G1433" s="3" t="s">
        <v>430</v>
      </c>
      <c r="H1433" s="3">
        <v>0.5</v>
      </c>
      <c r="I1433" s="3">
        <v>0</v>
      </c>
      <c r="J1433" s="3" t="s">
        <v>18</v>
      </c>
      <c r="K1433" s="5">
        <v>0.08</v>
      </c>
      <c r="L1433" s="6">
        <v>0</v>
      </c>
      <c r="M1433" s="7" t="s">
        <v>2987</v>
      </c>
      <c r="N1433" s="8">
        <f>VLOOKUP(B1433,'[1]новый без картинок'!$A$5:$F$2672,6,0)</f>
        <v>391</v>
      </c>
    </row>
    <row r="1434" spans="1:14" ht="151.15" customHeight="1" x14ac:dyDescent="0.2">
      <c r="A1434" s="3">
        <v>1432</v>
      </c>
      <c r="B1434" s="3">
        <v>211154</v>
      </c>
      <c r="C1434" s="4" t="str">
        <f>HYPERLINK("http://optservis.net:5080/photo?tov_code_internet=211154","Увеличить")</f>
        <v>Увеличить</v>
      </c>
      <c r="D1434" s="3" t="s">
        <v>2986</v>
      </c>
      <c r="E1434" s="3"/>
      <c r="F1434" s="3" t="s">
        <v>2433</v>
      </c>
      <c r="G1434" s="3" t="s">
        <v>430</v>
      </c>
      <c r="H1434" s="3">
        <v>0.5</v>
      </c>
      <c r="I1434" s="3">
        <v>0</v>
      </c>
      <c r="J1434" s="3" t="s">
        <v>18</v>
      </c>
      <c r="K1434" s="5">
        <v>0.08</v>
      </c>
      <c r="L1434" s="6">
        <v>0</v>
      </c>
      <c r="M1434" s="7" t="s">
        <v>2988</v>
      </c>
      <c r="N1434" s="8">
        <f>VLOOKUP(B1434,'[1]новый без картинок'!$A$5:$F$2672,6,0)</f>
        <v>389</v>
      </c>
    </row>
    <row r="1435" spans="1:14" ht="151.15" customHeight="1" x14ac:dyDescent="0.2">
      <c r="A1435" s="3">
        <v>1433</v>
      </c>
      <c r="B1435" s="3">
        <v>211178</v>
      </c>
      <c r="C1435" s="4" t="str">
        <f>HYPERLINK("http://optservis.net:5080/photo?tov_code_internet=211178","Увеличить")</f>
        <v>Увеличить</v>
      </c>
      <c r="D1435" s="3" t="s">
        <v>2986</v>
      </c>
      <c r="E1435" s="3"/>
      <c r="F1435" s="3" t="s">
        <v>2989</v>
      </c>
      <c r="G1435" s="3" t="s">
        <v>430</v>
      </c>
      <c r="H1435" s="3">
        <v>0.5</v>
      </c>
      <c r="I1435" s="3">
        <v>0</v>
      </c>
      <c r="J1435" s="3" t="s">
        <v>18</v>
      </c>
      <c r="K1435" s="5">
        <v>0.08</v>
      </c>
      <c r="L1435" s="6">
        <v>0</v>
      </c>
      <c r="M1435" s="7" t="s">
        <v>2990</v>
      </c>
      <c r="N1435" s="8">
        <f>VLOOKUP(B1435,'[1]новый без картинок'!$A$5:$F$2672,6,0)</f>
        <v>391</v>
      </c>
    </row>
    <row r="1436" spans="1:14" ht="151.15" customHeight="1" x14ac:dyDescent="0.2">
      <c r="A1436" s="3">
        <v>1434</v>
      </c>
      <c r="B1436" s="3">
        <v>212272</v>
      </c>
      <c r="C1436" s="4" t="str">
        <f>HYPERLINK("http://optservis.net:5080/photo?tov_code_internet=212272","Увеличить")</f>
        <v>Увеличить</v>
      </c>
      <c r="D1436" s="3" t="s">
        <v>2991</v>
      </c>
      <c r="E1436" s="3"/>
      <c r="F1436" s="3" t="s">
        <v>2162</v>
      </c>
      <c r="G1436" s="3" t="s">
        <v>430</v>
      </c>
      <c r="H1436" s="3">
        <v>0.5</v>
      </c>
      <c r="I1436" s="3">
        <v>0</v>
      </c>
      <c r="J1436" s="3" t="s">
        <v>18</v>
      </c>
      <c r="K1436" s="5">
        <v>0.13</v>
      </c>
      <c r="L1436" s="6">
        <v>0</v>
      </c>
      <c r="M1436" s="7" t="s">
        <v>2992</v>
      </c>
      <c r="N1436" s="8">
        <f>VLOOKUP(B1436,'[1]новый без картинок'!$A$5:$F$2672,6,0)</f>
        <v>361</v>
      </c>
    </row>
    <row r="1437" spans="1:14" ht="151.15" customHeight="1" x14ac:dyDescent="0.2">
      <c r="A1437" s="3">
        <v>1435</v>
      </c>
      <c r="B1437" s="3">
        <v>212271</v>
      </c>
      <c r="C1437" s="4" t="str">
        <f>HYPERLINK("http://optservis.net:5080/photo?tov_code_internet=212271","Увеличить")</f>
        <v>Увеличить</v>
      </c>
      <c r="D1437" s="3" t="s">
        <v>2993</v>
      </c>
      <c r="E1437" s="3"/>
      <c r="F1437" s="3" t="s">
        <v>2994</v>
      </c>
      <c r="G1437" s="3" t="s">
        <v>430</v>
      </c>
      <c r="H1437" s="3">
        <v>0.5</v>
      </c>
      <c r="I1437" s="3">
        <v>0</v>
      </c>
      <c r="J1437" s="3" t="s">
        <v>18</v>
      </c>
      <c r="K1437" s="5">
        <v>0.22</v>
      </c>
      <c r="L1437" s="6">
        <v>0</v>
      </c>
      <c r="M1437" s="7" t="s">
        <v>2995</v>
      </c>
      <c r="N1437" s="8">
        <f>VLOOKUP(B1437,'[1]новый без картинок'!$A$5:$F$2672,6,0)</f>
        <v>450</v>
      </c>
    </row>
    <row r="1438" spans="1:14" ht="151.15" customHeight="1" x14ac:dyDescent="0.2">
      <c r="A1438" s="3">
        <v>1436</v>
      </c>
      <c r="B1438" s="3">
        <v>212265</v>
      </c>
      <c r="C1438" s="4" t="str">
        <f>HYPERLINK("http://optservis.net:5080/photo?tov_code_internet=212265","Увеличить")</f>
        <v>Увеличить</v>
      </c>
      <c r="D1438" s="3" t="s">
        <v>2996</v>
      </c>
      <c r="E1438" s="3"/>
      <c r="F1438" s="3" t="s">
        <v>2997</v>
      </c>
      <c r="G1438" s="3" t="s">
        <v>1479</v>
      </c>
      <c r="H1438" s="3">
        <v>0.5</v>
      </c>
      <c r="I1438" s="3">
        <v>0</v>
      </c>
      <c r="J1438" s="3" t="s">
        <v>18</v>
      </c>
      <c r="K1438" s="5">
        <v>0.05</v>
      </c>
      <c r="L1438" s="6">
        <v>0</v>
      </c>
      <c r="M1438" s="7" t="s">
        <v>2998</v>
      </c>
      <c r="N1438" s="8">
        <f>VLOOKUP(B1438,'[1]новый без картинок'!$A$5:$F$2672,6,0)</f>
        <v>573</v>
      </c>
    </row>
    <row r="1439" spans="1:14" ht="151.15" customHeight="1" x14ac:dyDescent="0.2">
      <c r="A1439" s="3">
        <v>1437</v>
      </c>
      <c r="B1439" s="3">
        <v>180775</v>
      </c>
      <c r="C1439" s="4" t="str">
        <f>HYPERLINK("http://optservis.net:5080/photo?tov_code_internet=180775","Увеличить")</f>
        <v>Увеличить</v>
      </c>
      <c r="D1439" s="3" t="s">
        <v>2996</v>
      </c>
      <c r="E1439" s="3" t="s">
        <v>2999</v>
      </c>
      <c r="F1439" s="3" t="s">
        <v>3000</v>
      </c>
      <c r="G1439" s="3" t="s">
        <v>1479</v>
      </c>
      <c r="H1439" s="3">
        <v>0.5</v>
      </c>
      <c r="I1439" s="3">
        <v>0</v>
      </c>
      <c r="J1439" s="3" t="s">
        <v>18</v>
      </c>
      <c r="K1439" s="5">
        <v>0.08</v>
      </c>
      <c r="L1439" s="6">
        <v>4690654013486</v>
      </c>
      <c r="M1439" s="7" t="s">
        <v>2998</v>
      </c>
      <c r="N1439" s="8">
        <f>VLOOKUP(B1439,'[1]новый без картинок'!$A$5:$F$2672,6,0)</f>
        <v>567</v>
      </c>
    </row>
    <row r="1440" spans="1:14" ht="151.15" customHeight="1" x14ac:dyDescent="0.2">
      <c r="A1440" s="3">
        <v>1438</v>
      </c>
      <c r="B1440" s="3">
        <v>212264</v>
      </c>
      <c r="C1440" s="4" t="str">
        <f>HYPERLINK("http://optservis.net:5080/photo?tov_code_internet=212264","Увеличить")</f>
        <v>Увеличить</v>
      </c>
      <c r="D1440" s="3" t="s">
        <v>3001</v>
      </c>
      <c r="E1440" s="3"/>
      <c r="F1440" s="3" t="s">
        <v>3002</v>
      </c>
      <c r="G1440" s="3" t="s">
        <v>1479</v>
      </c>
      <c r="H1440" s="3">
        <v>0.5</v>
      </c>
      <c r="I1440" s="3">
        <v>0</v>
      </c>
      <c r="J1440" s="3" t="s">
        <v>18</v>
      </c>
      <c r="K1440" s="5">
        <v>0.06</v>
      </c>
      <c r="L1440" s="6">
        <v>0</v>
      </c>
      <c r="M1440" s="7" t="s">
        <v>3003</v>
      </c>
      <c r="N1440" s="8">
        <f>VLOOKUP(B1440,'[1]новый без картинок'!$A$5:$F$2672,6,0)</f>
        <v>705</v>
      </c>
    </row>
    <row r="1441" spans="1:14" ht="151.15" customHeight="1" x14ac:dyDescent="0.2">
      <c r="A1441" s="3">
        <v>1439</v>
      </c>
      <c r="B1441" s="3">
        <v>180807</v>
      </c>
      <c r="C1441" s="4" t="str">
        <f>HYPERLINK("http://optservis.net:5080/photo?tov_code_internet=180807","Увеличить")</f>
        <v>Увеличить</v>
      </c>
      <c r="D1441" s="3" t="s">
        <v>3004</v>
      </c>
      <c r="E1441" s="3" t="s">
        <v>3005</v>
      </c>
      <c r="F1441" s="3" t="s">
        <v>3006</v>
      </c>
      <c r="G1441" s="3" t="s">
        <v>1479</v>
      </c>
      <c r="H1441" s="3">
        <v>0.5</v>
      </c>
      <c r="I1441" s="3">
        <v>0</v>
      </c>
      <c r="J1441" s="3" t="s">
        <v>18</v>
      </c>
      <c r="K1441" s="5">
        <v>0.08</v>
      </c>
      <c r="L1441" s="6">
        <v>4690654014193</v>
      </c>
      <c r="M1441" s="7" t="s">
        <v>3007</v>
      </c>
      <c r="N1441" s="8">
        <f>VLOOKUP(B1441,'[1]новый без картинок'!$A$5:$F$2672,6,0)</f>
        <v>676</v>
      </c>
    </row>
    <row r="1442" spans="1:14" ht="151.15" customHeight="1" x14ac:dyDescent="0.2">
      <c r="A1442" s="3">
        <v>1440</v>
      </c>
      <c r="B1442" s="3">
        <v>212267</v>
      </c>
      <c r="C1442" s="4" t="str">
        <f>HYPERLINK("http://optservis.net:5080/photo?tov_code_internet=212267","Увеличить")</f>
        <v>Увеличить</v>
      </c>
      <c r="D1442" s="3" t="s">
        <v>3008</v>
      </c>
      <c r="E1442" s="3"/>
      <c r="F1442" s="3" t="s">
        <v>3009</v>
      </c>
      <c r="G1442" s="3" t="s">
        <v>1479</v>
      </c>
      <c r="H1442" s="3">
        <v>0.5</v>
      </c>
      <c r="I1442" s="3">
        <v>0</v>
      </c>
      <c r="J1442" s="3" t="s">
        <v>18</v>
      </c>
      <c r="K1442" s="5">
        <v>7.0000000000000007E-2</v>
      </c>
      <c r="L1442" s="6">
        <v>0</v>
      </c>
      <c r="M1442" s="7" t="s">
        <v>3010</v>
      </c>
      <c r="N1442" s="8">
        <f>VLOOKUP(B1442,'[1]новый без картинок'!$A$5:$F$2672,6,0)</f>
        <v>582</v>
      </c>
    </row>
    <row r="1443" spans="1:14" ht="151.15" customHeight="1" x14ac:dyDescent="0.2">
      <c r="A1443" s="3">
        <v>1441</v>
      </c>
      <c r="B1443" s="3">
        <v>211093</v>
      </c>
      <c r="C1443" s="4" t="str">
        <f>HYPERLINK("http://optservis.net:5080/photo?tov_code_internet=211093","Увеличить")</f>
        <v>Увеличить</v>
      </c>
      <c r="D1443" s="3" t="s">
        <v>3011</v>
      </c>
      <c r="E1443" s="3"/>
      <c r="F1443" s="3" t="s">
        <v>2457</v>
      </c>
      <c r="G1443" s="3" t="s">
        <v>430</v>
      </c>
      <c r="H1443" s="3">
        <v>0.5</v>
      </c>
      <c r="I1443" s="3">
        <v>0</v>
      </c>
      <c r="J1443" s="3" t="s">
        <v>18</v>
      </c>
      <c r="K1443" s="5">
        <v>0.08</v>
      </c>
      <c r="L1443" s="6">
        <v>0</v>
      </c>
      <c r="M1443" s="7" t="s">
        <v>3012</v>
      </c>
      <c r="N1443" s="8">
        <f>VLOOKUP(B1443,'[1]новый без картинок'!$A$5:$F$2672,6,0)</f>
        <v>423</v>
      </c>
    </row>
    <row r="1444" spans="1:14" ht="151.15" customHeight="1" x14ac:dyDescent="0.2">
      <c r="A1444" s="3">
        <v>1442</v>
      </c>
      <c r="B1444" s="3">
        <v>211192</v>
      </c>
      <c r="C1444" s="4" t="str">
        <f>HYPERLINK("http://optservis.net:5080/photo?tov_code_internet=211192","Увеличить")</f>
        <v>Увеличить</v>
      </c>
      <c r="D1444" s="3" t="s">
        <v>3011</v>
      </c>
      <c r="E1444" s="3"/>
      <c r="F1444" s="3" t="s">
        <v>3013</v>
      </c>
      <c r="G1444" s="3" t="s">
        <v>430</v>
      </c>
      <c r="H1444" s="3">
        <v>0.5</v>
      </c>
      <c r="I1444" s="3">
        <v>0</v>
      </c>
      <c r="J1444" s="3" t="s">
        <v>18</v>
      </c>
      <c r="K1444" s="5">
        <v>0.08</v>
      </c>
      <c r="L1444" s="6">
        <v>0</v>
      </c>
      <c r="M1444" s="7" t="s">
        <v>3014</v>
      </c>
      <c r="N1444" s="8">
        <f>VLOOKUP(B1444,'[1]новый без картинок'!$A$5:$F$2672,6,0)</f>
        <v>425</v>
      </c>
    </row>
    <row r="1445" spans="1:14" ht="151.15" customHeight="1" x14ac:dyDescent="0.2">
      <c r="A1445" s="3">
        <v>1443</v>
      </c>
      <c r="B1445" s="3">
        <v>191836</v>
      </c>
      <c r="C1445" s="4" t="str">
        <f>HYPERLINK("http://optservis.net:5080/photo?tov_code_internet=191836","Увеличить")</f>
        <v>Увеличить</v>
      </c>
      <c r="D1445" s="3" t="s">
        <v>3015</v>
      </c>
      <c r="E1445" s="3"/>
      <c r="F1445" s="3" t="s">
        <v>2480</v>
      </c>
      <c r="G1445" s="3" t="s">
        <v>1469</v>
      </c>
      <c r="H1445" s="3">
        <v>0.5</v>
      </c>
      <c r="I1445" s="3">
        <v>0</v>
      </c>
      <c r="J1445" s="3" t="s">
        <v>18</v>
      </c>
      <c r="K1445" s="5">
        <v>0.08</v>
      </c>
      <c r="L1445" s="6">
        <v>0</v>
      </c>
      <c r="M1445" s="7" t="s">
        <v>3016</v>
      </c>
      <c r="N1445" s="8">
        <f>VLOOKUP(B1445,'[1]новый без картинок'!$A$5:$F$2672,6,0)</f>
        <v>619</v>
      </c>
    </row>
    <row r="1446" spans="1:14" ht="151.15" customHeight="1" x14ac:dyDescent="0.2">
      <c r="A1446" s="3">
        <v>1444</v>
      </c>
      <c r="B1446" s="3">
        <v>191837</v>
      </c>
      <c r="C1446" s="4" t="str">
        <f>HYPERLINK("http://optservis.net:5080/photo?tov_code_internet=191837","Увеличить")</f>
        <v>Увеличить</v>
      </c>
      <c r="D1446" s="3" t="s">
        <v>3015</v>
      </c>
      <c r="E1446" s="3"/>
      <c r="F1446" s="3" t="s">
        <v>3017</v>
      </c>
      <c r="G1446" s="3" t="s">
        <v>1469</v>
      </c>
      <c r="H1446" s="3">
        <v>0.5</v>
      </c>
      <c r="I1446" s="3">
        <v>0</v>
      </c>
      <c r="J1446" s="3" t="s">
        <v>18</v>
      </c>
      <c r="K1446" s="5">
        <v>0.08</v>
      </c>
      <c r="L1446" s="6">
        <v>0</v>
      </c>
      <c r="M1446" s="7" t="s">
        <v>3016</v>
      </c>
      <c r="N1446" s="8">
        <f>VLOOKUP(B1446,'[1]новый без картинок'!$A$5:$F$2672,6,0)</f>
        <v>580</v>
      </c>
    </row>
    <row r="1447" spans="1:14" ht="151.15" customHeight="1" x14ac:dyDescent="0.2">
      <c r="A1447" s="3">
        <v>1445</v>
      </c>
      <c r="B1447" s="3">
        <v>191844</v>
      </c>
      <c r="C1447" s="4" t="str">
        <f>HYPERLINK("http://optservis.net:5080/photo?tov_code_internet=191844","Увеличить")</f>
        <v>Увеличить</v>
      </c>
      <c r="D1447" s="3" t="s">
        <v>3018</v>
      </c>
      <c r="E1447" s="3"/>
      <c r="F1447" s="3" t="s">
        <v>2457</v>
      </c>
      <c r="G1447" s="3" t="s">
        <v>430</v>
      </c>
      <c r="H1447" s="3">
        <v>0.5</v>
      </c>
      <c r="I1447" s="3">
        <v>0</v>
      </c>
      <c r="J1447" s="3" t="s">
        <v>18</v>
      </c>
      <c r="K1447" s="5">
        <v>0.25</v>
      </c>
      <c r="L1447" s="6">
        <v>0</v>
      </c>
      <c r="M1447" s="7" t="s">
        <v>3019</v>
      </c>
      <c r="N1447" s="8">
        <f>VLOOKUP(B1447,'[1]новый без картинок'!$A$5:$F$2672,6,0)</f>
        <v>467</v>
      </c>
    </row>
    <row r="1448" spans="1:14" ht="151.15" customHeight="1" x14ac:dyDescent="0.2">
      <c r="A1448" s="3">
        <v>1446</v>
      </c>
      <c r="B1448" s="3">
        <v>199962</v>
      </c>
      <c r="C1448" s="4" t="str">
        <f>HYPERLINK("http://optservis.net:5080/photo?tov_code_internet=199962","Увеличить")</f>
        <v>Увеличить</v>
      </c>
      <c r="D1448" s="3" t="s">
        <v>3020</v>
      </c>
      <c r="E1448" s="3"/>
      <c r="F1448" s="3" t="s">
        <v>3021</v>
      </c>
      <c r="G1448" s="3" t="s">
        <v>1479</v>
      </c>
      <c r="H1448" s="3">
        <v>0.5</v>
      </c>
      <c r="I1448" s="3">
        <v>0</v>
      </c>
      <c r="J1448" s="3" t="s">
        <v>18</v>
      </c>
      <c r="K1448" s="5">
        <v>0.08</v>
      </c>
      <c r="L1448" s="6">
        <v>0</v>
      </c>
      <c r="M1448" s="7" t="s">
        <v>3022</v>
      </c>
      <c r="N1448" s="8">
        <f>VLOOKUP(B1448,'[1]новый без картинок'!$A$5:$F$2672,6,0)</f>
        <v>601</v>
      </c>
    </row>
    <row r="1449" spans="1:14" ht="151.15" customHeight="1" x14ac:dyDescent="0.2">
      <c r="A1449" s="3">
        <v>1447</v>
      </c>
      <c r="B1449" s="3">
        <v>191852</v>
      </c>
      <c r="C1449" s="4" t="str">
        <f>HYPERLINK("http://optservis.net:5080/photo?tov_code_internet=191852","Увеличить")</f>
        <v>Увеличить</v>
      </c>
      <c r="D1449" s="3" t="s">
        <v>3020</v>
      </c>
      <c r="E1449" s="3"/>
      <c r="F1449" s="3" t="s">
        <v>2488</v>
      </c>
      <c r="G1449" s="3" t="s">
        <v>1479</v>
      </c>
      <c r="H1449" s="3">
        <v>0.5</v>
      </c>
      <c r="I1449" s="3">
        <v>0</v>
      </c>
      <c r="J1449" s="3" t="s">
        <v>18</v>
      </c>
      <c r="K1449" s="5">
        <v>0.08</v>
      </c>
      <c r="L1449" s="6">
        <v>0</v>
      </c>
      <c r="M1449" s="7" t="s">
        <v>3023</v>
      </c>
      <c r="N1449" s="8">
        <f>VLOOKUP(B1449,'[1]новый без картинок'!$A$5:$F$2672,6,0)</f>
        <v>606</v>
      </c>
    </row>
    <row r="1450" spans="1:14" ht="151.15" customHeight="1" x14ac:dyDescent="0.2">
      <c r="A1450" s="3">
        <v>1448</v>
      </c>
      <c r="B1450" s="3">
        <v>191847</v>
      </c>
      <c r="C1450" s="4" t="str">
        <f>HYPERLINK("http://optservis.net:5080/photo?tov_code_internet=191847","Увеличить")</f>
        <v>Увеличить</v>
      </c>
      <c r="D1450" s="3" t="s">
        <v>3024</v>
      </c>
      <c r="E1450" s="3" t="s">
        <v>3025</v>
      </c>
      <c r="F1450" s="3" t="s">
        <v>3026</v>
      </c>
      <c r="G1450" s="3" t="s">
        <v>1479</v>
      </c>
      <c r="H1450" s="3">
        <v>0.5</v>
      </c>
      <c r="I1450" s="3">
        <v>0</v>
      </c>
      <c r="J1450" s="3" t="s">
        <v>18</v>
      </c>
      <c r="K1450" s="5">
        <v>0.08</v>
      </c>
      <c r="L1450" s="6">
        <v>4690654016890</v>
      </c>
      <c r="M1450" s="7" t="s">
        <v>3027</v>
      </c>
      <c r="N1450" s="8">
        <f>VLOOKUP(B1450,'[1]новый без картинок'!$A$5:$F$2672,6,0)</f>
        <v>710</v>
      </c>
    </row>
    <row r="1451" spans="1:14" ht="151.15" customHeight="1" x14ac:dyDescent="0.2">
      <c r="A1451" s="3">
        <v>1449</v>
      </c>
      <c r="B1451" s="3">
        <v>206857</v>
      </c>
      <c r="C1451" s="4" t="str">
        <f>HYPERLINK("http://optservis.net:5080/photo?tov_code_internet=206857","Увеличить")</f>
        <v>Увеличить</v>
      </c>
      <c r="D1451" s="3" t="s">
        <v>3028</v>
      </c>
      <c r="E1451" s="3"/>
      <c r="F1451" s="3" t="s">
        <v>3029</v>
      </c>
      <c r="G1451" s="3" t="s">
        <v>430</v>
      </c>
      <c r="H1451" s="3">
        <v>0.5</v>
      </c>
      <c r="I1451" s="3">
        <v>0</v>
      </c>
      <c r="J1451" s="3" t="s">
        <v>18</v>
      </c>
      <c r="K1451" s="5">
        <v>0.11</v>
      </c>
      <c r="L1451" s="6">
        <v>0</v>
      </c>
      <c r="M1451" s="7" t="s">
        <v>3030</v>
      </c>
      <c r="N1451" s="8">
        <f>VLOOKUP(B1451,'[1]новый без картинок'!$A$5:$F$2672,6,0)</f>
        <v>1047</v>
      </c>
    </row>
    <row r="1452" spans="1:14" ht="151.15" customHeight="1" x14ac:dyDescent="0.2">
      <c r="A1452" s="3">
        <v>1450</v>
      </c>
      <c r="B1452" s="3">
        <v>211602</v>
      </c>
      <c r="C1452" s="4" t="str">
        <f>HYPERLINK("http://optservis.net:5080/photo?tov_code_internet=211602","Увеличить")</f>
        <v>Увеличить</v>
      </c>
      <c r="D1452" s="3" t="s">
        <v>3031</v>
      </c>
      <c r="E1452" s="3"/>
      <c r="F1452" s="3" t="s">
        <v>1874</v>
      </c>
      <c r="G1452" s="3" t="s">
        <v>430</v>
      </c>
      <c r="H1452" s="3">
        <v>0.5</v>
      </c>
      <c r="I1452" s="3">
        <v>0</v>
      </c>
      <c r="J1452" s="3" t="s">
        <v>18</v>
      </c>
      <c r="K1452" s="5">
        <v>7.0000000000000007E-2</v>
      </c>
      <c r="L1452" s="6">
        <v>0</v>
      </c>
      <c r="M1452" s="7" t="s">
        <v>3012</v>
      </c>
      <c r="N1452" s="8">
        <f>VLOOKUP(B1452,'[1]новый без картинок'!$A$5:$F$2672,6,0)</f>
        <v>421</v>
      </c>
    </row>
    <row r="1453" spans="1:14" ht="151.15" customHeight="1" x14ac:dyDescent="0.2">
      <c r="A1453" s="3">
        <v>1451</v>
      </c>
      <c r="B1453" s="3">
        <v>211090</v>
      </c>
      <c r="C1453" s="4" t="str">
        <f>HYPERLINK("http://optservis.net:5080/photo?tov_code_internet=211090","Увеличить")</f>
        <v>Увеличить</v>
      </c>
      <c r="D1453" s="3" t="s">
        <v>3031</v>
      </c>
      <c r="E1453" s="3"/>
      <c r="F1453" s="3" t="s">
        <v>2494</v>
      </c>
      <c r="G1453" s="3" t="s">
        <v>430</v>
      </c>
      <c r="H1453" s="3">
        <v>0.5</v>
      </c>
      <c r="I1453" s="3">
        <v>0</v>
      </c>
      <c r="J1453" s="3" t="s">
        <v>18</v>
      </c>
      <c r="K1453" s="5">
        <v>0.08</v>
      </c>
      <c r="L1453" s="6">
        <v>0</v>
      </c>
      <c r="M1453" s="7" t="s">
        <v>3012</v>
      </c>
      <c r="N1453" s="8">
        <f>VLOOKUP(B1453,'[1]новый без картинок'!$A$5:$F$2672,6,0)</f>
        <v>441</v>
      </c>
    </row>
    <row r="1454" spans="1:14" ht="151.15" customHeight="1" x14ac:dyDescent="0.2">
      <c r="A1454" s="3">
        <v>1452</v>
      </c>
      <c r="B1454" s="3">
        <v>211195</v>
      </c>
      <c r="C1454" s="4" t="str">
        <f>HYPERLINK("http://optservis.net:5080/photo?tov_code_internet=211195","Увеличить")</f>
        <v>Увеличить</v>
      </c>
      <c r="D1454" s="3" t="s">
        <v>3031</v>
      </c>
      <c r="E1454" s="3"/>
      <c r="F1454" s="3" t="s">
        <v>2543</v>
      </c>
      <c r="G1454" s="3" t="s">
        <v>430</v>
      </c>
      <c r="H1454" s="3">
        <v>0.5</v>
      </c>
      <c r="I1454" s="3">
        <v>0</v>
      </c>
      <c r="J1454" s="3" t="s">
        <v>18</v>
      </c>
      <c r="K1454" s="5">
        <v>0.08</v>
      </c>
      <c r="L1454" s="6">
        <v>0</v>
      </c>
      <c r="M1454" s="7" t="s">
        <v>3014</v>
      </c>
      <c r="N1454" s="8">
        <f>VLOOKUP(B1454,'[1]новый без картинок'!$A$5:$F$2672,6,0)</f>
        <v>443</v>
      </c>
    </row>
    <row r="1455" spans="1:14" ht="151.15" customHeight="1" x14ac:dyDescent="0.2">
      <c r="A1455" s="3">
        <v>1453</v>
      </c>
      <c r="B1455" s="3">
        <v>211091</v>
      </c>
      <c r="C1455" s="4" t="str">
        <f>HYPERLINK("http://optservis.net:5080/photo?tov_code_internet=211091","Увеличить")</f>
        <v>Увеличить</v>
      </c>
      <c r="D1455" s="3" t="s">
        <v>3031</v>
      </c>
      <c r="E1455" s="3"/>
      <c r="F1455" s="3" t="s">
        <v>2495</v>
      </c>
      <c r="G1455" s="3" t="s">
        <v>430</v>
      </c>
      <c r="H1455" s="3">
        <v>0.5</v>
      </c>
      <c r="I1455" s="3">
        <v>0</v>
      </c>
      <c r="J1455" s="3" t="s">
        <v>18</v>
      </c>
      <c r="K1455" s="5">
        <v>7.0000000000000007E-2</v>
      </c>
      <c r="L1455" s="6">
        <v>0</v>
      </c>
      <c r="M1455" s="7" t="s">
        <v>3012</v>
      </c>
      <c r="N1455" s="8">
        <f>VLOOKUP(B1455,'[1]новый без картинок'!$A$5:$F$2672,6,0)</f>
        <v>421</v>
      </c>
    </row>
    <row r="1456" spans="1:14" ht="151.15" customHeight="1" x14ac:dyDescent="0.2">
      <c r="A1456" s="3">
        <v>1454</v>
      </c>
      <c r="B1456" s="3">
        <v>211194</v>
      </c>
      <c r="C1456" s="4" t="str">
        <f>HYPERLINK("http://optservis.net:5080/photo?tov_code_internet=211194","Увеличить")</f>
        <v>Увеличить</v>
      </c>
      <c r="D1456" s="3" t="s">
        <v>3031</v>
      </c>
      <c r="E1456" s="3"/>
      <c r="F1456" s="3" t="s">
        <v>3032</v>
      </c>
      <c r="G1456" s="3" t="s">
        <v>430</v>
      </c>
      <c r="H1456" s="3">
        <v>0.5</v>
      </c>
      <c r="I1456" s="3">
        <v>0</v>
      </c>
      <c r="J1456" s="3" t="s">
        <v>18</v>
      </c>
      <c r="K1456" s="5">
        <v>7.0000000000000007E-2</v>
      </c>
      <c r="L1456" s="6">
        <v>0</v>
      </c>
      <c r="M1456" s="7" t="s">
        <v>3014</v>
      </c>
      <c r="N1456" s="8">
        <f>VLOOKUP(B1456,'[1]новый без картинок'!$A$5:$F$2672,6,0)</f>
        <v>423</v>
      </c>
    </row>
    <row r="1457" spans="1:14" ht="151.15" customHeight="1" x14ac:dyDescent="0.2">
      <c r="A1457" s="3">
        <v>1455</v>
      </c>
      <c r="B1457" s="3">
        <v>211092</v>
      </c>
      <c r="C1457" s="4" t="str">
        <f>HYPERLINK("http://optservis.net:5080/photo?tov_code_internet=211092","Увеличить")</f>
        <v>Увеличить</v>
      </c>
      <c r="D1457" s="3" t="s">
        <v>3031</v>
      </c>
      <c r="E1457" s="3"/>
      <c r="F1457" s="3" t="s">
        <v>434</v>
      </c>
      <c r="G1457" s="3" t="s">
        <v>430</v>
      </c>
      <c r="H1457" s="3">
        <v>0.5</v>
      </c>
      <c r="I1457" s="3">
        <v>0</v>
      </c>
      <c r="J1457" s="3" t="s">
        <v>18</v>
      </c>
      <c r="K1457" s="5">
        <v>0.08</v>
      </c>
      <c r="L1457" s="6">
        <v>0</v>
      </c>
      <c r="M1457" s="7" t="s">
        <v>3012</v>
      </c>
      <c r="N1457" s="8">
        <f>VLOOKUP(B1457,'[1]новый без картинок'!$A$5:$F$2672,6,0)</f>
        <v>421</v>
      </c>
    </row>
    <row r="1458" spans="1:14" ht="151.15" customHeight="1" x14ac:dyDescent="0.2">
      <c r="A1458" s="3">
        <v>1456</v>
      </c>
      <c r="B1458" s="3">
        <v>211193</v>
      </c>
      <c r="C1458" s="4" t="str">
        <f>HYPERLINK("http://optservis.net:5080/photo?tov_code_internet=211193","Увеличить")</f>
        <v>Увеличить</v>
      </c>
      <c r="D1458" s="3" t="s">
        <v>3031</v>
      </c>
      <c r="E1458" s="3"/>
      <c r="F1458" s="3" t="s">
        <v>2096</v>
      </c>
      <c r="G1458" s="3" t="s">
        <v>430</v>
      </c>
      <c r="H1458" s="3">
        <v>0.5</v>
      </c>
      <c r="I1458" s="3">
        <v>0</v>
      </c>
      <c r="J1458" s="3" t="s">
        <v>18</v>
      </c>
      <c r="K1458" s="5">
        <v>0.08</v>
      </c>
      <c r="L1458" s="6">
        <v>0</v>
      </c>
      <c r="M1458" s="7" t="s">
        <v>3014</v>
      </c>
      <c r="N1458" s="8">
        <f>VLOOKUP(B1458,'[1]новый без картинок'!$A$5:$F$2672,6,0)</f>
        <v>423</v>
      </c>
    </row>
    <row r="1459" spans="1:14" ht="151.15" customHeight="1" x14ac:dyDescent="0.2">
      <c r="A1459" s="3">
        <v>1457</v>
      </c>
      <c r="B1459" s="3">
        <v>211603</v>
      </c>
      <c r="C1459" s="4" t="str">
        <f>HYPERLINK("http://optservis.net:5080/photo?tov_code_internet=211603","Увеличить")</f>
        <v>Увеличить</v>
      </c>
      <c r="D1459" s="3" t="s">
        <v>3033</v>
      </c>
      <c r="E1459" s="3"/>
      <c r="F1459" s="3" t="s">
        <v>1890</v>
      </c>
      <c r="G1459" s="3" t="s">
        <v>430</v>
      </c>
      <c r="H1459" s="3">
        <v>0.5</v>
      </c>
      <c r="I1459" s="3">
        <v>0</v>
      </c>
      <c r="J1459" s="3" t="s">
        <v>18</v>
      </c>
      <c r="K1459" s="5">
        <v>0.15</v>
      </c>
      <c r="L1459" s="6">
        <v>0</v>
      </c>
      <c r="M1459" s="7" t="s">
        <v>2484</v>
      </c>
      <c r="N1459" s="8">
        <f>VLOOKUP(B1459,'[1]новый без картинок'!$A$5:$F$2672,6,0)</f>
        <v>386</v>
      </c>
    </row>
    <row r="1460" spans="1:14" ht="151.15" customHeight="1" x14ac:dyDescent="0.2">
      <c r="A1460" s="3">
        <v>1458</v>
      </c>
      <c r="B1460" s="3">
        <v>198371</v>
      </c>
      <c r="C1460" s="4" t="str">
        <f>HYPERLINK("http://optservis.net:5080/photo?tov_code_internet=198371","Увеличить")</f>
        <v>Увеличить</v>
      </c>
      <c r="D1460" s="3" t="s">
        <v>3033</v>
      </c>
      <c r="E1460" s="3"/>
      <c r="F1460" s="3" t="s">
        <v>2498</v>
      </c>
      <c r="G1460" s="3" t="s">
        <v>430</v>
      </c>
      <c r="H1460" s="3">
        <v>0.5</v>
      </c>
      <c r="I1460" s="3">
        <v>0</v>
      </c>
      <c r="J1460" s="3" t="s">
        <v>18</v>
      </c>
      <c r="K1460" s="5">
        <v>0.15</v>
      </c>
      <c r="L1460" s="6">
        <v>0</v>
      </c>
      <c r="M1460" s="7" t="s">
        <v>2484</v>
      </c>
      <c r="N1460" s="8">
        <f>VLOOKUP(B1460,'[1]новый без картинок'!$A$5:$F$2672,6,0)</f>
        <v>417</v>
      </c>
    </row>
    <row r="1461" spans="1:14" ht="151.15" customHeight="1" x14ac:dyDescent="0.2">
      <c r="A1461" s="3">
        <v>1459</v>
      </c>
      <c r="B1461" s="3">
        <v>198372</v>
      </c>
      <c r="C1461" s="4" t="str">
        <f>HYPERLINK("http://optservis.net:5080/photo?tov_code_internet=198372","Увеличить")</f>
        <v>Увеличить</v>
      </c>
      <c r="D1461" s="3" t="s">
        <v>3033</v>
      </c>
      <c r="E1461" s="3"/>
      <c r="F1461" s="3" t="s">
        <v>2494</v>
      </c>
      <c r="G1461" s="3" t="s">
        <v>430</v>
      </c>
      <c r="H1461" s="3">
        <v>0.5</v>
      </c>
      <c r="I1461" s="3">
        <v>0</v>
      </c>
      <c r="J1461" s="3" t="s">
        <v>18</v>
      </c>
      <c r="K1461" s="5">
        <v>0.15</v>
      </c>
      <c r="L1461" s="6">
        <v>0</v>
      </c>
      <c r="M1461" s="7" t="s">
        <v>2484</v>
      </c>
      <c r="N1461" s="8">
        <f>VLOOKUP(B1461,'[1]новый без картинок'!$A$5:$F$2672,6,0)</f>
        <v>407</v>
      </c>
    </row>
    <row r="1462" spans="1:14" ht="151.15" customHeight="1" x14ac:dyDescent="0.2">
      <c r="A1462" s="3">
        <v>1460</v>
      </c>
      <c r="B1462" s="3">
        <v>206852</v>
      </c>
      <c r="C1462" s="4" t="str">
        <f>HYPERLINK("http://optservis.net:5080/photo?tov_code_internet=206852","Увеличить")</f>
        <v>Увеличить</v>
      </c>
      <c r="D1462" s="3" t="s">
        <v>3033</v>
      </c>
      <c r="E1462" s="3"/>
      <c r="F1462" s="3" t="s">
        <v>2515</v>
      </c>
      <c r="G1462" s="3" t="s">
        <v>430</v>
      </c>
      <c r="H1462" s="3">
        <v>0.5</v>
      </c>
      <c r="I1462" s="3">
        <v>0</v>
      </c>
      <c r="J1462" s="3" t="s">
        <v>18</v>
      </c>
      <c r="K1462" s="5">
        <v>0.15</v>
      </c>
      <c r="L1462" s="6">
        <v>0</v>
      </c>
      <c r="M1462" s="7" t="s">
        <v>2484</v>
      </c>
      <c r="N1462" s="8">
        <f>VLOOKUP(B1462,'[1]новый без картинок'!$A$5:$F$2672,6,0)</f>
        <v>386</v>
      </c>
    </row>
    <row r="1463" spans="1:14" ht="151.15" customHeight="1" x14ac:dyDescent="0.2">
      <c r="A1463" s="3">
        <v>1461</v>
      </c>
      <c r="B1463" s="3">
        <v>190065</v>
      </c>
      <c r="C1463" s="4" t="str">
        <f>HYPERLINK("http://optservis.net:5080/photo?tov_code_internet=190065","Увеличить")</f>
        <v>Увеличить</v>
      </c>
      <c r="D1463" s="3" t="s">
        <v>3033</v>
      </c>
      <c r="E1463" s="3" t="s">
        <v>3034</v>
      </c>
      <c r="F1463" s="3" t="s">
        <v>434</v>
      </c>
      <c r="G1463" s="3" t="s">
        <v>430</v>
      </c>
      <c r="H1463" s="3">
        <v>0.5</v>
      </c>
      <c r="I1463" s="3">
        <v>0</v>
      </c>
      <c r="J1463" s="3" t="s">
        <v>18</v>
      </c>
      <c r="K1463" s="5">
        <v>0.15</v>
      </c>
      <c r="L1463" s="6">
        <v>4690654017170</v>
      </c>
      <c r="M1463" s="7" t="s">
        <v>3035</v>
      </c>
      <c r="N1463" s="8">
        <f>VLOOKUP(B1463,'[1]новый без картинок'!$A$5:$F$2672,6,0)</f>
        <v>386</v>
      </c>
    </row>
    <row r="1464" spans="1:14" ht="151.15" customHeight="1" x14ac:dyDescent="0.2">
      <c r="A1464" s="3">
        <v>1462</v>
      </c>
      <c r="B1464" s="3">
        <v>211604</v>
      </c>
      <c r="C1464" s="4" t="str">
        <f>HYPERLINK("http://optservis.net:5080/photo?tov_code_internet=211604","Увеличить")</f>
        <v>Увеличить</v>
      </c>
      <c r="D1464" s="3" t="s">
        <v>3036</v>
      </c>
      <c r="E1464" s="3"/>
      <c r="F1464" s="3" t="s">
        <v>1894</v>
      </c>
      <c r="G1464" s="3" t="s">
        <v>1469</v>
      </c>
      <c r="H1464" s="3">
        <v>0.5</v>
      </c>
      <c r="I1464" s="3">
        <v>0</v>
      </c>
      <c r="J1464" s="3" t="s">
        <v>18</v>
      </c>
      <c r="K1464" s="5">
        <v>0.08</v>
      </c>
      <c r="L1464" s="6">
        <v>0</v>
      </c>
      <c r="M1464" s="7" t="s">
        <v>3037</v>
      </c>
      <c r="N1464" s="8">
        <f>VLOOKUP(B1464,'[1]новый без картинок'!$A$5:$F$2672,6,0)</f>
        <v>616</v>
      </c>
    </row>
    <row r="1465" spans="1:14" ht="151.15" customHeight="1" x14ac:dyDescent="0.2">
      <c r="A1465" s="3">
        <v>1463</v>
      </c>
      <c r="B1465" s="3">
        <v>198374</v>
      </c>
      <c r="C1465" s="4" t="str">
        <f>HYPERLINK("http://optservis.net:5080/photo?tov_code_internet=198374","Увеличить")</f>
        <v>Увеличить</v>
      </c>
      <c r="D1465" s="3" t="s">
        <v>3036</v>
      </c>
      <c r="E1465" s="3"/>
      <c r="F1465" s="3" t="s">
        <v>2521</v>
      </c>
      <c r="G1465" s="3" t="s">
        <v>1469</v>
      </c>
      <c r="H1465" s="3">
        <v>0.5</v>
      </c>
      <c r="I1465" s="3">
        <v>0</v>
      </c>
      <c r="J1465" s="3" t="s">
        <v>18</v>
      </c>
      <c r="K1465" s="5">
        <v>0.08</v>
      </c>
      <c r="L1465" s="6">
        <v>0</v>
      </c>
      <c r="M1465" s="7" t="s">
        <v>3037</v>
      </c>
      <c r="N1465" s="8">
        <f>VLOOKUP(B1465,'[1]новый без картинок'!$A$5:$F$2672,6,0)</f>
        <v>637</v>
      </c>
    </row>
    <row r="1466" spans="1:14" ht="151.15" customHeight="1" x14ac:dyDescent="0.2">
      <c r="A1466" s="3">
        <v>1464</v>
      </c>
      <c r="B1466" s="3">
        <v>198373</v>
      </c>
      <c r="C1466" s="4" t="str">
        <f>HYPERLINK("http://optservis.net:5080/photo?tov_code_internet=198373","Увеличить")</f>
        <v>Увеличить</v>
      </c>
      <c r="D1466" s="3" t="s">
        <v>3036</v>
      </c>
      <c r="E1466" s="3"/>
      <c r="F1466" s="3" t="s">
        <v>2522</v>
      </c>
      <c r="G1466" s="3" t="s">
        <v>1469</v>
      </c>
      <c r="H1466" s="3">
        <v>0.5</v>
      </c>
      <c r="I1466" s="3">
        <v>0</v>
      </c>
      <c r="J1466" s="3" t="s">
        <v>18</v>
      </c>
      <c r="K1466" s="5">
        <v>0.08</v>
      </c>
      <c r="L1466" s="6">
        <v>0</v>
      </c>
      <c r="M1466" s="7" t="s">
        <v>3037</v>
      </c>
      <c r="N1466" s="8">
        <f>VLOOKUP(B1466,'[1]новый без картинок'!$A$5:$F$2672,6,0)</f>
        <v>598</v>
      </c>
    </row>
    <row r="1467" spans="1:14" ht="151.15" customHeight="1" x14ac:dyDescent="0.2">
      <c r="A1467" s="3">
        <v>1465</v>
      </c>
      <c r="B1467" s="3">
        <v>206855</v>
      </c>
      <c r="C1467" s="4" t="str">
        <f>HYPERLINK("http://optservis.net:5080/photo?tov_code_internet=206855","Увеличить")</f>
        <v>Увеличить</v>
      </c>
      <c r="D1467" s="3" t="s">
        <v>3036</v>
      </c>
      <c r="E1467" s="3"/>
      <c r="F1467" s="3" t="s">
        <v>2523</v>
      </c>
      <c r="G1467" s="3" t="s">
        <v>1469</v>
      </c>
      <c r="H1467" s="3">
        <v>0.5</v>
      </c>
      <c r="I1467" s="3">
        <v>0</v>
      </c>
      <c r="J1467" s="3" t="s">
        <v>18</v>
      </c>
      <c r="K1467" s="5">
        <v>0.08</v>
      </c>
      <c r="L1467" s="6">
        <v>0</v>
      </c>
      <c r="M1467" s="7" t="s">
        <v>3037</v>
      </c>
      <c r="N1467" s="8">
        <f>VLOOKUP(B1467,'[1]новый без картинок'!$A$5:$F$2672,6,0)</f>
        <v>616</v>
      </c>
    </row>
    <row r="1468" spans="1:14" ht="151.15" customHeight="1" x14ac:dyDescent="0.2">
      <c r="A1468" s="3">
        <v>1466</v>
      </c>
      <c r="B1468" s="3">
        <v>190066</v>
      </c>
      <c r="C1468" s="4" t="str">
        <f>HYPERLINK("http://optservis.net:5080/photo?tov_code_internet=190066","Увеличить")</f>
        <v>Увеличить</v>
      </c>
      <c r="D1468" s="3" t="s">
        <v>3036</v>
      </c>
      <c r="E1468" s="3" t="s">
        <v>3038</v>
      </c>
      <c r="F1468" s="3" t="s">
        <v>2526</v>
      </c>
      <c r="G1468" s="3" t="s">
        <v>1469</v>
      </c>
      <c r="H1468" s="3">
        <v>0.5</v>
      </c>
      <c r="I1468" s="3">
        <v>0</v>
      </c>
      <c r="J1468" s="3" t="s">
        <v>18</v>
      </c>
      <c r="K1468" s="5">
        <v>0.08</v>
      </c>
      <c r="L1468" s="6">
        <v>4690654017279</v>
      </c>
      <c r="M1468" s="7" t="s">
        <v>3016</v>
      </c>
      <c r="N1468" s="8">
        <f>VLOOKUP(B1468,'[1]новый без картинок'!$A$5:$F$2672,6,0)</f>
        <v>585</v>
      </c>
    </row>
    <row r="1469" spans="1:14" ht="151.15" customHeight="1" x14ac:dyDescent="0.2">
      <c r="A1469" s="3">
        <v>1467</v>
      </c>
      <c r="B1469" s="3">
        <v>206853</v>
      </c>
      <c r="C1469" s="4" t="str">
        <f>HYPERLINK("http://optservis.net:5080/photo?tov_code_internet=206853","Увеличить")</f>
        <v>Увеличить</v>
      </c>
      <c r="D1469" s="3" t="s">
        <v>3039</v>
      </c>
      <c r="E1469" s="3"/>
      <c r="F1469" s="3" t="s">
        <v>3040</v>
      </c>
      <c r="G1469" s="3" t="s">
        <v>430</v>
      </c>
      <c r="H1469" s="3">
        <v>0.5</v>
      </c>
      <c r="I1469" s="3">
        <v>0</v>
      </c>
      <c r="J1469" s="3" t="s">
        <v>18</v>
      </c>
      <c r="K1469" s="5">
        <v>0.23</v>
      </c>
      <c r="L1469" s="6">
        <v>0</v>
      </c>
      <c r="M1469" s="7" t="s">
        <v>2484</v>
      </c>
      <c r="N1469" s="8">
        <f>VLOOKUP(B1469,'[1]новый без картинок'!$A$5:$F$2672,6,0)</f>
        <v>475</v>
      </c>
    </row>
    <row r="1470" spans="1:14" ht="151.15" customHeight="1" x14ac:dyDescent="0.2">
      <c r="A1470" s="3">
        <v>1468</v>
      </c>
      <c r="B1470" s="3">
        <v>211607</v>
      </c>
      <c r="C1470" s="4" t="str">
        <f>HYPERLINK("http://optservis.net:5080/photo?tov_code_internet=211607","Увеличить")</f>
        <v>Увеличить</v>
      </c>
      <c r="D1470" s="3" t="s">
        <v>3041</v>
      </c>
      <c r="E1470" s="3"/>
      <c r="F1470" s="3" t="s">
        <v>1901</v>
      </c>
      <c r="G1470" s="3" t="s">
        <v>1479</v>
      </c>
      <c r="H1470" s="3">
        <v>0.5</v>
      </c>
      <c r="I1470" s="3">
        <v>0</v>
      </c>
      <c r="J1470" s="3" t="s">
        <v>18</v>
      </c>
      <c r="K1470" s="5">
        <v>7.0000000000000007E-2</v>
      </c>
      <c r="L1470" s="6">
        <v>0</v>
      </c>
      <c r="M1470" s="7" t="s">
        <v>3042</v>
      </c>
      <c r="N1470" s="8">
        <f>VLOOKUP(B1470,'[1]новый без картинок'!$A$5:$F$2672,6,0)</f>
        <v>605</v>
      </c>
    </row>
    <row r="1471" spans="1:14" ht="151.15" customHeight="1" x14ac:dyDescent="0.2">
      <c r="A1471" s="3">
        <v>1469</v>
      </c>
      <c r="B1471" s="3">
        <v>198377</v>
      </c>
      <c r="C1471" s="4" t="str">
        <f>HYPERLINK("http://optservis.net:5080/photo?tov_code_internet=198377","Увеличить")</f>
        <v>Увеличить</v>
      </c>
      <c r="D1471" s="3" t="s">
        <v>3041</v>
      </c>
      <c r="E1471" s="3"/>
      <c r="F1471" s="3" t="s">
        <v>3043</v>
      </c>
      <c r="G1471" s="3" t="s">
        <v>1479</v>
      </c>
      <c r="H1471" s="3">
        <v>0.5</v>
      </c>
      <c r="I1471" s="3">
        <v>0</v>
      </c>
      <c r="J1471" s="3" t="s">
        <v>18</v>
      </c>
      <c r="K1471" s="5">
        <v>0.08</v>
      </c>
      <c r="L1471" s="6">
        <v>0</v>
      </c>
      <c r="M1471" s="7" t="s">
        <v>3044</v>
      </c>
      <c r="N1471" s="8">
        <f>VLOOKUP(B1471,'[1]новый без картинок'!$A$5:$F$2672,6,0)</f>
        <v>619</v>
      </c>
    </row>
    <row r="1472" spans="1:14" ht="151.15" customHeight="1" x14ac:dyDescent="0.2">
      <c r="A1472" s="3">
        <v>1470</v>
      </c>
      <c r="B1472" s="3">
        <v>206858</v>
      </c>
      <c r="C1472" s="4" t="str">
        <f>HYPERLINK("http://optservis.net:5080/photo?tov_code_internet=206858","Увеличить")</f>
        <v>Увеличить</v>
      </c>
      <c r="D1472" s="3" t="s">
        <v>3041</v>
      </c>
      <c r="E1472" s="3"/>
      <c r="F1472" s="3" t="s">
        <v>2508</v>
      </c>
      <c r="G1472" s="3" t="s">
        <v>1479</v>
      </c>
      <c r="H1472" s="3">
        <v>0.5</v>
      </c>
      <c r="I1472" s="3">
        <v>0</v>
      </c>
      <c r="J1472" s="3" t="s">
        <v>18</v>
      </c>
      <c r="K1472" s="5">
        <v>7.0000000000000007E-2</v>
      </c>
      <c r="L1472" s="6">
        <v>0</v>
      </c>
      <c r="M1472" s="7" t="s">
        <v>3042</v>
      </c>
      <c r="N1472" s="8">
        <f>VLOOKUP(B1472,'[1]новый без картинок'!$A$5:$F$2672,6,0)</f>
        <v>605</v>
      </c>
    </row>
    <row r="1473" spans="1:14" ht="151.15" customHeight="1" x14ac:dyDescent="0.2">
      <c r="A1473" s="3">
        <v>1471</v>
      </c>
      <c r="B1473" s="3">
        <v>190068</v>
      </c>
      <c r="C1473" s="4" t="str">
        <f>HYPERLINK("http://optservis.net:5080/photo?tov_code_internet=190068","Увеличить")</f>
        <v>Увеличить</v>
      </c>
      <c r="D1473" s="3" t="s">
        <v>3045</v>
      </c>
      <c r="E1473" s="3"/>
      <c r="F1473" s="3" t="s">
        <v>3046</v>
      </c>
      <c r="G1473" s="3" t="s">
        <v>1469</v>
      </c>
      <c r="H1473" s="3">
        <v>0.5</v>
      </c>
      <c r="I1473" s="3">
        <v>0</v>
      </c>
      <c r="J1473" s="3" t="s">
        <v>18</v>
      </c>
      <c r="K1473" s="5">
        <v>7.0000000000000007E-2</v>
      </c>
      <c r="L1473" s="6">
        <v>0</v>
      </c>
      <c r="M1473" s="7" t="s">
        <v>3047</v>
      </c>
      <c r="N1473" s="8">
        <f>VLOOKUP(B1473,'[1]новый без картинок'!$A$5:$F$2672,6,0)</f>
        <v>614</v>
      </c>
    </row>
    <row r="1474" spans="1:14" ht="151.15" customHeight="1" x14ac:dyDescent="0.2">
      <c r="A1474" s="3">
        <v>1472</v>
      </c>
      <c r="B1474" s="3">
        <v>198379</v>
      </c>
      <c r="C1474" s="4" t="str">
        <f>HYPERLINK("http://optservis.net:5080/photo?tov_code_internet=198379","Увеличить")</f>
        <v>Увеличить</v>
      </c>
      <c r="D1474" s="3" t="s">
        <v>3048</v>
      </c>
      <c r="E1474" s="3"/>
      <c r="F1474" s="3" t="s">
        <v>3049</v>
      </c>
      <c r="G1474" s="3" t="s">
        <v>1479</v>
      </c>
      <c r="H1474" s="3">
        <v>0.5</v>
      </c>
      <c r="I1474" s="3">
        <v>0</v>
      </c>
      <c r="J1474" s="3" t="s">
        <v>18</v>
      </c>
      <c r="K1474" s="5">
        <v>0.08</v>
      </c>
      <c r="L1474" s="6">
        <v>0</v>
      </c>
      <c r="M1474" s="7" t="s">
        <v>3050</v>
      </c>
      <c r="N1474" s="8">
        <f>VLOOKUP(B1474,'[1]новый без картинок'!$A$5:$F$2672,6,0)</f>
        <v>750</v>
      </c>
    </row>
    <row r="1475" spans="1:14" ht="151.15" customHeight="1" x14ac:dyDescent="0.2">
      <c r="A1475" s="3">
        <v>1473</v>
      </c>
      <c r="B1475" s="3">
        <v>206859</v>
      </c>
      <c r="C1475" s="4" t="str">
        <f>HYPERLINK("http://optservis.net:5080/photo?tov_code_internet=206859","Увеличить")</f>
        <v>Увеличить</v>
      </c>
      <c r="D1475" s="3" t="s">
        <v>3048</v>
      </c>
      <c r="E1475" s="3"/>
      <c r="F1475" s="3" t="s">
        <v>3051</v>
      </c>
      <c r="G1475" s="3" t="s">
        <v>1479</v>
      </c>
      <c r="H1475" s="3">
        <v>0.5</v>
      </c>
      <c r="I1475" s="3">
        <v>0</v>
      </c>
      <c r="J1475" s="3" t="s">
        <v>18</v>
      </c>
      <c r="K1475" s="5">
        <v>0.08</v>
      </c>
      <c r="L1475" s="6">
        <v>0</v>
      </c>
      <c r="M1475" s="7" t="s">
        <v>3052</v>
      </c>
      <c r="N1475" s="8">
        <f>VLOOKUP(B1475,'[1]новый без картинок'!$A$5:$F$2672,6,0)</f>
        <v>729</v>
      </c>
    </row>
    <row r="1476" spans="1:14" ht="151.15" customHeight="1" x14ac:dyDescent="0.2">
      <c r="A1476" s="3">
        <v>1474</v>
      </c>
      <c r="B1476" s="3">
        <v>211609</v>
      </c>
      <c r="C1476" s="4" t="str">
        <f>HYPERLINK("http://optservis.net:5080/photo?tov_code_internet=211609","Увеличить")</f>
        <v>Увеличить</v>
      </c>
      <c r="D1476" s="3" t="s">
        <v>3053</v>
      </c>
      <c r="E1476" s="3"/>
      <c r="F1476" s="3" t="s">
        <v>3054</v>
      </c>
      <c r="G1476" s="3" t="s">
        <v>1479</v>
      </c>
      <c r="H1476" s="3">
        <v>0.5</v>
      </c>
      <c r="I1476" s="3">
        <v>0</v>
      </c>
      <c r="J1476" s="3" t="s">
        <v>18</v>
      </c>
      <c r="K1476" s="5">
        <v>0.08</v>
      </c>
      <c r="L1476" s="6">
        <v>0</v>
      </c>
      <c r="M1476" s="7" t="s">
        <v>3050</v>
      </c>
      <c r="N1476" s="8">
        <f>VLOOKUP(B1476,'[1]новый без картинок'!$A$5:$F$2672,6,0)</f>
        <v>707</v>
      </c>
    </row>
    <row r="1477" spans="1:14" ht="151.15" customHeight="1" x14ac:dyDescent="0.2">
      <c r="A1477" s="3">
        <v>1475</v>
      </c>
      <c r="B1477" s="3">
        <v>198378</v>
      </c>
      <c r="C1477" s="4" t="str">
        <f>HYPERLINK("http://optservis.net:5080/photo?tov_code_internet=198378","Увеличить")</f>
        <v>Увеличить</v>
      </c>
      <c r="D1477" s="3" t="s">
        <v>3053</v>
      </c>
      <c r="E1477" s="3"/>
      <c r="F1477" s="3" t="s">
        <v>3049</v>
      </c>
      <c r="G1477" s="3" t="s">
        <v>1479</v>
      </c>
      <c r="H1477" s="3">
        <v>0.5</v>
      </c>
      <c r="I1477" s="3">
        <v>0</v>
      </c>
      <c r="J1477" s="3" t="s">
        <v>18</v>
      </c>
      <c r="K1477" s="5">
        <v>0.08</v>
      </c>
      <c r="L1477" s="6">
        <v>0</v>
      </c>
      <c r="M1477" s="7" t="s">
        <v>3050</v>
      </c>
      <c r="N1477" s="8">
        <f>VLOOKUP(B1477,'[1]новый без картинок'!$A$5:$F$2672,6,0)</f>
        <v>728</v>
      </c>
    </row>
    <row r="1478" spans="1:14" ht="151.15" customHeight="1" x14ac:dyDescent="0.2">
      <c r="A1478" s="3">
        <v>1476</v>
      </c>
      <c r="B1478" s="3">
        <v>190069</v>
      </c>
      <c r="C1478" s="4" t="str">
        <f>HYPERLINK("http://optservis.net:5080/photo?tov_code_internet=190069","Увеличить")</f>
        <v>Увеличить</v>
      </c>
      <c r="D1478" s="3" t="s">
        <v>3053</v>
      </c>
      <c r="E1478" s="3"/>
      <c r="F1478" s="3" t="s">
        <v>3055</v>
      </c>
      <c r="G1478" s="3" t="s">
        <v>1479</v>
      </c>
      <c r="H1478" s="3">
        <v>0.5</v>
      </c>
      <c r="I1478" s="3">
        <v>0</v>
      </c>
      <c r="J1478" s="3" t="s">
        <v>18</v>
      </c>
      <c r="K1478" s="5">
        <v>0.08</v>
      </c>
      <c r="L1478" s="6">
        <v>0</v>
      </c>
      <c r="M1478" s="7" t="s">
        <v>3027</v>
      </c>
      <c r="N1478" s="8">
        <f>VLOOKUP(B1478,'[1]новый без картинок'!$A$5:$F$2672,6,0)</f>
        <v>707</v>
      </c>
    </row>
    <row r="1479" spans="1:14" ht="151.15" customHeight="1" x14ac:dyDescent="0.2">
      <c r="A1479" s="3">
        <v>1477</v>
      </c>
      <c r="B1479" s="3">
        <v>211610</v>
      </c>
      <c r="C1479" s="4" t="str">
        <f>HYPERLINK("http://optservis.net:5080/photo?tov_code_internet=211610","Увеличить")</f>
        <v>Увеличить</v>
      </c>
      <c r="D1479" s="3" t="s">
        <v>3056</v>
      </c>
      <c r="E1479" s="3"/>
      <c r="F1479" s="3" t="s">
        <v>3057</v>
      </c>
      <c r="G1479" s="3" t="s">
        <v>1045</v>
      </c>
      <c r="H1479" s="3">
        <v>0.5</v>
      </c>
      <c r="I1479" s="3">
        <v>0</v>
      </c>
      <c r="J1479" s="3" t="s">
        <v>18</v>
      </c>
      <c r="K1479" s="5">
        <v>0.09</v>
      </c>
      <c r="L1479" s="6">
        <v>0</v>
      </c>
      <c r="M1479" s="7" t="s">
        <v>3058</v>
      </c>
      <c r="N1479" s="8">
        <f>VLOOKUP(B1479,'[1]новый без картинок'!$A$5:$F$2672,6,0)</f>
        <v>607</v>
      </c>
    </row>
    <row r="1480" spans="1:14" ht="151.15" customHeight="1" x14ac:dyDescent="0.2">
      <c r="A1480" s="3">
        <v>1478</v>
      </c>
      <c r="B1480" s="3">
        <v>198370</v>
      </c>
      <c r="C1480" s="4" t="str">
        <f>HYPERLINK("http://optservis.net:5080/photo?tov_code_internet=198370","Увеличить")</f>
        <v>Увеличить</v>
      </c>
      <c r="D1480" s="3" t="s">
        <v>3056</v>
      </c>
      <c r="E1480" s="3"/>
      <c r="F1480" s="3" t="s">
        <v>2532</v>
      </c>
      <c r="G1480" s="3" t="s">
        <v>1045</v>
      </c>
      <c r="H1480" s="3">
        <v>0.5</v>
      </c>
      <c r="I1480" s="3">
        <v>0</v>
      </c>
      <c r="J1480" s="3" t="s">
        <v>18</v>
      </c>
      <c r="K1480" s="5">
        <v>0.1</v>
      </c>
      <c r="L1480" s="6">
        <v>0</v>
      </c>
      <c r="M1480" s="7" t="s">
        <v>3058</v>
      </c>
      <c r="N1480" s="8">
        <f>VLOOKUP(B1480,'[1]новый без картинок'!$A$5:$F$2672,6,0)</f>
        <v>628</v>
      </c>
    </row>
    <row r="1481" spans="1:14" ht="151.15" customHeight="1" x14ac:dyDescent="0.2">
      <c r="A1481" s="3">
        <v>1479</v>
      </c>
      <c r="B1481" s="3">
        <v>140600</v>
      </c>
      <c r="C1481" s="4" t="str">
        <f>HYPERLINK("http://optservis.net:5080/photo?tov_code_internet=140600","Увеличить")</f>
        <v>Увеличить</v>
      </c>
      <c r="D1481" s="3" t="s">
        <v>3059</v>
      </c>
      <c r="E1481" s="3" t="s">
        <v>3060</v>
      </c>
      <c r="F1481" s="3" t="s">
        <v>1223</v>
      </c>
      <c r="G1481" s="3" t="s">
        <v>373</v>
      </c>
      <c r="H1481" s="3">
        <v>0.5</v>
      </c>
      <c r="I1481" s="3">
        <v>0</v>
      </c>
      <c r="J1481" s="3" t="s">
        <v>18</v>
      </c>
      <c r="K1481" s="5">
        <v>0.06</v>
      </c>
      <c r="L1481" s="6">
        <v>4690654010317</v>
      </c>
      <c r="M1481" s="7" t="s">
        <v>1085</v>
      </c>
      <c r="N1481" s="8">
        <f>VLOOKUP(B1481,'[1]новый без картинок'!$A$5:$F$2672,6,0)</f>
        <v>211</v>
      </c>
    </row>
    <row r="1482" spans="1:14" ht="151.15" customHeight="1" x14ac:dyDescent="0.2">
      <c r="A1482" s="3">
        <v>1480</v>
      </c>
      <c r="B1482" s="3">
        <v>140602</v>
      </c>
      <c r="C1482" s="4" t="str">
        <f>HYPERLINK("http://optservis.net:5080/photo?tov_code_internet=140602","Увеличить")</f>
        <v>Увеличить</v>
      </c>
      <c r="D1482" s="3" t="s">
        <v>3059</v>
      </c>
      <c r="E1482" s="3" t="s">
        <v>3060</v>
      </c>
      <c r="F1482" s="3" t="s">
        <v>1220</v>
      </c>
      <c r="G1482" s="3" t="s">
        <v>373</v>
      </c>
      <c r="H1482" s="3">
        <v>0.5</v>
      </c>
      <c r="I1482" s="3">
        <v>0</v>
      </c>
      <c r="J1482" s="3" t="s">
        <v>18</v>
      </c>
      <c r="K1482" s="5">
        <v>0.06</v>
      </c>
      <c r="L1482" s="6">
        <v>4690654016241</v>
      </c>
      <c r="M1482" s="7" t="s">
        <v>1085</v>
      </c>
      <c r="N1482" s="8">
        <f>VLOOKUP(B1482,'[1]новый без картинок'!$A$5:$F$2672,6,0)</f>
        <v>211</v>
      </c>
    </row>
    <row r="1483" spans="1:14" ht="149.44999999999999" customHeight="1" x14ac:dyDescent="0.2">
      <c r="A1483" s="3">
        <v>1481</v>
      </c>
      <c r="B1483" s="3">
        <v>140601</v>
      </c>
      <c r="C1483" s="4" t="str">
        <f>HYPERLINK("http://optservis.net:5080/photo?tov_code_internet=140601","Увеличить")</f>
        <v>Увеличить</v>
      </c>
      <c r="D1483" s="3" t="s">
        <v>3061</v>
      </c>
      <c r="E1483" s="3"/>
      <c r="F1483" s="3" t="s">
        <v>3062</v>
      </c>
      <c r="G1483" s="3" t="s">
        <v>373</v>
      </c>
      <c r="H1483" s="3">
        <v>0.5</v>
      </c>
      <c r="I1483" s="3">
        <v>0</v>
      </c>
      <c r="J1483" s="3" t="s">
        <v>18</v>
      </c>
      <c r="K1483" s="5">
        <v>0.06</v>
      </c>
      <c r="L1483" s="6">
        <v>0</v>
      </c>
      <c r="M1483" s="7" t="s">
        <v>3063</v>
      </c>
      <c r="N1483" s="8">
        <f>VLOOKUP(B1483,'[1]новый без картинок'!$A$5:$F$2672,6,0)</f>
        <v>215</v>
      </c>
    </row>
    <row r="1484" spans="1:14" ht="138.6" customHeight="1" x14ac:dyDescent="0.2">
      <c r="A1484" s="3">
        <v>1482</v>
      </c>
      <c r="B1484" s="3">
        <v>947577</v>
      </c>
      <c r="C1484" s="4" t="str">
        <f>HYPERLINK("http://optservis.net:5080/photo?tov_code_internet=947577","Увеличить")</f>
        <v>Увеличить</v>
      </c>
      <c r="D1484" s="3" t="s">
        <v>3064</v>
      </c>
      <c r="E1484" s="3"/>
      <c r="F1484" s="3" t="s">
        <v>1388</v>
      </c>
      <c r="G1484" s="3" t="s">
        <v>88</v>
      </c>
      <c r="H1484" s="3">
        <v>0.5</v>
      </c>
      <c r="I1484" s="3">
        <v>0</v>
      </c>
      <c r="J1484" s="3" t="s">
        <v>18</v>
      </c>
      <c r="K1484" s="5">
        <v>0.19</v>
      </c>
      <c r="L1484" s="6">
        <v>0</v>
      </c>
      <c r="M1484" s="7" t="s">
        <v>3065</v>
      </c>
      <c r="N1484" s="8">
        <f>VLOOKUP(B1484,'[1]новый без картинок'!$A$5:$F$2672,6,0)</f>
        <v>303</v>
      </c>
    </row>
    <row r="1485" spans="1:14" ht="138.6" customHeight="1" x14ac:dyDescent="0.2">
      <c r="A1485" s="3">
        <v>1483</v>
      </c>
      <c r="B1485" s="3">
        <v>407609</v>
      </c>
      <c r="C1485" s="4" t="str">
        <f>HYPERLINK("http://optservis.net:5080/photo?tov_code_internet=407609","Увеличить")</f>
        <v>Увеличить</v>
      </c>
      <c r="D1485" s="3" t="s">
        <v>3064</v>
      </c>
      <c r="E1485" s="3"/>
      <c r="F1485" s="3" t="s">
        <v>1297</v>
      </c>
      <c r="G1485" s="3" t="s">
        <v>88</v>
      </c>
      <c r="H1485" s="3">
        <v>0.5</v>
      </c>
      <c r="I1485" s="3">
        <v>0</v>
      </c>
      <c r="J1485" s="3" t="s">
        <v>18</v>
      </c>
      <c r="K1485" s="5">
        <v>0.19</v>
      </c>
      <c r="L1485" s="6">
        <v>0</v>
      </c>
      <c r="M1485" s="7" t="s">
        <v>3066</v>
      </c>
      <c r="N1485" s="8">
        <f>VLOOKUP(B1485,'[1]новый без картинок'!$A$5:$F$2672,6,0)</f>
        <v>281</v>
      </c>
    </row>
    <row r="1486" spans="1:14" ht="138.6" customHeight="1" x14ac:dyDescent="0.2">
      <c r="A1486" s="3">
        <v>1484</v>
      </c>
      <c r="B1486" s="3">
        <v>407525</v>
      </c>
      <c r="C1486" s="4" t="str">
        <f>HYPERLINK("http://optservis.net:5080/photo?tov_code_internet=407525","Увеличить")</f>
        <v>Увеличить</v>
      </c>
      <c r="D1486" s="3" t="s">
        <v>3064</v>
      </c>
      <c r="E1486" s="3"/>
      <c r="F1486" s="3" t="s">
        <v>688</v>
      </c>
      <c r="G1486" s="3" t="s">
        <v>88</v>
      </c>
      <c r="H1486" s="3">
        <v>0.5</v>
      </c>
      <c r="I1486" s="3">
        <v>0</v>
      </c>
      <c r="J1486" s="3" t="s">
        <v>18</v>
      </c>
      <c r="K1486" s="5">
        <v>0.19</v>
      </c>
      <c r="L1486" s="6">
        <v>0</v>
      </c>
      <c r="M1486" s="7" t="s">
        <v>3066</v>
      </c>
      <c r="N1486" s="8">
        <f>VLOOKUP(B1486,'[1]новый без картинок'!$A$5:$F$2672,6,0)</f>
        <v>272</v>
      </c>
    </row>
    <row r="1487" spans="1:14" ht="138.6" customHeight="1" x14ac:dyDescent="0.2">
      <c r="A1487" s="3">
        <v>1485</v>
      </c>
      <c r="B1487" s="3">
        <v>962032</v>
      </c>
      <c r="C1487" s="4" t="str">
        <f>HYPERLINK("http://optservis.net:5080/photo?tov_code_internet=962032","Увеличить")</f>
        <v>Увеличить</v>
      </c>
      <c r="D1487" s="3" t="s">
        <v>3067</v>
      </c>
      <c r="E1487" s="3"/>
      <c r="F1487" s="3" t="s">
        <v>1394</v>
      </c>
      <c r="G1487" s="3" t="s">
        <v>1395</v>
      </c>
      <c r="H1487" s="3">
        <v>0.5</v>
      </c>
      <c r="I1487" s="3">
        <v>0</v>
      </c>
      <c r="J1487" s="3" t="s">
        <v>18</v>
      </c>
      <c r="K1487" s="5">
        <v>0.02</v>
      </c>
      <c r="L1487" s="6">
        <v>0</v>
      </c>
      <c r="M1487" s="7" t="s">
        <v>3068</v>
      </c>
      <c r="N1487" s="8">
        <f>VLOOKUP(B1487,'[1]новый без картинок'!$A$5:$F$2672,6,0)</f>
        <v>442</v>
      </c>
    </row>
    <row r="1488" spans="1:14" ht="138.6" customHeight="1" x14ac:dyDescent="0.2">
      <c r="A1488" s="3">
        <v>1486</v>
      </c>
      <c r="B1488" s="3">
        <v>20877</v>
      </c>
      <c r="C1488" s="4" t="str">
        <f>HYPERLINK("http://optservis.net:5080/photo?tov_code_internet=20877","Увеличить")</f>
        <v>Увеличить</v>
      </c>
      <c r="D1488" s="3" t="s">
        <v>3067</v>
      </c>
      <c r="E1488" s="3"/>
      <c r="F1488" s="3" t="s">
        <v>3069</v>
      </c>
      <c r="G1488" s="3" t="s">
        <v>2596</v>
      </c>
      <c r="H1488" s="3">
        <v>0.5</v>
      </c>
      <c r="I1488" s="3">
        <v>0</v>
      </c>
      <c r="J1488" s="3" t="s">
        <v>18</v>
      </c>
      <c r="K1488" s="5">
        <v>0.02</v>
      </c>
      <c r="L1488" s="6">
        <v>0</v>
      </c>
      <c r="M1488" s="7" t="s">
        <v>3070</v>
      </c>
      <c r="N1488" s="8">
        <f>VLOOKUP(B1488,'[1]новый без картинок'!$A$5:$F$2672,6,0)</f>
        <v>411</v>
      </c>
    </row>
    <row r="1489" spans="1:14" ht="138.6" customHeight="1" x14ac:dyDescent="0.2">
      <c r="A1489" s="3">
        <v>1487</v>
      </c>
      <c r="B1489" s="3">
        <v>144584</v>
      </c>
      <c r="C1489" s="4" t="str">
        <f>HYPERLINK("http://optservis.net:5080/photo?tov_code_internet=144584","Увеличить")</f>
        <v>Увеличить</v>
      </c>
      <c r="D1489" s="3" t="s">
        <v>3071</v>
      </c>
      <c r="E1489" s="3"/>
      <c r="F1489" s="3" t="s">
        <v>1398</v>
      </c>
      <c r="G1489" s="3" t="s">
        <v>31</v>
      </c>
      <c r="H1489" s="3">
        <v>0.5</v>
      </c>
      <c r="I1489" s="3">
        <v>0</v>
      </c>
      <c r="J1489" s="3" t="s">
        <v>18</v>
      </c>
      <c r="K1489" s="5">
        <v>0.01</v>
      </c>
      <c r="L1489" s="6">
        <v>0</v>
      </c>
      <c r="M1489" s="7" t="s">
        <v>3072</v>
      </c>
      <c r="N1489" s="8">
        <f>VLOOKUP(B1489,'[1]новый без картинок'!$A$5:$F$2672,6,0)</f>
        <v>451</v>
      </c>
    </row>
    <row r="1490" spans="1:14" ht="138.6" customHeight="1" x14ac:dyDescent="0.2">
      <c r="A1490" s="3">
        <v>1488</v>
      </c>
      <c r="B1490" s="3">
        <v>151485</v>
      </c>
      <c r="C1490" s="4" t="str">
        <f>HYPERLINK("http://optservis.net:5080/photo?tov_code_internet=151485","Увеличить")</f>
        <v>Увеличить</v>
      </c>
      <c r="D1490" s="3" t="s">
        <v>3073</v>
      </c>
      <c r="E1490" s="3"/>
      <c r="F1490" s="3" t="s">
        <v>87</v>
      </c>
      <c r="G1490" s="3" t="s">
        <v>59</v>
      </c>
      <c r="H1490" s="3">
        <v>0.5</v>
      </c>
      <c r="I1490" s="3">
        <v>0</v>
      </c>
      <c r="J1490" s="3" t="s">
        <v>18</v>
      </c>
      <c r="K1490" s="5">
        <v>0.02</v>
      </c>
      <c r="L1490" s="6">
        <v>0</v>
      </c>
      <c r="M1490" s="7" t="s">
        <v>3074</v>
      </c>
      <c r="N1490" s="8">
        <f>VLOOKUP(B1490,'[1]новый без картинок'!$A$5:$F$2672,6,0)</f>
        <v>545</v>
      </c>
    </row>
    <row r="1491" spans="1:14" ht="151.15" customHeight="1" x14ac:dyDescent="0.2">
      <c r="A1491" s="3">
        <v>1489</v>
      </c>
      <c r="B1491" s="3">
        <v>197082</v>
      </c>
      <c r="C1491" s="4" t="str">
        <f>HYPERLINK("http://optservis.net:5080/photo?tov_code_internet=197082","Увеличить")</f>
        <v>Увеличить</v>
      </c>
      <c r="D1491" s="3" t="s">
        <v>3075</v>
      </c>
      <c r="E1491" s="3"/>
      <c r="F1491" s="3" t="s">
        <v>3076</v>
      </c>
      <c r="G1491" s="3" t="s">
        <v>3077</v>
      </c>
      <c r="H1491" s="3">
        <v>0.5</v>
      </c>
      <c r="I1491" s="3">
        <v>0</v>
      </c>
      <c r="J1491" s="3" t="s">
        <v>18</v>
      </c>
      <c r="K1491" s="5">
        <v>0.06</v>
      </c>
      <c r="L1491" s="6">
        <v>0</v>
      </c>
      <c r="M1491" s="7" t="s">
        <v>3078</v>
      </c>
      <c r="N1491" s="8">
        <f>VLOOKUP(B1491,'[1]новый без картинок'!$A$5:$F$2672,6,0)</f>
        <v>807</v>
      </c>
    </row>
    <row r="1492" spans="1:14" ht="151.15" customHeight="1" x14ac:dyDescent="0.2">
      <c r="A1492" s="3">
        <v>1490</v>
      </c>
      <c r="B1492" s="3">
        <v>197083</v>
      </c>
      <c r="C1492" s="4" t="str">
        <f>HYPERLINK("http://optservis.net:5080/photo?tov_code_internet=197083","Увеличить")</f>
        <v>Увеличить</v>
      </c>
      <c r="D1492" s="3" t="s">
        <v>3075</v>
      </c>
      <c r="E1492" s="3"/>
      <c r="F1492" s="3" t="s">
        <v>3079</v>
      </c>
      <c r="G1492" s="3" t="s">
        <v>3077</v>
      </c>
      <c r="H1492" s="3">
        <v>0.5</v>
      </c>
      <c r="I1492" s="3">
        <v>0</v>
      </c>
      <c r="J1492" s="3" t="s">
        <v>18</v>
      </c>
      <c r="K1492" s="5">
        <v>0.06</v>
      </c>
      <c r="L1492" s="6">
        <v>0</v>
      </c>
      <c r="M1492" s="7" t="s">
        <v>3078</v>
      </c>
      <c r="N1492" s="8">
        <f>VLOOKUP(B1492,'[1]новый без картинок'!$A$5:$F$2672,6,0)</f>
        <v>807</v>
      </c>
    </row>
    <row r="1493" spans="1:14" ht="151.15" customHeight="1" x14ac:dyDescent="0.2">
      <c r="A1493" s="3">
        <v>1491</v>
      </c>
      <c r="B1493" s="3">
        <v>197197</v>
      </c>
      <c r="C1493" s="4" t="str">
        <f>HYPERLINK("http://optservis.net:5080/photo?tov_code_internet=197197","Увеличить")</f>
        <v>Увеличить</v>
      </c>
      <c r="D1493" s="3" t="s">
        <v>3080</v>
      </c>
      <c r="E1493" s="3" t="s">
        <v>3081</v>
      </c>
      <c r="F1493" s="3" t="s">
        <v>3082</v>
      </c>
      <c r="G1493" s="3" t="s">
        <v>430</v>
      </c>
      <c r="H1493" s="3">
        <v>0.5</v>
      </c>
      <c r="I1493" s="3">
        <v>0</v>
      </c>
      <c r="J1493" s="3" t="s">
        <v>18</v>
      </c>
      <c r="K1493" s="5">
        <v>0.05</v>
      </c>
      <c r="L1493" s="6">
        <v>4690654015473</v>
      </c>
      <c r="M1493" s="7" t="s">
        <v>3083</v>
      </c>
      <c r="N1493" s="8">
        <f>VLOOKUP(B1493,'[1]новый без картинок'!$A$5:$F$2672,6,0)</f>
        <v>907</v>
      </c>
    </row>
    <row r="1494" spans="1:14" ht="151.15" customHeight="1" x14ac:dyDescent="0.2">
      <c r="A1494" s="3">
        <v>1492</v>
      </c>
      <c r="B1494" s="3">
        <v>192024</v>
      </c>
      <c r="C1494" s="4" t="str">
        <f>HYPERLINK("http://optservis.net:5080/photo?tov_code_internet=192024","Увеличить")</f>
        <v>Увеличить</v>
      </c>
      <c r="D1494" s="3" t="s">
        <v>3084</v>
      </c>
      <c r="E1494" s="3" t="s">
        <v>3085</v>
      </c>
      <c r="F1494" s="3" t="s">
        <v>1460</v>
      </c>
      <c r="G1494" s="3" t="s">
        <v>430</v>
      </c>
      <c r="H1494" s="3">
        <v>0.5</v>
      </c>
      <c r="I1494" s="3">
        <v>0</v>
      </c>
      <c r="J1494" s="3" t="s">
        <v>18</v>
      </c>
      <c r="K1494" s="5">
        <v>0.09</v>
      </c>
      <c r="L1494" s="6">
        <v>4690654017439</v>
      </c>
      <c r="M1494" s="7" t="s">
        <v>3086</v>
      </c>
      <c r="N1494" s="8">
        <f>VLOOKUP(B1494,'[1]новый без картинок'!$A$5:$F$2672,6,0)</f>
        <v>237</v>
      </c>
    </row>
    <row r="1495" spans="1:14" ht="151.15" customHeight="1" x14ac:dyDescent="0.2">
      <c r="A1495" s="3">
        <v>1493</v>
      </c>
      <c r="B1495" s="3">
        <v>192023</v>
      </c>
      <c r="C1495" s="4" t="str">
        <f>HYPERLINK("http://optservis.net:5080/photo?tov_code_internet=192023","Увеличить")</f>
        <v>Увеличить</v>
      </c>
      <c r="D1495" s="3" t="s">
        <v>3084</v>
      </c>
      <c r="E1495" s="3" t="s">
        <v>3085</v>
      </c>
      <c r="F1495" s="3" t="s">
        <v>1465</v>
      </c>
      <c r="G1495" s="3" t="s">
        <v>430</v>
      </c>
      <c r="H1495" s="3">
        <v>0.5</v>
      </c>
      <c r="I1495" s="3">
        <v>0</v>
      </c>
      <c r="J1495" s="3" t="s">
        <v>18</v>
      </c>
      <c r="K1495" s="5">
        <v>0.09</v>
      </c>
      <c r="L1495" s="6">
        <v>4690654015343</v>
      </c>
      <c r="M1495" s="7" t="s">
        <v>3086</v>
      </c>
      <c r="N1495" s="8">
        <f>VLOOKUP(B1495,'[1]новый без картинок'!$A$5:$F$2672,6,0)</f>
        <v>237</v>
      </c>
    </row>
    <row r="1496" spans="1:14" ht="151.15" customHeight="1" x14ac:dyDescent="0.2">
      <c r="A1496" s="3">
        <v>1494</v>
      </c>
      <c r="B1496" s="3">
        <v>192018</v>
      </c>
      <c r="C1496" s="4" t="str">
        <f>HYPERLINK("http://optservis.net:5080/photo?tov_code_internet=192018","Увеличить")</f>
        <v>Увеличить</v>
      </c>
      <c r="D1496" s="3" t="s">
        <v>3087</v>
      </c>
      <c r="E1496" s="3"/>
      <c r="F1496" s="3" t="s">
        <v>3088</v>
      </c>
      <c r="G1496" s="3" t="s">
        <v>1469</v>
      </c>
      <c r="H1496" s="3">
        <v>0.5</v>
      </c>
      <c r="I1496" s="3">
        <v>0</v>
      </c>
      <c r="J1496" s="3" t="s">
        <v>18</v>
      </c>
      <c r="K1496" s="5">
        <v>0.02</v>
      </c>
      <c r="L1496" s="6">
        <v>0</v>
      </c>
      <c r="M1496" s="7" t="s">
        <v>3089</v>
      </c>
      <c r="N1496" s="8">
        <f>VLOOKUP(B1496,'[1]новый без картинок'!$A$5:$F$2672,6,0)</f>
        <v>584</v>
      </c>
    </row>
    <row r="1497" spans="1:14" ht="151.15" customHeight="1" x14ac:dyDescent="0.2">
      <c r="A1497" s="3">
        <v>1495</v>
      </c>
      <c r="B1497" s="3">
        <v>192019</v>
      </c>
      <c r="C1497" s="4" t="str">
        <f>HYPERLINK("http://optservis.net:5080/photo?tov_code_internet=192019","Увеличить")</f>
        <v>Увеличить</v>
      </c>
      <c r="D1497" s="3" t="s">
        <v>3087</v>
      </c>
      <c r="E1497" s="3" t="s">
        <v>3090</v>
      </c>
      <c r="F1497" s="3" t="s">
        <v>3091</v>
      </c>
      <c r="G1497" s="3" t="s">
        <v>1469</v>
      </c>
      <c r="H1497" s="3">
        <v>0.5</v>
      </c>
      <c r="I1497" s="3">
        <v>0</v>
      </c>
      <c r="J1497" s="3" t="s">
        <v>18</v>
      </c>
      <c r="K1497" s="5">
        <v>0.02</v>
      </c>
      <c r="L1497" s="6">
        <v>4690654016234</v>
      </c>
      <c r="M1497" s="7" t="s">
        <v>3089</v>
      </c>
      <c r="N1497" s="8">
        <f>VLOOKUP(B1497,'[1]новый без картинок'!$A$5:$F$2672,6,0)</f>
        <v>436</v>
      </c>
    </row>
    <row r="1498" spans="1:14" ht="151.15" customHeight="1" x14ac:dyDescent="0.2">
      <c r="A1498" s="3">
        <v>1496</v>
      </c>
      <c r="B1498" s="3">
        <v>192025</v>
      </c>
      <c r="C1498" s="4" t="str">
        <f>HYPERLINK("http://optservis.net:5080/photo?tov_code_internet=192025","Увеличить")</f>
        <v>Увеличить</v>
      </c>
      <c r="D1498" s="3" t="s">
        <v>3092</v>
      </c>
      <c r="E1498" s="3" t="s">
        <v>2631</v>
      </c>
      <c r="F1498" s="3" t="s">
        <v>1454</v>
      </c>
      <c r="G1498" s="3" t="s">
        <v>430</v>
      </c>
      <c r="H1498" s="3">
        <v>0.5</v>
      </c>
      <c r="I1498" s="3">
        <v>0</v>
      </c>
      <c r="J1498" s="3" t="s">
        <v>18</v>
      </c>
      <c r="K1498" s="5">
        <v>0.18</v>
      </c>
      <c r="L1498" s="6">
        <v>4690654020828</v>
      </c>
      <c r="M1498" s="7" t="s">
        <v>3093</v>
      </c>
      <c r="N1498" s="8">
        <f>VLOOKUP(B1498,'[1]новый без картинок'!$A$5:$F$2672,6,0)</f>
        <v>315</v>
      </c>
    </row>
    <row r="1499" spans="1:14" ht="151.15" customHeight="1" x14ac:dyDescent="0.2">
      <c r="A1499" s="3">
        <v>1497</v>
      </c>
      <c r="B1499" s="3">
        <v>192021</v>
      </c>
      <c r="C1499" s="4" t="str">
        <f>HYPERLINK("http://optservis.net:5080/photo?tov_code_internet=192021","Увеличить")</f>
        <v>Увеличить</v>
      </c>
      <c r="D1499" s="3" t="s">
        <v>3094</v>
      </c>
      <c r="E1499" s="3"/>
      <c r="F1499" s="3" t="s">
        <v>3095</v>
      </c>
      <c r="G1499" s="3" t="s">
        <v>1479</v>
      </c>
      <c r="H1499" s="3">
        <v>0.5</v>
      </c>
      <c r="I1499" s="3">
        <v>0</v>
      </c>
      <c r="J1499" s="3" t="s">
        <v>18</v>
      </c>
      <c r="K1499" s="5">
        <v>0.01</v>
      </c>
      <c r="L1499" s="6">
        <v>0</v>
      </c>
      <c r="M1499" s="7" t="s">
        <v>3096</v>
      </c>
      <c r="N1499" s="8">
        <f>VLOOKUP(B1499,'[1]новый без картинок'!$A$5:$F$2672,6,0)</f>
        <v>449</v>
      </c>
    </row>
    <row r="1500" spans="1:14" ht="151.15" customHeight="1" x14ac:dyDescent="0.2">
      <c r="A1500" s="3">
        <v>1498</v>
      </c>
      <c r="B1500" s="3">
        <v>192026</v>
      </c>
      <c r="C1500" s="4" t="str">
        <f>HYPERLINK("http://optservis.net:5080/photo?tov_code_internet=192026","Увеличить")</f>
        <v>Увеличить</v>
      </c>
      <c r="D1500" s="3" t="s">
        <v>3097</v>
      </c>
      <c r="E1500" s="3"/>
      <c r="F1500" s="3" t="s">
        <v>3098</v>
      </c>
      <c r="G1500" s="3" t="s">
        <v>1479</v>
      </c>
      <c r="H1500" s="3">
        <v>0.5</v>
      </c>
      <c r="I1500" s="3">
        <v>0</v>
      </c>
      <c r="J1500" s="3" t="s">
        <v>18</v>
      </c>
      <c r="K1500" s="5">
        <v>0.02</v>
      </c>
      <c r="L1500" s="6">
        <v>0</v>
      </c>
      <c r="M1500" s="7" t="s">
        <v>3099</v>
      </c>
      <c r="N1500" s="8">
        <f>VLOOKUP(B1500,'[1]новый без картинок'!$A$5:$F$2672,6,0)</f>
        <v>579</v>
      </c>
    </row>
    <row r="1501" spans="1:14" ht="151.15" customHeight="1" x14ac:dyDescent="0.2">
      <c r="A1501" s="3">
        <v>1499</v>
      </c>
      <c r="B1501" s="3">
        <v>192027</v>
      </c>
      <c r="C1501" s="4" t="str">
        <f>HYPERLINK("http://optservis.net:5080/photo?tov_code_internet=192027","Увеличить")</f>
        <v>Увеличить</v>
      </c>
      <c r="D1501" s="3" t="s">
        <v>3100</v>
      </c>
      <c r="E1501" s="3" t="s">
        <v>3101</v>
      </c>
      <c r="F1501" s="3" t="s">
        <v>3098</v>
      </c>
      <c r="G1501" s="3" t="s">
        <v>1479</v>
      </c>
      <c r="H1501" s="3">
        <v>0.5</v>
      </c>
      <c r="I1501" s="3">
        <v>0</v>
      </c>
      <c r="J1501" s="3" t="s">
        <v>18</v>
      </c>
      <c r="K1501" s="5">
        <v>0.02</v>
      </c>
      <c r="L1501" s="6">
        <v>4690654016999</v>
      </c>
      <c r="M1501" s="7" t="s">
        <v>3099</v>
      </c>
      <c r="N1501" s="8">
        <f>VLOOKUP(B1501,'[1]новый без картинок'!$A$5:$F$2672,6,0)</f>
        <v>558</v>
      </c>
    </row>
    <row r="1502" spans="1:14" ht="151.15" customHeight="1" x14ac:dyDescent="0.2">
      <c r="A1502" s="3">
        <v>1500</v>
      </c>
      <c r="B1502" s="3">
        <v>191994</v>
      </c>
      <c r="C1502" s="4" t="str">
        <f>HYPERLINK("http://optservis.net:5080/photo?tov_code_internet=191994","Увеличить")</f>
        <v>Увеличить</v>
      </c>
      <c r="D1502" s="3" t="s">
        <v>3102</v>
      </c>
      <c r="E1502" s="3" t="s">
        <v>3103</v>
      </c>
      <c r="F1502" s="3" t="s">
        <v>3104</v>
      </c>
      <c r="G1502" s="3" t="s">
        <v>430</v>
      </c>
      <c r="H1502" s="3">
        <v>0.5</v>
      </c>
      <c r="I1502" s="3">
        <v>0</v>
      </c>
      <c r="J1502" s="3" t="s">
        <v>18</v>
      </c>
      <c r="K1502" s="5">
        <v>0.11</v>
      </c>
      <c r="L1502" s="6">
        <v>4690654016876</v>
      </c>
      <c r="M1502" s="7" t="s">
        <v>3105</v>
      </c>
      <c r="N1502" s="8">
        <f>VLOOKUP(B1502,'[1]новый без картинок'!$A$5:$F$2672,6,0)</f>
        <v>233</v>
      </c>
    </row>
    <row r="1503" spans="1:14" ht="151.15" customHeight="1" x14ac:dyDescent="0.2">
      <c r="A1503" s="3">
        <v>1501</v>
      </c>
      <c r="B1503" s="3">
        <v>191996</v>
      </c>
      <c r="C1503" s="4" t="str">
        <f>HYPERLINK("http://optservis.net:5080/photo?tov_code_internet=191996","Увеличить")</f>
        <v>Увеличить</v>
      </c>
      <c r="D1503" s="3" t="s">
        <v>3106</v>
      </c>
      <c r="E1503" s="3"/>
      <c r="F1503" s="3" t="s">
        <v>1611</v>
      </c>
      <c r="G1503" s="3" t="s">
        <v>1469</v>
      </c>
      <c r="H1503" s="3">
        <v>0.5</v>
      </c>
      <c r="I1503" s="3">
        <v>0</v>
      </c>
      <c r="J1503" s="3" t="s">
        <v>18</v>
      </c>
      <c r="K1503" s="5">
        <v>0.04</v>
      </c>
      <c r="L1503" s="6">
        <v>0</v>
      </c>
      <c r="M1503" s="7" t="s">
        <v>3107</v>
      </c>
      <c r="N1503" s="8">
        <f>VLOOKUP(B1503,'[1]новый без картинок'!$A$5:$F$2672,6,0)</f>
        <v>425</v>
      </c>
    </row>
    <row r="1504" spans="1:14" ht="151.15" customHeight="1" x14ac:dyDescent="0.2">
      <c r="A1504" s="3">
        <v>1502</v>
      </c>
      <c r="B1504" s="3">
        <v>191999</v>
      </c>
      <c r="C1504" s="4" t="str">
        <f>HYPERLINK("http://optservis.net:5080/photo?tov_code_internet=191999","Увеличить")</f>
        <v>Увеличить</v>
      </c>
      <c r="D1504" s="3" t="s">
        <v>3108</v>
      </c>
      <c r="E1504" s="3"/>
      <c r="F1504" s="3" t="s">
        <v>1592</v>
      </c>
      <c r="G1504" s="3" t="s">
        <v>430</v>
      </c>
      <c r="H1504" s="3">
        <v>0.5</v>
      </c>
      <c r="I1504" s="3">
        <v>0</v>
      </c>
      <c r="J1504" s="3" t="s">
        <v>18</v>
      </c>
      <c r="K1504" s="5">
        <v>0.2</v>
      </c>
      <c r="L1504" s="6">
        <v>0</v>
      </c>
      <c r="M1504" s="7" t="s">
        <v>3109</v>
      </c>
      <c r="N1504" s="8">
        <f>VLOOKUP(B1504,'[1]новый без картинок'!$A$5:$F$2672,6,0)</f>
        <v>321</v>
      </c>
    </row>
    <row r="1505" spans="1:14" ht="151.15" customHeight="1" x14ac:dyDescent="0.2">
      <c r="A1505" s="3">
        <v>1503</v>
      </c>
      <c r="B1505" s="3">
        <v>192001</v>
      </c>
      <c r="C1505" s="4" t="str">
        <f>HYPERLINK("http://optservis.net:5080/photo?tov_code_internet=192001","Увеличить")</f>
        <v>Увеличить</v>
      </c>
      <c r="D1505" s="3" t="s">
        <v>3110</v>
      </c>
      <c r="E1505" s="3"/>
      <c r="F1505" s="3" t="s">
        <v>1608</v>
      </c>
      <c r="G1505" s="3" t="s">
        <v>1479</v>
      </c>
      <c r="H1505" s="3">
        <v>0.5</v>
      </c>
      <c r="I1505" s="3">
        <v>0</v>
      </c>
      <c r="J1505" s="3" t="s">
        <v>18</v>
      </c>
      <c r="K1505" s="5">
        <v>0.03</v>
      </c>
      <c r="L1505" s="6">
        <v>0</v>
      </c>
      <c r="M1505" s="7" t="s">
        <v>3111</v>
      </c>
      <c r="N1505" s="8">
        <f>VLOOKUP(B1505,'[1]новый без картинок'!$A$5:$F$2672,6,0)</f>
        <v>451</v>
      </c>
    </row>
    <row r="1506" spans="1:14" ht="151.15" customHeight="1" x14ac:dyDescent="0.2">
      <c r="A1506" s="3">
        <v>1504</v>
      </c>
      <c r="B1506" s="3">
        <v>192004</v>
      </c>
      <c r="C1506" s="4" t="str">
        <f>HYPERLINK("http://optservis.net:5080/photo?tov_code_internet=192004","Увеличить")</f>
        <v>Увеличить</v>
      </c>
      <c r="D1506" s="3" t="s">
        <v>3112</v>
      </c>
      <c r="E1506" s="3"/>
      <c r="F1506" s="3" t="s">
        <v>3113</v>
      </c>
      <c r="G1506" s="3" t="s">
        <v>1479</v>
      </c>
      <c r="H1506" s="3">
        <v>0.5</v>
      </c>
      <c r="I1506" s="3">
        <v>0</v>
      </c>
      <c r="J1506" s="3" t="s">
        <v>18</v>
      </c>
      <c r="K1506" s="5">
        <v>0.03</v>
      </c>
      <c r="L1506" s="6">
        <v>0</v>
      </c>
      <c r="M1506" s="7" t="s">
        <v>3114</v>
      </c>
      <c r="N1506" s="8">
        <f>VLOOKUP(B1506,'[1]новый без картинок'!$A$5:$F$2672,6,0)</f>
        <v>460</v>
      </c>
    </row>
    <row r="1507" spans="1:14" ht="151.15" customHeight="1" x14ac:dyDescent="0.2">
      <c r="A1507" s="3">
        <v>1505</v>
      </c>
      <c r="B1507" s="3">
        <v>197086</v>
      </c>
      <c r="C1507" s="4" t="str">
        <f>HYPERLINK("http://optservis.net:5080/photo?tov_code_internet=197086","Увеличить")</f>
        <v>Увеличить</v>
      </c>
      <c r="D1507" s="3" t="s">
        <v>3115</v>
      </c>
      <c r="E1507" s="3"/>
      <c r="F1507" s="3" t="s">
        <v>3079</v>
      </c>
      <c r="G1507" s="3" t="s">
        <v>3077</v>
      </c>
      <c r="H1507" s="3">
        <v>0.5</v>
      </c>
      <c r="I1507" s="3">
        <v>0</v>
      </c>
      <c r="J1507" s="3" t="s">
        <v>18</v>
      </c>
      <c r="K1507" s="5">
        <v>0.06</v>
      </c>
      <c r="L1507" s="6">
        <v>0</v>
      </c>
      <c r="M1507" s="7" t="s">
        <v>3116</v>
      </c>
      <c r="N1507" s="8">
        <f>VLOOKUP(B1507,'[1]новый без картинок'!$A$5:$F$2672,6,0)</f>
        <v>831</v>
      </c>
    </row>
    <row r="1508" spans="1:14" ht="151.15" customHeight="1" x14ac:dyDescent="0.2">
      <c r="A1508" s="3">
        <v>1506</v>
      </c>
      <c r="B1508" s="3">
        <v>197084</v>
      </c>
      <c r="C1508" s="4" t="str">
        <f>HYPERLINK("http://optservis.net:5080/photo?tov_code_internet=197084","Увеличить")</f>
        <v>Увеличить</v>
      </c>
      <c r="D1508" s="3" t="s">
        <v>3115</v>
      </c>
      <c r="E1508" s="3" t="s">
        <v>3117</v>
      </c>
      <c r="F1508" s="3" t="s">
        <v>3076</v>
      </c>
      <c r="G1508" s="3" t="s">
        <v>3077</v>
      </c>
      <c r="H1508" s="3">
        <v>0.5</v>
      </c>
      <c r="I1508" s="3">
        <v>0</v>
      </c>
      <c r="J1508" s="3" t="s">
        <v>18</v>
      </c>
      <c r="K1508" s="5">
        <v>7.0000000000000007E-2</v>
      </c>
      <c r="L1508" s="6">
        <v>4690654016067</v>
      </c>
      <c r="M1508" s="7" t="s">
        <v>3116</v>
      </c>
      <c r="N1508" s="8">
        <f>VLOOKUP(B1508,'[1]новый без картинок'!$A$5:$F$2672,6,0)</f>
        <v>831</v>
      </c>
    </row>
    <row r="1509" spans="1:14" ht="151.15" customHeight="1" x14ac:dyDescent="0.2">
      <c r="A1509" s="3">
        <v>1507</v>
      </c>
      <c r="B1509" s="3">
        <v>197085</v>
      </c>
      <c r="C1509" s="4" t="str">
        <f>HYPERLINK("http://optservis.net:5080/photo?tov_code_internet=197085","Увеличить")</f>
        <v>Увеличить</v>
      </c>
      <c r="D1509" s="3" t="s">
        <v>3115</v>
      </c>
      <c r="E1509" s="3" t="s">
        <v>3117</v>
      </c>
      <c r="F1509" s="3" t="s">
        <v>3118</v>
      </c>
      <c r="G1509" s="3" t="s">
        <v>3077</v>
      </c>
      <c r="H1509" s="3">
        <v>0.5</v>
      </c>
      <c r="I1509" s="3">
        <v>0</v>
      </c>
      <c r="J1509" s="3" t="s">
        <v>18</v>
      </c>
      <c r="K1509" s="5">
        <v>7.0000000000000007E-2</v>
      </c>
      <c r="L1509" s="6">
        <v>4690654015909</v>
      </c>
      <c r="M1509" s="7" t="s">
        <v>3116</v>
      </c>
      <c r="N1509" s="8">
        <f>VLOOKUP(B1509,'[1]новый без картинок'!$A$5:$F$2672,6,0)</f>
        <v>831</v>
      </c>
    </row>
    <row r="1510" spans="1:14" ht="151.15" customHeight="1" x14ac:dyDescent="0.2">
      <c r="A1510" s="3">
        <v>1508</v>
      </c>
      <c r="B1510" s="3">
        <v>197087</v>
      </c>
      <c r="C1510" s="4" t="str">
        <f>HYPERLINK("http://optservis.net:5080/photo?tov_code_internet=197087","Увеличить")</f>
        <v>Увеличить</v>
      </c>
      <c r="D1510" s="3" t="s">
        <v>3119</v>
      </c>
      <c r="E1510" s="3"/>
      <c r="F1510" s="3" t="s">
        <v>3076</v>
      </c>
      <c r="G1510" s="3" t="s">
        <v>3077</v>
      </c>
      <c r="H1510" s="3">
        <v>0.5</v>
      </c>
      <c r="I1510" s="3">
        <v>0</v>
      </c>
      <c r="J1510" s="3" t="s">
        <v>18</v>
      </c>
      <c r="K1510" s="5">
        <v>7.0000000000000007E-2</v>
      </c>
      <c r="L1510" s="6">
        <v>0</v>
      </c>
      <c r="M1510" s="7" t="s">
        <v>3120</v>
      </c>
      <c r="N1510" s="8">
        <f>VLOOKUP(B1510,'[1]новый без картинок'!$A$5:$F$2672,6,0)</f>
        <v>859</v>
      </c>
    </row>
    <row r="1511" spans="1:14" ht="151.15" customHeight="1" x14ac:dyDescent="0.2">
      <c r="A1511" s="3">
        <v>1509</v>
      </c>
      <c r="B1511" s="3">
        <v>197088</v>
      </c>
      <c r="C1511" s="4" t="str">
        <f>HYPERLINK("http://optservis.net:5080/photo?tov_code_internet=197088","Увеличить")</f>
        <v>Увеличить</v>
      </c>
      <c r="D1511" s="3" t="s">
        <v>3119</v>
      </c>
      <c r="E1511" s="3"/>
      <c r="F1511" s="3" t="s">
        <v>3121</v>
      </c>
      <c r="G1511" s="3" t="s">
        <v>3077</v>
      </c>
      <c r="H1511" s="3">
        <v>0.5</v>
      </c>
      <c r="I1511" s="3">
        <v>0</v>
      </c>
      <c r="J1511" s="3" t="s">
        <v>18</v>
      </c>
      <c r="K1511" s="5">
        <v>7.0000000000000007E-2</v>
      </c>
      <c r="L1511" s="6">
        <v>0</v>
      </c>
      <c r="M1511" s="7" t="s">
        <v>3120</v>
      </c>
      <c r="N1511" s="8">
        <f>VLOOKUP(B1511,'[1]новый без картинок'!$A$5:$F$2672,6,0)</f>
        <v>514</v>
      </c>
    </row>
    <row r="1512" spans="1:14" ht="151.15" customHeight="1" x14ac:dyDescent="0.2">
      <c r="A1512" s="3">
        <v>1510</v>
      </c>
      <c r="B1512" s="3">
        <v>197089</v>
      </c>
      <c r="C1512" s="4" t="str">
        <f>HYPERLINK("http://optservis.net:5080/photo?tov_code_internet=197089","Увеличить")</f>
        <v>Увеличить</v>
      </c>
      <c r="D1512" s="3" t="s">
        <v>3119</v>
      </c>
      <c r="E1512" s="3"/>
      <c r="F1512" s="3" t="s">
        <v>3079</v>
      </c>
      <c r="G1512" s="3" t="s">
        <v>3077</v>
      </c>
      <c r="H1512" s="3">
        <v>0.5</v>
      </c>
      <c r="I1512" s="3">
        <v>0</v>
      </c>
      <c r="J1512" s="3" t="s">
        <v>18</v>
      </c>
      <c r="K1512" s="5">
        <v>0</v>
      </c>
      <c r="L1512" s="6">
        <v>0</v>
      </c>
      <c r="M1512" s="7" t="s">
        <v>3120</v>
      </c>
      <c r="N1512" s="8">
        <f>VLOOKUP(B1512,'[1]новый без картинок'!$A$5:$F$2672,6,0)</f>
        <v>861</v>
      </c>
    </row>
    <row r="1513" spans="1:14" ht="151.15" customHeight="1" x14ac:dyDescent="0.2">
      <c r="A1513" s="3">
        <v>1511</v>
      </c>
      <c r="B1513" s="3">
        <v>197191</v>
      </c>
      <c r="C1513" s="4" t="str">
        <f>HYPERLINK("http://optservis.net:5080/photo?tov_code_internet=197191","Увеличить")</f>
        <v>Увеличить</v>
      </c>
      <c r="D1513" s="3" t="s">
        <v>3122</v>
      </c>
      <c r="E1513" s="3"/>
      <c r="F1513" s="3" t="s">
        <v>3123</v>
      </c>
      <c r="G1513" s="3" t="s">
        <v>430</v>
      </c>
      <c r="H1513" s="3">
        <v>0.5</v>
      </c>
      <c r="I1513" s="3">
        <v>0</v>
      </c>
      <c r="J1513" s="3" t="s">
        <v>18</v>
      </c>
      <c r="K1513" s="5">
        <v>0.09</v>
      </c>
      <c r="L1513" s="6">
        <v>0</v>
      </c>
      <c r="M1513" s="7" t="s">
        <v>3124</v>
      </c>
      <c r="N1513" s="8">
        <f>VLOOKUP(B1513,'[1]новый без картинок'!$A$5:$F$2672,6,0)</f>
        <v>985</v>
      </c>
    </row>
    <row r="1514" spans="1:14" ht="151.15" customHeight="1" x14ac:dyDescent="0.2">
      <c r="A1514" s="3">
        <v>1512</v>
      </c>
      <c r="B1514" s="3">
        <v>197190</v>
      </c>
      <c r="C1514" s="4" t="str">
        <f>HYPERLINK("http://optservis.net:5080/photo?tov_code_internet=197190","Увеличить")</f>
        <v>Увеличить</v>
      </c>
      <c r="D1514" s="3" t="s">
        <v>3122</v>
      </c>
      <c r="E1514" s="3"/>
      <c r="F1514" s="3" t="s">
        <v>3125</v>
      </c>
      <c r="G1514" s="3" t="s">
        <v>430</v>
      </c>
      <c r="H1514" s="3">
        <v>0.5</v>
      </c>
      <c r="I1514" s="3">
        <v>0</v>
      </c>
      <c r="J1514" s="3" t="s">
        <v>18</v>
      </c>
      <c r="K1514" s="5">
        <v>0.09</v>
      </c>
      <c r="L1514" s="6">
        <v>0</v>
      </c>
      <c r="M1514" s="7" t="s">
        <v>3124</v>
      </c>
      <c r="N1514" s="8">
        <f>VLOOKUP(B1514,'[1]новый без картинок'!$A$5:$F$2672,6,0)</f>
        <v>987</v>
      </c>
    </row>
    <row r="1515" spans="1:14" ht="151.15" customHeight="1" x14ac:dyDescent="0.2">
      <c r="A1515" s="3">
        <v>1513</v>
      </c>
      <c r="B1515" s="3">
        <v>194124</v>
      </c>
      <c r="C1515" s="4" t="str">
        <f>HYPERLINK("http://optservis.net:5080/photo?tov_code_internet=194124","Увеличить")</f>
        <v>Увеличить</v>
      </c>
      <c r="D1515" s="3" t="s">
        <v>3126</v>
      </c>
      <c r="E1515" s="3" t="s">
        <v>3127</v>
      </c>
      <c r="F1515" s="3" t="s">
        <v>3128</v>
      </c>
      <c r="G1515" s="3" t="s">
        <v>430</v>
      </c>
      <c r="H1515" s="3">
        <v>0.5</v>
      </c>
      <c r="I1515" s="3">
        <v>0</v>
      </c>
      <c r="J1515" s="3" t="s">
        <v>18</v>
      </c>
      <c r="K1515" s="5">
        <v>0.09</v>
      </c>
      <c r="L1515" s="6">
        <v>4690654017613</v>
      </c>
      <c r="M1515" s="7" t="s">
        <v>3129</v>
      </c>
      <c r="N1515" s="8">
        <f>VLOOKUP(B1515,'[1]новый без картинок'!$A$5:$F$2672,6,0)</f>
        <v>998</v>
      </c>
    </row>
    <row r="1516" spans="1:14" ht="151.15" customHeight="1" x14ac:dyDescent="0.2">
      <c r="A1516" s="3">
        <v>1514</v>
      </c>
      <c r="B1516" s="3">
        <v>191754</v>
      </c>
      <c r="C1516" s="4" t="str">
        <f>HYPERLINK("http://optservis.net:5080/photo?tov_code_internet=191754","Увеличить")</f>
        <v>Увеличить</v>
      </c>
      <c r="D1516" s="3" t="s">
        <v>3130</v>
      </c>
      <c r="E1516" s="3" t="s">
        <v>3131</v>
      </c>
      <c r="F1516" s="3" t="s">
        <v>3132</v>
      </c>
      <c r="G1516" s="3" t="s">
        <v>430</v>
      </c>
      <c r="H1516" s="3">
        <v>0.5</v>
      </c>
      <c r="I1516" s="3">
        <v>0</v>
      </c>
      <c r="J1516" s="3" t="s">
        <v>18</v>
      </c>
      <c r="K1516" s="5">
        <v>0.13</v>
      </c>
      <c r="L1516" s="6">
        <v>4690654017668</v>
      </c>
      <c r="M1516" s="7" t="s">
        <v>3133</v>
      </c>
      <c r="N1516" s="8">
        <f>VLOOKUP(B1516,'[1]новый без картинок'!$A$5:$F$2672,6,0)</f>
        <v>335</v>
      </c>
    </row>
    <row r="1517" spans="1:14" ht="151.15" customHeight="1" x14ac:dyDescent="0.2">
      <c r="A1517" s="3">
        <v>1515</v>
      </c>
      <c r="B1517" s="3">
        <v>191757</v>
      </c>
      <c r="C1517" s="4" t="str">
        <f>HYPERLINK("http://optservis.net:5080/photo?tov_code_internet=191757","Увеличить")</f>
        <v>Увеличить</v>
      </c>
      <c r="D1517" s="3" t="s">
        <v>3134</v>
      </c>
      <c r="E1517" s="3"/>
      <c r="F1517" s="3" t="s">
        <v>3135</v>
      </c>
      <c r="G1517" s="3" t="s">
        <v>1469</v>
      </c>
      <c r="H1517" s="3">
        <v>0.5</v>
      </c>
      <c r="I1517" s="3">
        <v>0</v>
      </c>
      <c r="J1517" s="3" t="s">
        <v>18</v>
      </c>
      <c r="K1517" s="5">
        <v>0.06</v>
      </c>
      <c r="L1517" s="6">
        <v>0</v>
      </c>
      <c r="M1517" s="7" t="s">
        <v>3136</v>
      </c>
      <c r="N1517" s="8">
        <f>VLOOKUP(B1517,'[1]новый без картинок'!$A$5:$F$2672,6,0)</f>
        <v>683</v>
      </c>
    </row>
    <row r="1518" spans="1:14" ht="151.15" customHeight="1" x14ac:dyDescent="0.2">
      <c r="A1518" s="3">
        <v>1516</v>
      </c>
      <c r="B1518" s="3">
        <v>194119</v>
      </c>
      <c r="C1518" s="4" t="str">
        <f>HYPERLINK("http://optservis.net:5080/photo?tov_code_internet=194119","Увеличить")</f>
        <v>Увеличить</v>
      </c>
      <c r="D1518" s="3" t="s">
        <v>3134</v>
      </c>
      <c r="E1518" s="3" t="s">
        <v>3137</v>
      </c>
      <c r="F1518" s="3" t="s">
        <v>3138</v>
      </c>
      <c r="G1518" s="3" t="s">
        <v>1469</v>
      </c>
      <c r="H1518" s="3">
        <v>0.5</v>
      </c>
      <c r="I1518" s="3">
        <v>0</v>
      </c>
      <c r="J1518" s="3" t="s">
        <v>18</v>
      </c>
      <c r="K1518" s="5">
        <v>0.06</v>
      </c>
      <c r="L1518" s="6">
        <v>4690654015947</v>
      </c>
      <c r="M1518" s="7" t="s">
        <v>3139</v>
      </c>
      <c r="N1518" s="8">
        <f>VLOOKUP(B1518,'[1]новый без картинок'!$A$5:$F$2672,6,0)</f>
        <v>530</v>
      </c>
    </row>
    <row r="1519" spans="1:14" ht="151.15" customHeight="1" x14ac:dyDescent="0.2">
      <c r="A1519" s="3">
        <v>1517</v>
      </c>
      <c r="B1519" s="3">
        <v>194122</v>
      </c>
      <c r="C1519" s="4" t="str">
        <f>HYPERLINK("http://optservis.net:5080/photo?tov_code_internet=194122","Увеличить")</f>
        <v>Увеличить</v>
      </c>
      <c r="D1519" s="3" t="s">
        <v>3140</v>
      </c>
      <c r="E1519" s="3"/>
      <c r="F1519" s="3" t="s">
        <v>1950</v>
      </c>
      <c r="G1519" s="3" t="s">
        <v>430</v>
      </c>
      <c r="H1519" s="3">
        <v>0.5</v>
      </c>
      <c r="I1519" s="3">
        <v>0</v>
      </c>
      <c r="J1519" s="3" t="s">
        <v>18</v>
      </c>
      <c r="K1519" s="5">
        <v>0.22</v>
      </c>
      <c r="L1519" s="6">
        <v>0</v>
      </c>
      <c r="M1519" s="7" t="s">
        <v>3141</v>
      </c>
      <c r="N1519" s="8">
        <f>VLOOKUP(B1519,'[1]новый без картинок'!$A$5:$F$2672,6,0)</f>
        <v>428</v>
      </c>
    </row>
    <row r="1520" spans="1:14" ht="151.15" customHeight="1" x14ac:dyDescent="0.2">
      <c r="A1520" s="3">
        <v>1518</v>
      </c>
      <c r="B1520" s="3">
        <v>191760</v>
      </c>
      <c r="C1520" s="4" t="str">
        <f>HYPERLINK("http://optservis.net:5080/photo?tov_code_internet=191760","Увеличить")</f>
        <v>Увеличить</v>
      </c>
      <c r="D1520" s="3" t="s">
        <v>3140</v>
      </c>
      <c r="E1520" s="3"/>
      <c r="F1520" s="3" t="s">
        <v>1971</v>
      </c>
      <c r="G1520" s="3" t="s">
        <v>430</v>
      </c>
      <c r="H1520" s="3">
        <v>0.5</v>
      </c>
      <c r="I1520" s="3">
        <v>0</v>
      </c>
      <c r="J1520" s="3" t="s">
        <v>18</v>
      </c>
      <c r="K1520" s="5">
        <v>0.22</v>
      </c>
      <c r="L1520" s="6">
        <v>0</v>
      </c>
      <c r="M1520" s="7" t="s">
        <v>3142</v>
      </c>
      <c r="N1520" s="8">
        <f>VLOOKUP(B1520,'[1]новый без картинок'!$A$5:$F$2672,6,0)</f>
        <v>424</v>
      </c>
    </row>
    <row r="1521" spans="1:14" ht="151.15" customHeight="1" x14ac:dyDescent="0.2">
      <c r="A1521" s="3">
        <v>1519</v>
      </c>
      <c r="B1521" s="3">
        <v>194125</v>
      </c>
      <c r="C1521" s="4" t="str">
        <f>HYPERLINK("http://optservis.net:5080/photo?tov_code_internet=194125","Увеличить")</f>
        <v>Увеличить</v>
      </c>
      <c r="D1521" s="3" t="s">
        <v>3143</v>
      </c>
      <c r="E1521" s="3"/>
      <c r="F1521" s="3" t="s">
        <v>1983</v>
      </c>
      <c r="G1521" s="3" t="s">
        <v>1045</v>
      </c>
      <c r="H1521" s="3">
        <v>0.5</v>
      </c>
      <c r="I1521" s="3">
        <v>0</v>
      </c>
      <c r="J1521" s="3" t="s">
        <v>18</v>
      </c>
      <c r="K1521" s="5">
        <v>0.05</v>
      </c>
      <c r="L1521" s="6">
        <v>0</v>
      </c>
      <c r="M1521" s="7" t="s">
        <v>3144</v>
      </c>
      <c r="N1521" s="8">
        <f>VLOOKUP(B1521,'[1]новый без картинок'!$A$5:$F$2672,6,0)</f>
        <v>551</v>
      </c>
    </row>
    <row r="1522" spans="1:14" ht="151.15" customHeight="1" x14ac:dyDescent="0.2">
      <c r="A1522" s="3">
        <v>1520</v>
      </c>
      <c r="B1522" s="3">
        <v>191762</v>
      </c>
      <c r="C1522" s="4" t="str">
        <f>HYPERLINK("http://optservis.net:5080/photo?tov_code_internet=191762","Увеличить")</f>
        <v>Увеличить</v>
      </c>
      <c r="D1522" s="3" t="s">
        <v>3143</v>
      </c>
      <c r="E1522" s="3"/>
      <c r="F1522" s="3" t="s">
        <v>1985</v>
      </c>
      <c r="G1522" s="3" t="s">
        <v>1479</v>
      </c>
      <c r="H1522" s="3">
        <v>0.5</v>
      </c>
      <c r="I1522" s="3">
        <v>0</v>
      </c>
      <c r="J1522" s="3" t="s">
        <v>18</v>
      </c>
      <c r="K1522" s="5">
        <v>0.05</v>
      </c>
      <c r="L1522" s="6">
        <v>0</v>
      </c>
      <c r="M1522" s="7" t="s">
        <v>3145</v>
      </c>
      <c r="N1522" s="8">
        <f>VLOOKUP(B1522,'[1]новый без картинок'!$A$5:$F$2672,6,0)</f>
        <v>554</v>
      </c>
    </row>
    <row r="1523" spans="1:14" ht="151.15" customHeight="1" x14ac:dyDescent="0.2">
      <c r="A1523" s="3">
        <v>1521</v>
      </c>
      <c r="B1523" s="3">
        <v>191764</v>
      </c>
      <c r="C1523" s="4" t="str">
        <f>HYPERLINK("http://optservis.net:5080/photo?tov_code_internet=191764","Увеличить")</f>
        <v>Увеличить</v>
      </c>
      <c r="D1523" s="3" t="s">
        <v>3146</v>
      </c>
      <c r="E1523" s="3"/>
      <c r="F1523" s="3" t="s">
        <v>3147</v>
      </c>
      <c r="G1523" s="3" t="s">
        <v>1479</v>
      </c>
      <c r="H1523" s="3">
        <v>0.5</v>
      </c>
      <c r="I1523" s="3">
        <v>0</v>
      </c>
      <c r="J1523" s="3" t="s">
        <v>18</v>
      </c>
      <c r="K1523" s="5">
        <v>0.06</v>
      </c>
      <c r="L1523" s="6">
        <v>0</v>
      </c>
      <c r="M1523" s="7" t="s">
        <v>3148</v>
      </c>
      <c r="N1523" s="8">
        <f>VLOOKUP(B1523,'[1]новый без картинок'!$A$5:$F$2672,6,0)</f>
        <v>657</v>
      </c>
    </row>
    <row r="1524" spans="1:14" ht="151.15" customHeight="1" x14ac:dyDescent="0.2">
      <c r="A1524" s="3">
        <v>1522</v>
      </c>
      <c r="B1524" s="3">
        <v>194127</v>
      </c>
      <c r="C1524" s="4" t="str">
        <f>HYPERLINK("http://optservis.net:5080/photo?tov_code_internet=194127","Увеличить")</f>
        <v>Увеличить</v>
      </c>
      <c r="D1524" s="3" t="s">
        <v>3149</v>
      </c>
      <c r="E1524" s="3"/>
      <c r="F1524" s="3" t="s">
        <v>1983</v>
      </c>
      <c r="G1524" s="3" t="s">
        <v>1045</v>
      </c>
      <c r="H1524" s="3">
        <v>0.5</v>
      </c>
      <c r="I1524" s="3">
        <v>0</v>
      </c>
      <c r="J1524" s="3" t="s">
        <v>18</v>
      </c>
      <c r="K1524" s="5">
        <v>7.0000000000000007E-2</v>
      </c>
      <c r="L1524" s="6">
        <v>0</v>
      </c>
      <c r="M1524" s="7" t="s">
        <v>3150</v>
      </c>
      <c r="N1524" s="8">
        <f>VLOOKUP(B1524,'[1]новый без картинок'!$A$5:$F$2672,6,0)</f>
        <v>559</v>
      </c>
    </row>
    <row r="1525" spans="1:14" ht="151.15" customHeight="1" x14ac:dyDescent="0.2">
      <c r="A1525" s="3">
        <v>1523</v>
      </c>
      <c r="B1525" s="3">
        <v>197192</v>
      </c>
      <c r="C1525" s="4" t="str">
        <f>HYPERLINK("http://optservis.net:5080/photo?tov_code_internet=197192","Увеличить")</f>
        <v>Увеличить</v>
      </c>
      <c r="D1525" s="3" t="s">
        <v>3151</v>
      </c>
      <c r="E1525" s="3" t="s">
        <v>3152</v>
      </c>
      <c r="F1525" s="3" t="s">
        <v>3153</v>
      </c>
      <c r="G1525" s="3" t="s">
        <v>430</v>
      </c>
      <c r="H1525" s="3">
        <v>0.5</v>
      </c>
      <c r="I1525" s="3">
        <v>0</v>
      </c>
      <c r="J1525" s="3" t="s">
        <v>18</v>
      </c>
      <c r="K1525" s="5">
        <v>0.09</v>
      </c>
      <c r="L1525" s="6">
        <v>4690654020354</v>
      </c>
      <c r="M1525" s="7" t="s">
        <v>3154</v>
      </c>
      <c r="N1525" s="8">
        <f>VLOOKUP(B1525,'[1]новый без картинок'!$A$5:$F$2672,6,0)</f>
        <v>972</v>
      </c>
    </row>
    <row r="1526" spans="1:14" ht="151.15" customHeight="1" x14ac:dyDescent="0.2">
      <c r="A1526" s="3">
        <v>1524</v>
      </c>
      <c r="B1526" s="3">
        <v>189694</v>
      </c>
      <c r="C1526" s="4" t="str">
        <f>HYPERLINK("http://optservis.net:5080/photo?tov_code_internet=189694","Увеличить")</f>
        <v>Увеличить</v>
      </c>
      <c r="D1526" s="3" t="s">
        <v>3155</v>
      </c>
      <c r="E1526" s="3"/>
      <c r="F1526" s="3" t="s">
        <v>2045</v>
      </c>
      <c r="G1526" s="3" t="s">
        <v>430</v>
      </c>
      <c r="H1526" s="3">
        <v>0.5</v>
      </c>
      <c r="I1526" s="3">
        <v>0</v>
      </c>
      <c r="J1526" s="3" t="s">
        <v>18</v>
      </c>
      <c r="K1526" s="5">
        <v>0.13</v>
      </c>
      <c r="L1526" s="6">
        <v>0</v>
      </c>
      <c r="M1526" s="7" t="s">
        <v>2844</v>
      </c>
      <c r="N1526" s="8">
        <f>VLOOKUP(B1526,'[1]новый без картинок'!$A$5:$F$2672,6,0)</f>
        <v>332</v>
      </c>
    </row>
    <row r="1527" spans="1:14" ht="151.15" customHeight="1" x14ac:dyDescent="0.2">
      <c r="A1527" s="3">
        <v>1525</v>
      </c>
      <c r="B1527" s="3">
        <v>189695</v>
      </c>
      <c r="C1527" s="4" t="str">
        <f>HYPERLINK("http://optservis.net:5080/photo?tov_code_internet=189695","Увеличить")</f>
        <v>Увеличить</v>
      </c>
      <c r="D1527" s="3" t="s">
        <v>3156</v>
      </c>
      <c r="E1527" s="3"/>
      <c r="F1527" s="3" t="s">
        <v>2078</v>
      </c>
      <c r="G1527" s="3" t="s">
        <v>1469</v>
      </c>
      <c r="H1527" s="3">
        <v>0.5</v>
      </c>
      <c r="I1527" s="3">
        <v>0</v>
      </c>
      <c r="J1527" s="3" t="s">
        <v>18</v>
      </c>
      <c r="K1527" s="5">
        <v>0.06</v>
      </c>
      <c r="L1527" s="6">
        <v>0</v>
      </c>
      <c r="M1527" s="7" t="s">
        <v>2846</v>
      </c>
      <c r="N1527" s="8">
        <f>VLOOKUP(B1527,'[1]новый без картинок'!$A$5:$F$2672,6,0)</f>
        <v>551</v>
      </c>
    </row>
    <row r="1528" spans="1:14" ht="151.15" customHeight="1" x14ac:dyDescent="0.2">
      <c r="A1528" s="3">
        <v>1526</v>
      </c>
      <c r="B1528" s="3">
        <v>189696</v>
      </c>
      <c r="C1528" s="4" t="str">
        <f>HYPERLINK("http://optservis.net:5080/photo?tov_code_internet=189696","Увеличить")</f>
        <v>Увеличить</v>
      </c>
      <c r="D1528" s="3" t="s">
        <v>3156</v>
      </c>
      <c r="E1528" s="3"/>
      <c r="F1528" s="3" t="s">
        <v>2080</v>
      </c>
      <c r="G1528" s="3" t="s">
        <v>1469</v>
      </c>
      <c r="H1528" s="3">
        <v>0.5</v>
      </c>
      <c r="I1528" s="3">
        <v>0</v>
      </c>
      <c r="J1528" s="3" t="s">
        <v>18</v>
      </c>
      <c r="K1528" s="5">
        <v>0.06</v>
      </c>
      <c r="L1528" s="6">
        <v>0</v>
      </c>
      <c r="M1528" s="7" t="s">
        <v>2846</v>
      </c>
      <c r="N1528" s="8">
        <f>VLOOKUP(B1528,'[1]новый без картинок'!$A$5:$F$2672,6,0)</f>
        <v>512</v>
      </c>
    </row>
    <row r="1529" spans="1:14" ht="151.15" customHeight="1" x14ac:dyDescent="0.2">
      <c r="A1529" s="3">
        <v>1527</v>
      </c>
      <c r="B1529" s="3">
        <v>189697</v>
      </c>
      <c r="C1529" s="4" t="str">
        <f>HYPERLINK("http://optservis.net:5080/photo?tov_code_internet=189697","Увеличить")</f>
        <v>Увеличить</v>
      </c>
      <c r="D1529" s="3" t="s">
        <v>3157</v>
      </c>
      <c r="E1529" s="3"/>
      <c r="F1529" s="3" t="s">
        <v>2045</v>
      </c>
      <c r="G1529" s="3" t="s">
        <v>430</v>
      </c>
      <c r="H1529" s="3">
        <v>0.5</v>
      </c>
      <c r="I1529" s="3">
        <v>0</v>
      </c>
      <c r="J1529" s="3" t="s">
        <v>18</v>
      </c>
      <c r="K1529" s="5">
        <v>0.22</v>
      </c>
      <c r="L1529" s="6">
        <v>0</v>
      </c>
      <c r="M1529" s="7" t="s">
        <v>3158</v>
      </c>
      <c r="N1529" s="8">
        <f>VLOOKUP(B1529,'[1]новый без картинок'!$A$5:$F$2672,6,0)</f>
        <v>410</v>
      </c>
    </row>
    <row r="1530" spans="1:14" ht="151.15" customHeight="1" x14ac:dyDescent="0.2">
      <c r="A1530" s="3">
        <v>1528</v>
      </c>
      <c r="B1530" s="3">
        <v>189699</v>
      </c>
      <c r="C1530" s="4" t="str">
        <f>HYPERLINK("http://optservis.net:5080/photo?tov_code_internet=189699","Увеличить")</f>
        <v>Увеличить</v>
      </c>
      <c r="D1530" s="3" t="s">
        <v>3159</v>
      </c>
      <c r="E1530" s="3"/>
      <c r="F1530" s="3" t="s">
        <v>3160</v>
      </c>
      <c r="G1530" s="3" t="s">
        <v>1045</v>
      </c>
      <c r="H1530" s="3">
        <v>0.5</v>
      </c>
      <c r="I1530" s="3">
        <v>0</v>
      </c>
      <c r="J1530" s="3" t="s">
        <v>18</v>
      </c>
      <c r="K1530" s="5">
        <v>0.05</v>
      </c>
      <c r="L1530" s="6">
        <v>0</v>
      </c>
      <c r="M1530" s="7" t="s">
        <v>3161</v>
      </c>
      <c r="N1530" s="8">
        <f>VLOOKUP(B1530,'[1]новый без картинок'!$A$5:$F$2672,6,0)</f>
        <v>533</v>
      </c>
    </row>
    <row r="1531" spans="1:14" ht="151.15" customHeight="1" x14ac:dyDescent="0.2">
      <c r="A1531" s="3">
        <v>1529</v>
      </c>
      <c r="B1531" s="3">
        <v>189703</v>
      </c>
      <c r="C1531" s="4" t="str">
        <f>HYPERLINK("http://optservis.net:5080/photo?tov_code_internet=189703","Увеличить")</f>
        <v>Увеличить</v>
      </c>
      <c r="D1531" s="3" t="s">
        <v>3162</v>
      </c>
      <c r="E1531" s="3"/>
      <c r="F1531" s="3" t="s">
        <v>3163</v>
      </c>
      <c r="G1531" s="3" t="s">
        <v>1469</v>
      </c>
      <c r="H1531" s="3">
        <v>0.5</v>
      </c>
      <c r="I1531" s="3">
        <v>0</v>
      </c>
      <c r="J1531" s="3" t="s">
        <v>18</v>
      </c>
      <c r="K1531" s="5">
        <v>0.05</v>
      </c>
      <c r="L1531" s="6">
        <v>0</v>
      </c>
      <c r="M1531" s="7" t="s">
        <v>3164</v>
      </c>
      <c r="N1531" s="8">
        <f>VLOOKUP(B1531,'[1]новый без картинок'!$A$5:$F$2672,6,0)</f>
        <v>549</v>
      </c>
    </row>
    <row r="1532" spans="1:14" ht="151.15" customHeight="1" x14ac:dyDescent="0.2">
      <c r="A1532" s="3">
        <v>1530</v>
      </c>
      <c r="B1532" s="3">
        <v>197194</v>
      </c>
      <c r="C1532" s="4" t="str">
        <f>HYPERLINK("http://optservis.net:5080/photo?tov_code_internet=197194","Увеличить")</f>
        <v>Увеличить</v>
      </c>
      <c r="D1532" s="3" t="s">
        <v>3165</v>
      </c>
      <c r="E1532" s="3" t="s">
        <v>3166</v>
      </c>
      <c r="F1532" s="3" t="s">
        <v>3167</v>
      </c>
      <c r="G1532" s="3" t="s">
        <v>430</v>
      </c>
      <c r="H1532" s="3">
        <v>0.5</v>
      </c>
      <c r="I1532" s="3">
        <v>0</v>
      </c>
      <c r="J1532" s="3" t="s">
        <v>18</v>
      </c>
      <c r="K1532" s="5">
        <v>0.09</v>
      </c>
      <c r="L1532" s="6">
        <v>4690654016227</v>
      </c>
      <c r="M1532" s="7" t="s">
        <v>3168</v>
      </c>
      <c r="N1532" s="8">
        <f>VLOOKUP(B1532,'[1]новый без картинок'!$A$5:$F$2672,6,0)</f>
        <v>988</v>
      </c>
    </row>
    <row r="1533" spans="1:14" ht="151.15" customHeight="1" x14ac:dyDescent="0.2">
      <c r="A1533" s="3">
        <v>1531</v>
      </c>
      <c r="B1533" s="3">
        <v>197193</v>
      </c>
      <c r="C1533" s="4" t="str">
        <f>HYPERLINK("http://optservis.net:5080/photo?tov_code_internet=197193","Увеличить")</f>
        <v>Увеличить</v>
      </c>
      <c r="D1533" s="3" t="s">
        <v>3169</v>
      </c>
      <c r="E1533" s="3" t="s">
        <v>3170</v>
      </c>
      <c r="F1533" s="3" t="s">
        <v>3171</v>
      </c>
      <c r="G1533" s="3" t="s">
        <v>430</v>
      </c>
      <c r="H1533" s="3">
        <v>0.5</v>
      </c>
      <c r="I1533" s="3">
        <v>0</v>
      </c>
      <c r="J1533" s="3" t="s">
        <v>18</v>
      </c>
      <c r="K1533" s="5">
        <v>0.09</v>
      </c>
      <c r="L1533" s="6">
        <v>4690654015329</v>
      </c>
      <c r="M1533" s="7" t="s">
        <v>3172</v>
      </c>
      <c r="N1533" s="8">
        <f>VLOOKUP(B1533,'[1]новый без картинок'!$A$5:$F$2672,6,0)</f>
        <v>962</v>
      </c>
    </row>
    <row r="1534" spans="1:14" ht="151.15" customHeight="1" x14ac:dyDescent="0.2">
      <c r="A1534" s="3">
        <v>1532</v>
      </c>
      <c r="B1534" s="3">
        <v>196795</v>
      </c>
      <c r="C1534" s="4" t="str">
        <f>HYPERLINK("http://optservis.net:5080/photo?tov_code_internet=196795","Увеличить")</f>
        <v>Увеличить</v>
      </c>
      <c r="D1534" s="3" t="s">
        <v>3173</v>
      </c>
      <c r="E1534" s="3"/>
      <c r="F1534" s="3" t="s">
        <v>2223</v>
      </c>
      <c r="G1534" s="3" t="s">
        <v>430</v>
      </c>
      <c r="H1534" s="3">
        <v>0.5</v>
      </c>
      <c r="I1534" s="3">
        <v>0</v>
      </c>
      <c r="J1534" s="3" t="s">
        <v>18</v>
      </c>
      <c r="K1534" s="5">
        <v>0.15</v>
      </c>
      <c r="L1534" s="6">
        <v>0</v>
      </c>
      <c r="M1534" s="7" t="s">
        <v>2248</v>
      </c>
      <c r="N1534" s="8">
        <f>VLOOKUP(B1534,'[1]новый без картинок'!$A$5:$F$2672,6,0)</f>
        <v>372</v>
      </c>
    </row>
    <row r="1535" spans="1:14" ht="151.15" customHeight="1" x14ac:dyDescent="0.2">
      <c r="A1535" s="3">
        <v>1533</v>
      </c>
      <c r="B1535" s="3">
        <v>196796</v>
      </c>
      <c r="C1535" s="4" t="str">
        <f>HYPERLINK("http://optservis.net:5080/photo?tov_code_internet=196796","Увеличить")</f>
        <v>Увеличить</v>
      </c>
      <c r="D1535" s="3" t="s">
        <v>3173</v>
      </c>
      <c r="E1535" s="3" t="s">
        <v>2910</v>
      </c>
      <c r="F1535" s="3" t="s">
        <v>2226</v>
      </c>
      <c r="G1535" s="3" t="s">
        <v>430</v>
      </c>
      <c r="H1535" s="3">
        <v>0.5</v>
      </c>
      <c r="I1535" s="3">
        <v>0</v>
      </c>
      <c r="J1535" s="3" t="s">
        <v>18</v>
      </c>
      <c r="K1535" s="5">
        <v>0.15</v>
      </c>
      <c r="L1535" s="6">
        <v>4690654015688</v>
      </c>
      <c r="M1535" s="7" t="s">
        <v>2248</v>
      </c>
      <c r="N1535" s="8">
        <f>VLOOKUP(B1535,'[1]новый без картинок'!$A$5:$F$2672,6,0)</f>
        <v>363</v>
      </c>
    </row>
    <row r="1536" spans="1:14" ht="151.15" customHeight="1" x14ac:dyDescent="0.2">
      <c r="A1536" s="3">
        <v>1534</v>
      </c>
      <c r="B1536" s="3">
        <v>196799</v>
      </c>
      <c r="C1536" s="4" t="str">
        <f>HYPERLINK("http://optservis.net:5080/photo?tov_code_internet=196799","Увеличить")</f>
        <v>Увеличить</v>
      </c>
      <c r="D1536" s="3" t="s">
        <v>3174</v>
      </c>
      <c r="E1536" s="3"/>
      <c r="F1536" s="3" t="s">
        <v>3175</v>
      </c>
      <c r="G1536" s="3" t="s">
        <v>1469</v>
      </c>
      <c r="H1536" s="3">
        <v>0.5</v>
      </c>
      <c r="I1536" s="3">
        <v>0</v>
      </c>
      <c r="J1536" s="3" t="s">
        <v>18</v>
      </c>
      <c r="K1536" s="5">
        <v>7.0000000000000007E-2</v>
      </c>
      <c r="L1536" s="6">
        <v>0</v>
      </c>
      <c r="M1536" s="7" t="s">
        <v>3176</v>
      </c>
      <c r="N1536" s="8">
        <f>VLOOKUP(B1536,'[1]новый без картинок'!$A$5:$F$2672,6,0)</f>
        <v>593</v>
      </c>
    </row>
    <row r="1537" spans="1:14" ht="151.15" customHeight="1" x14ac:dyDescent="0.2">
      <c r="A1537" s="3">
        <v>1535</v>
      </c>
      <c r="B1537" s="3">
        <v>196798</v>
      </c>
      <c r="C1537" s="4" t="str">
        <f>HYPERLINK("http://optservis.net:5080/photo?tov_code_internet=196798","Увеличить")</f>
        <v>Увеличить</v>
      </c>
      <c r="D1537" s="3" t="s">
        <v>3174</v>
      </c>
      <c r="E1537" s="3"/>
      <c r="F1537" s="3" t="s">
        <v>2259</v>
      </c>
      <c r="G1537" s="3" t="s">
        <v>1469</v>
      </c>
      <c r="H1537" s="3">
        <v>0.5</v>
      </c>
      <c r="I1537" s="3">
        <v>0</v>
      </c>
      <c r="J1537" s="3" t="s">
        <v>18</v>
      </c>
      <c r="K1537" s="5">
        <v>7.0000000000000007E-2</v>
      </c>
      <c r="L1537" s="6">
        <v>0</v>
      </c>
      <c r="M1537" s="7" t="s">
        <v>3176</v>
      </c>
      <c r="N1537" s="8">
        <f>VLOOKUP(B1537,'[1]новый без картинок'!$A$5:$F$2672,6,0)</f>
        <v>554</v>
      </c>
    </row>
    <row r="1538" spans="1:14" ht="151.15" customHeight="1" x14ac:dyDescent="0.2">
      <c r="A1538" s="3">
        <v>1536</v>
      </c>
      <c r="B1538" s="3">
        <v>196802</v>
      </c>
      <c r="C1538" s="4" t="str">
        <f>HYPERLINK("http://optservis.net:5080/photo?tov_code_internet=196802","Увеличить")</f>
        <v>Увеличить</v>
      </c>
      <c r="D1538" s="3" t="s">
        <v>3177</v>
      </c>
      <c r="E1538" s="3"/>
      <c r="F1538" s="3" t="s">
        <v>2270</v>
      </c>
      <c r="G1538" s="3" t="s">
        <v>1479</v>
      </c>
      <c r="H1538" s="3">
        <v>0.5</v>
      </c>
      <c r="I1538" s="3">
        <v>0</v>
      </c>
      <c r="J1538" s="3" t="s">
        <v>18</v>
      </c>
      <c r="K1538" s="5">
        <v>7.0000000000000007E-2</v>
      </c>
      <c r="L1538" s="6">
        <v>0</v>
      </c>
      <c r="M1538" s="7" t="s">
        <v>3178</v>
      </c>
      <c r="N1538" s="8">
        <f>VLOOKUP(B1538,'[1]новый без картинок'!$A$5:$F$2672,6,0)</f>
        <v>575</v>
      </c>
    </row>
    <row r="1539" spans="1:14" ht="151.15" customHeight="1" x14ac:dyDescent="0.2">
      <c r="A1539" s="3">
        <v>1537</v>
      </c>
      <c r="B1539" s="3">
        <v>196801</v>
      </c>
      <c r="C1539" s="4" t="str">
        <f>HYPERLINK("http://optservis.net:5080/photo?tov_code_internet=196801","Увеличить")</f>
        <v>Увеличить</v>
      </c>
      <c r="D1539" s="3" t="s">
        <v>3177</v>
      </c>
      <c r="E1539" s="3"/>
      <c r="F1539" s="3" t="s">
        <v>2272</v>
      </c>
      <c r="G1539" s="3" t="s">
        <v>1479</v>
      </c>
      <c r="H1539" s="3">
        <v>0.5</v>
      </c>
      <c r="I1539" s="3">
        <v>0</v>
      </c>
      <c r="J1539" s="3" t="s">
        <v>18</v>
      </c>
      <c r="K1539" s="5">
        <v>7.0000000000000007E-2</v>
      </c>
      <c r="L1539" s="6">
        <v>0</v>
      </c>
      <c r="M1539" s="7" t="s">
        <v>3178</v>
      </c>
      <c r="N1539" s="8">
        <f>VLOOKUP(B1539,'[1]новый без картинок'!$A$5:$F$2672,6,0)</f>
        <v>580</v>
      </c>
    </row>
    <row r="1540" spans="1:14" ht="151.15" customHeight="1" x14ac:dyDescent="0.2">
      <c r="A1540" s="3">
        <v>1538</v>
      </c>
      <c r="B1540" s="3">
        <v>197195</v>
      </c>
      <c r="C1540" s="4" t="str">
        <f>HYPERLINK("http://optservis.net:5080/photo?tov_code_internet=197195","Увеличить")</f>
        <v>Увеличить</v>
      </c>
      <c r="D1540" s="3" t="s">
        <v>3179</v>
      </c>
      <c r="E1540" s="3" t="s">
        <v>3180</v>
      </c>
      <c r="F1540" s="3" t="s">
        <v>3181</v>
      </c>
      <c r="G1540" s="3" t="s">
        <v>430</v>
      </c>
      <c r="H1540" s="3">
        <v>0.5</v>
      </c>
      <c r="I1540" s="3">
        <v>0</v>
      </c>
      <c r="J1540" s="3" t="s">
        <v>18</v>
      </c>
      <c r="K1540" s="5">
        <v>0.1</v>
      </c>
      <c r="L1540" s="6">
        <v>4690654015312</v>
      </c>
      <c r="M1540" s="7" t="s">
        <v>3182</v>
      </c>
      <c r="N1540" s="8">
        <f>VLOOKUP(B1540,'[1]новый без картинок'!$A$5:$F$2672,6,0)</f>
        <v>1010</v>
      </c>
    </row>
    <row r="1541" spans="1:14" ht="151.15" customHeight="1" x14ac:dyDescent="0.2">
      <c r="A1541" s="3">
        <v>1539</v>
      </c>
      <c r="B1541" s="3">
        <v>212263</v>
      </c>
      <c r="C1541" s="4" t="str">
        <f>HYPERLINK("http://optservis.net:5080/photo?tov_code_internet=212263","Увеличить")</f>
        <v>Увеличить</v>
      </c>
      <c r="D1541" s="3" t="s">
        <v>3183</v>
      </c>
      <c r="E1541" s="3"/>
      <c r="F1541" s="3" t="s">
        <v>2866</v>
      </c>
      <c r="G1541" s="3" t="s">
        <v>430</v>
      </c>
      <c r="H1541" s="3">
        <v>0.5</v>
      </c>
      <c r="I1541" s="3">
        <v>0</v>
      </c>
      <c r="J1541" s="3" t="s">
        <v>18</v>
      </c>
      <c r="K1541" s="5">
        <v>0.09</v>
      </c>
      <c r="L1541" s="6">
        <v>0</v>
      </c>
      <c r="M1541" s="7" t="s">
        <v>3184</v>
      </c>
      <c r="N1541" s="8">
        <f>VLOOKUP(B1541,'[1]новый без картинок'!$A$5:$F$2672,6,0)</f>
        <v>1022</v>
      </c>
    </row>
    <row r="1542" spans="1:14" ht="151.15" customHeight="1" x14ac:dyDescent="0.2">
      <c r="A1542" s="3">
        <v>1540</v>
      </c>
      <c r="B1542" s="3">
        <v>197091</v>
      </c>
      <c r="C1542" s="4" t="str">
        <f>HYPERLINK("http://optservis.net:5080/photo?tov_code_internet=197091","Увеличить")</f>
        <v>Увеличить</v>
      </c>
      <c r="D1542" s="3" t="s">
        <v>3183</v>
      </c>
      <c r="E1542" s="3"/>
      <c r="F1542" s="3" t="s">
        <v>3185</v>
      </c>
      <c r="G1542" s="3" t="s">
        <v>430</v>
      </c>
      <c r="H1542" s="3">
        <v>0.5</v>
      </c>
      <c r="I1542" s="3">
        <v>0</v>
      </c>
      <c r="J1542" s="3" t="s">
        <v>18</v>
      </c>
      <c r="K1542" s="5">
        <v>0.12</v>
      </c>
      <c r="L1542" s="6">
        <v>0</v>
      </c>
      <c r="M1542" s="7" t="s">
        <v>3184</v>
      </c>
      <c r="N1542" s="8">
        <f>VLOOKUP(B1542,'[1]новый без картинок'!$A$5:$F$2672,6,0)</f>
        <v>1014</v>
      </c>
    </row>
    <row r="1543" spans="1:14" ht="151.15" customHeight="1" x14ac:dyDescent="0.2">
      <c r="A1543" s="3">
        <v>1541</v>
      </c>
      <c r="B1543" s="3">
        <v>197090</v>
      </c>
      <c r="C1543" s="4" t="str">
        <f>HYPERLINK("http://optservis.net:5080/photo?tov_code_internet=197090","Увеличить")</f>
        <v>Увеличить</v>
      </c>
      <c r="D1543" s="3" t="s">
        <v>3183</v>
      </c>
      <c r="E1543" s="3" t="s">
        <v>3186</v>
      </c>
      <c r="F1543" s="3" t="s">
        <v>3187</v>
      </c>
      <c r="G1543" s="3" t="s">
        <v>430</v>
      </c>
      <c r="H1543" s="3">
        <v>0.5</v>
      </c>
      <c r="I1543" s="3">
        <v>0</v>
      </c>
      <c r="J1543" s="3" t="s">
        <v>18</v>
      </c>
      <c r="K1543" s="5">
        <v>0.11</v>
      </c>
      <c r="L1543" s="6">
        <v>4690654015466</v>
      </c>
      <c r="M1543" s="7" t="s">
        <v>3184</v>
      </c>
      <c r="N1543" s="8">
        <f>VLOOKUP(B1543,'[1]новый без картинок'!$A$5:$F$2672,6,0)</f>
        <v>1014</v>
      </c>
    </row>
    <row r="1544" spans="1:14" ht="151.15" customHeight="1" x14ac:dyDescent="0.2">
      <c r="A1544" s="3">
        <v>1542</v>
      </c>
      <c r="B1544" s="3">
        <v>197189</v>
      </c>
      <c r="C1544" s="4" t="str">
        <f>HYPERLINK("http://optservis.net:5080/photo?tov_code_internet=197189","Увеличить")</f>
        <v>Увеличить</v>
      </c>
      <c r="D1544" s="3" t="s">
        <v>3188</v>
      </c>
      <c r="E1544" s="3" t="s">
        <v>3189</v>
      </c>
      <c r="F1544" s="3" t="s">
        <v>2838</v>
      </c>
      <c r="G1544" s="3" t="s">
        <v>430</v>
      </c>
      <c r="H1544" s="3">
        <v>0.5</v>
      </c>
      <c r="I1544" s="3">
        <v>0</v>
      </c>
      <c r="J1544" s="3" t="s">
        <v>18</v>
      </c>
      <c r="K1544" s="5">
        <v>0.12</v>
      </c>
      <c r="L1544" s="6">
        <v>4690654015893</v>
      </c>
      <c r="M1544" s="7" t="s">
        <v>3190</v>
      </c>
      <c r="N1544" s="8">
        <f>VLOOKUP(B1544,'[1]новый без картинок'!$A$5:$F$2672,6,0)</f>
        <v>1047</v>
      </c>
    </row>
    <row r="1545" spans="1:14" ht="151.15" customHeight="1" x14ac:dyDescent="0.2">
      <c r="A1545" s="3">
        <v>1543</v>
      </c>
      <c r="B1545" s="3">
        <v>198122</v>
      </c>
      <c r="C1545" s="4" t="str">
        <f>HYPERLINK("http://optservis.net:5080/photo?tov_code_internet=198122","Увеличить")</f>
        <v>Увеличить</v>
      </c>
      <c r="D1545" s="3" t="s">
        <v>3191</v>
      </c>
      <c r="E1545" s="3" t="s">
        <v>3192</v>
      </c>
      <c r="F1545" s="3" t="s">
        <v>2494</v>
      </c>
      <c r="G1545" s="3" t="s">
        <v>430</v>
      </c>
      <c r="H1545" s="3">
        <v>0.5</v>
      </c>
      <c r="I1545" s="3">
        <v>0</v>
      </c>
      <c r="J1545" s="3" t="s">
        <v>18</v>
      </c>
      <c r="K1545" s="5">
        <v>0.25</v>
      </c>
      <c r="L1545" s="6">
        <v>4690654021153</v>
      </c>
      <c r="M1545" s="7" t="s">
        <v>2484</v>
      </c>
      <c r="N1545" s="8">
        <f>VLOOKUP(B1545,'[1]новый без картинок'!$A$5:$F$2672,6,0)</f>
        <v>485</v>
      </c>
    </row>
    <row r="1546" spans="1:14" ht="151.15" customHeight="1" x14ac:dyDescent="0.2">
      <c r="A1546" s="3">
        <v>1544</v>
      </c>
      <c r="B1546" s="3">
        <v>881416</v>
      </c>
      <c r="C1546" s="4" t="str">
        <f>HYPERLINK("http://optservis.net:5080/photo?tov_code_internet=881416","Увеличить")</f>
        <v>Увеличить</v>
      </c>
      <c r="D1546" s="3" t="s">
        <v>3193</v>
      </c>
      <c r="E1546" s="3" t="s">
        <v>3194</v>
      </c>
      <c r="F1546" s="3" t="s">
        <v>3195</v>
      </c>
      <c r="G1546" s="3" t="s">
        <v>415</v>
      </c>
      <c r="H1546" s="3">
        <v>2</v>
      </c>
      <c r="I1546" s="3">
        <v>2</v>
      </c>
      <c r="J1546" s="3" t="s">
        <v>18</v>
      </c>
      <c r="K1546" s="5">
        <v>0.16</v>
      </c>
      <c r="L1546" s="6">
        <v>4690654999100</v>
      </c>
      <c r="M1546" s="7" t="s">
        <v>3196</v>
      </c>
      <c r="N1546" s="8">
        <f>VLOOKUP(B1546,'[1]новый без картинок'!$A$5:$F$2672,6,0)</f>
        <v>168</v>
      </c>
    </row>
    <row r="1547" spans="1:14" ht="151.15" customHeight="1" x14ac:dyDescent="0.2">
      <c r="A1547" s="3">
        <v>1545</v>
      </c>
      <c r="B1547" s="3">
        <v>202107</v>
      </c>
      <c r="C1547" s="4" t="str">
        <f>HYPERLINK("http://optservis.net:5080/photo?tov_code_internet=202107","Увеличить")</f>
        <v>Увеличить</v>
      </c>
      <c r="D1547" s="3" t="s">
        <v>3197</v>
      </c>
      <c r="E1547" s="3"/>
      <c r="F1547" s="3" t="s">
        <v>752</v>
      </c>
      <c r="G1547" s="3" t="s">
        <v>373</v>
      </c>
      <c r="H1547" s="3">
        <v>0.5</v>
      </c>
      <c r="I1547" s="3">
        <v>0</v>
      </c>
      <c r="J1547" s="3" t="s">
        <v>18</v>
      </c>
      <c r="K1547" s="5">
        <v>0.02</v>
      </c>
      <c r="L1547" s="6">
        <v>0</v>
      </c>
      <c r="M1547" s="7" t="s">
        <v>3198</v>
      </c>
      <c r="N1547" s="8">
        <f>VLOOKUP(B1547,'[1]новый без картинок'!$A$5:$F$2672,6,0)</f>
        <v>280</v>
      </c>
    </row>
    <row r="1548" spans="1:14" ht="151.15" customHeight="1" x14ac:dyDescent="0.2">
      <c r="A1548" s="3">
        <v>1546</v>
      </c>
      <c r="B1548" s="3">
        <v>202115</v>
      </c>
      <c r="C1548" s="4" t="str">
        <f>HYPERLINK("http://optservis.net:5080/photo?tov_code_internet=202115","Увеличить")</f>
        <v>Увеличить</v>
      </c>
      <c r="D1548" s="3" t="s">
        <v>3199</v>
      </c>
      <c r="E1548" s="3"/>
      <c r="F1548" s="3" t="s">
        <v>1465</v>
      </c>
      <c r="G1548" s="3" t="s">
        <v>1094</v>
      </c>
      <c r="H1548" s="3">
        <v>0.5</v>
      </c>
      <c r="I1548" s="3">
        <v>0</v>
      </c>
      <c r="J1548" s="3" t="s">
        <v>18</v>
      </c>
      <c r="K1548" s="5">
        <v>0.01</v>
      </c>
      <c r="L1548" s="6">
        <v>0</v>
      </c>
      <c r="M1548" s="7" t="s">
        <v>3200</v>
      </c>
      <c r="N1548" s="8">
        <f>VLOOKUP(B1548,'[1]новый без картинок'!$A$5:$F$2672,6,0)</f>
        <v>368</v>
      </c>
    </row>
    <row r="1549" spans="1:14" ht="151.15" customHeight="1" x14ac:dyDescent="0.2">
      <c r="A1549" s="3">
        <v>1547</v>
      </c>
      <c r="B1549" s="3">
        <v>202117</v>
      </c>
      <c r="C1549" s="4" t="str">
        <f>HYPERLINK("http://optservis.net:5080/photo?tov_code_internet=202117","Увеличить")</f>
        <v>Увеличить</v>
      </c>
      <c r="D1549" s="3" t="s">
        <v>3199</v>
      </c>
      <c r="E1549" s="3"/>
      <c r="F1549" s="3" t="s">
        <v>3201</v>
      </c>
      <c r="G1549" s="3" t="s">
        <v>430</v>
      </c>
      <c r="H1549" s="3">
        <v>0.5</v>
      </c>
      <c r="I1549" s="3">
        <v>0</v>
      </c>
      <c r="J1549" s="3" t="s">
        <v>18</v>
      </c>
      <c r="K1549" s="5">
        <v>0.01</v>
      </c>
      <c r="L1549" s="6">
        <v>0</v>
      </c>
      <c r="M1549" s="7" t="s">
        <v>3200</v>
      </c>
      <c r="N1549" s="8">
        <f>VLOOKUP(B1549,'[1]новый без картинок'!$A$5:$F$2672,6,0)</f>
        <v>381</v>
      </c>
    </row>
    <row r="1550" spans="1:14" ht="151.15" customHeight="1" x14ac:dyDescent="0.2">
      <c r="A1550" s="3">
        <v>1548</v>
      </c>
      <c r="B1550" s="3">
        <v>202116</v>
      </c>
      <c r="C1550" s="4" t="str">
        <f>HYPERLINK("http://optservis.net:5080/photo?tov_code_internet=202116","Увеличить")</f>
        <v>Увеличить</v>
      </c>
      <c r="D1550" s="3" t="s">
        <v>3199</v>
      </c>
      <c r="E1550" s="3"/>
      <c r="F1550" s="3" t="s">
        <v>1475</v>
      </c>
      <c r="G1550" s="3" t="s">
        <v>1101</v>
      </c>
      <c r="H1550" s="3">
        <v>0.5</v>
      </c>
      <c r="I1550" s="3">
        <v>0</v>
      </c>
      <c r="J1550" s="3" t="s">
        <v>18</v>
      </c>
      <c r="K1550" s="5">
        <v>0.01</v>
      </c>
      <c r="L1550" s="6">
        <v>0</v>
      </c>
      <c r="M1550" s="7" t="s">
        <v>3200</v>
      </c>
      <c r="N1550" s="8">
        <f>VLOOKUP(B1550,'[1]новый без картинок'!$A$5:$F$2672,6,0)</f>
        <v>374</v>
      </c>
    </row>
    <row r="1551" spans="1:14" ht="151.15" customHeight="1" x14ac:dyDescent="0.2">
      <c r="A1551" s="3">
        <v>1549</v>
      </c>
      <c r="B1551" s="3">
        <v>199885</v>
      </c>
      <c r="C1551" s="4" t="str">
        <f>HYPERLINK("http://optservis.net:5080/photo?tov_code_internet=199885","Увеличить")</f>
        <v>Увеличить</v>
      </c>
      <c r="D1551" s="3" t="s">
        <v>3202</v>
      </c>
      <c r="E1551" s="3"/>
      <c r="F1551" s="3" t="s">
        <v>3203</v>
      </c>
      <c r="G1551" s="3" t="s">
        <v>1292</v>
      </c>
      <c r="H1551" s="3">
        <v>0.5</v>
      </c>
      <c r="I1551" s="3">
        <v>0</v>
      </c>
      <c r="J1551" s="3" t="s">
        <v>18</v>
      </c>
      <c r="K1551" s="5">
        <v>0.05</v>
      </c>
      <c r="L1551" s="6">
        <v>0</v>
      </c>
      <c r="M1551" s="7" t="s">
        <v>3204</v>
      </c>
      <c r="N1551" s="8">
        <f>VLOOKUP(B1551,'[1]новый без картинок'!$A$5:$F$2672,6,0)</f>
        <v>355</v>
      </c>
    </row>
    <row r="1552" spans="1:14" ht="151.15" customHeight="1" x14ac:dyDescent="0.2">
      <c r="A1552" s="3">
        <v>1550</v>
      </c>
      <c r="B1552" s="3">
        <v>173117</v>
      </c>
      <c r="C1552" s="4" t="str">
        <f>HYPERLINK("http://optservis.net:5080/photo?tov_code_internet=173117","Увеличить")</f>
        <v>Увеличить</v>
      </c>
      <c r="D1552" s="3" t="s">
        <v>3205</v>
      </c>
      <c r="E1552" s="3"/>
      <c r="F1552" s="3" t="s">
        <v>1618</v>
      </c>
      <c r="G1552" s="3" t="s">
        <v>1292</v>
      </c>
      <c r="H1552" s="3">
        <v>0.33300000000000002</v>
      </c>
      <c r="I1552" s="3">
        <v>0</v>
      </c>
      <c r="J1552" s="3" t="s">
        <v>18</v>
      </c>
      <c r="K1552" s="5">
        <v>0.03</v>
      </c>
      <c r="L1552" s="6">
        <v>0</v>
      </c>
      <c r="M1552" s="7" t="s">
        <v>3206</v>
      </c>
      <c r="N1552" s="8">
        <f>VLOOKUP(B1552,'[1]новый без картинок'!$A$5:$F$2672,6,0)</f>
        <v>316</v>
      </c>
    </row>
    <row r="1553" spans="1:14" ht="151.15" customHeight="1" x14ac:dyDescent="0.2">
      <c r="A1553" s="3">
        <v>1551</v>
      </c>
      <c r="B1553" s="3">
        <v>173116</v>
      </c>
      <c r="C1553" s="4" t="str">
        <f>HYPERLINK("http://optservis.net:5080/photo?tov_code_internet=173116","Увеличить")</f>
        <v>Увеличить</v>
      </c>
      <c r="D1553" s="3" t="s">
        <v>3205</v>
      </c>
      <c r="E1553" s="3" t="s">
        <v>3207</v>
      </c>
      <c r="F1553" s="3" t="s">
        <v>1620</v>
      </c>
      <c r="G1553" s="3" t="s">
        <v>3208</v>
      </c>
      <c r="H1553" s="3">
        <v>0.33300000000000002</v>
      </c>
      <c r="I1553" s="3">
        <v>0</v>
      </c>
      <c r="J1553" s="3" t="s">
        <v>18</v>
      </c>
      <c r="K1553" s="5">
        <v>0.03</v>
      </c>
      <c r="L1553" s="6">
        <v>4690654011628</v>
      </c>
      <c r="M1553" s="7" t="s">
        <v>3209</v>
      </c>
      <c r="N1553" s="8">
        <f>VLOOKUP(B1553,'[1]новый без картинок'!$A$5:$F$2672,6,0)</f>
        <v>303</v>
      </c>
    </row>
    <row r="1554" spans="1:14" ht="151.15" customHeight="1" x14ac:dyDescent="0.2">
      <c r="A1554" s="3">
        <v>1552</v>
      </c>
      <c r="B1554" s="3">
        <v>173091</v>
      </c>
      <c r="C1554" s="4" t="str">
        <f>HYPERLINK("http://optservis.net:5080/photo?tov_code_internet=173091","Увеличить")</f>
        <v>Увеличить</v>
      </c>
      <c r="D1554" s="3" t="s">
        <v>3210</v>
      </c>
      <c r="E1554" s="3" t="s">
        <v>2563</v>
      </c>
      <c r="F1554" s="3" t="s">
        <v>1634</v>
      </c>
      <c r="G1554" s="3" t="s">
        <v>1127</v>
      </c>
      <c r="H1554" s="3">
        <v>0.5</v>
      </c>
      <c r="I1554" s="3">
        <v>0</v>
      </c>
      <c r="J1554" s="3" t="s">
        <v>18</v>
      </c>
      <c r="K1554" s="5">
        <v>0.03</v>
      </c>
      <c r="L1554" s="6">
        <v>4690654010409</v>
      </c>
      <c r="M1554" s="7" t="s">
        <v>3211</v>
      </c>
      <c r="N1554" s="8">
        <f>VLOOKUP(B1554,'[1]новый без картинок'!$A$5:$F$2672,6,0)</f>
        <v>255</v>
      </c>
    </row>
    <row r="1555" spans="1:14" ht="151.15" customHeight="1" x14ac:dyDescent="0.2">
      <c r="A1555" s="3">
        <v>1553</v>
      </c>
      <c r="B1555" s="3">
        <v>202109</v>
      </c>
      <c r="C1555" s="4" t="str">
        <f>HYPERLINK("http://optservis.net:5080/photo?tov_code_internet=202109","Увеличить")</f>
        <v>Увеличить</v>
      </c>
      <c r="D1555" s="3" t="s">
        <v>3212</v>
      </c>
      <c r="E1555" s="3"/>
      <c r="F1555" s="3" t="s">
        <v>414</v>
      </c>
      <c r="G1555" s="3" t="s">
        <v>373</v>
      </c>
      <c r="H1555" s="3">
        <v>0.5</v>
      </c>
      <c r="I1555" s="3">
        <v>0</v>
      </c>
      <c r="J1555" s="3" t="s">
        <v>18</v>
      </c>
      <c r="K1555" s="5">
        <v>0.03</v>
      </c>
      <c r="L1555" s="6">
        <v>0</v>
      </c>
      <c r="M1555" s="7" t="s">
        <v>3213</v>
      </c>
      <c r="N1555" s="8">
        <f>VLOOKUP(B1555,'[1]новый без картинок'!$A$5:$F$2672,6,0)</f>
        <v>304</v>
      </c>
    </row>
    <row r="1556" spans="1:14" ht="151.15" customHeight="1" x14ac:dyDescent="0.2">
      <c r="A1556" s="3">
        <v>1554</v>
      </c>
      <c r="B1556" s="3">
        <v>202108</v>
      </c>
      <c r="C1556" s="4" t="str">
        <f>HYPERLINK("http://optservis.net:5080/photo?tov_code_internet=202108","Увеличить")</f>
        <v>Увеличить</v>
      </c>
      <c r="D1556" s="3" t="s">
        <v>3212</v>
      </c>
      <c r="E1556" s="3"/>
      <c r="F1556" s="3" t="s">
        <v>1411</v>
      </c>
      <c r="G1556" s="3" t="s">
        <v>373</v>
      </c>
      <c r="H1556" s="3">
        <v>0.5</v>
      </c>
      <c r="I1556" s="3">
        <v>0</v>
      </c>
      <c r="J1556" s="3" t="s">
        <v>18</v>
      </c>
      <c r="K1556" s="5">
        <v>0.03</v>
      </c>
      <c r="L1556" s="6">
        <v>0</v>
      </c>
      <c r="M1556" s="7" t="s">
        <v>3213</v>
      </c>
      <c r="N1556" s="8">
        <f>VLOOKUP(B1556,'[1]новый без картинок'!$A$5:$F$2672,6,0)</f>
        <v>304</v>
      </c>
    </row>
    <row r="1557" spans="1:14" ht="151.15" customHeight="1" x14ac:dyDescent="0.2">
      <c r="A1557" s="3">
        <v>1555</v>
      </c>
      <c r="B1557" s="3">
        <v>202110</v>
      </c>
      <c r="C1557" s="4" t="str">
        <f>HYPERLINK("http://optservis.net:5080/photo?tov_code_internet=202110","Увеличить")</f>
        <v>Увеличить</v>
      </c>
      <c r="D1557" s="3" t="s">
        <v>3212</v>
      </c>
      <c r="E1557" s="3"/>
      <c r="F1557" s="3" t="s">
        <v>3214</v>
      </c>
      <c r="G1557" s="3" t="s">
        <v>373</v>
      </c>
      <c r="H1557" s="3">
        <v>0.5</v>
      </c>
      <c r="I1557" s="3">
        <v>0</v>
      </c>
      <c r="J1557" s="3" t="s">
        <v>18</v>
      </c>
      <c r="K1557" s="5">
        <v>0.03</v>
      </c>
      <c r="L1557" s="6">
        <v>0</v>
      </c>
      <c r="M1557" s="7" t="s">
        <v>3213</v>
      </c>
      <c r="N1557" s="8">
        <f>VLOOKUP(B1557,'[1]новый без картинок'!$A$5:$F$2672,6,0)</f>
        <v>306</v>
      </c>
    </row>
    <row r="1558" spans="1:14" ht="151.15" customHeight="1" x14ac:dyDescent="0.2">
      <c r="A1558" s="3">
        <v>1556</v>
      </c>
      <c r="B1558" s="3">
        <v>202111</v>
      </c>
      <c r="C1558" s="4" t="str">
        <f>HYPERLINK("http://optservis.net:5080/photo?tov_code_internet=202111","Увеличить")</f>
        <v>Увеличить</v>
      </c>
      <c r="D1558" s="3" t="s">
        <v>3212</v>
      </c>
      <c r="E1558" s="3"/>
      <c r="F1558" s="3" t="s">
        <v>1671</v>
      </c>
      <c r="G1558" s="3" t="s">
        <v>373</v>
      </c>
      <c r="H1558" s="3">
        <v>0.5</v>
      </c>
      <c r="I1558" s="3">
        <v>0</v>
      </c>
      <c r="J1558" s="3" t="s">
        <v>18</v>
      </c>
      <c r="K1558" s="5">
        <v>0.03</v>
      </c>
      <c r="L1558" s="6">
        <v>0</v>
      </c>
      <c r="M1558" s="7" t="s">
        <v>3213</v>
      </c>
      <c r="N1558" s="8">
        <f>VLOOKUP(B1558,'[1]новый без картинок'!$A$5:$F$2672,6,0)</f>
        <v>304</v>
      </c>
    </row>
    <row r="1559" spans="1:14" ht="151.15" customHeight="1" x14ac:dyDescent="0.2">
      <c r="A1559" s="3">
        <v>1557</v>
      </c>
      <c r="B1559" s="3">
        <v>202112</v>
      </c>
      <c r="C1559" s="4" t="str">
        <f>HYPERLINK("http://optservis.net:5080/photo?tov_code_internet=202112","Увеличить")</f>
        <v>Увеличить</v>
      </c>
      <c r="D1559" s="3" t="s">
        <v>3212</v>
      </c>
      <c r="E1559" s="3" t="s">
        <v>3215</v>
      </c>
      <c r="F1559" s="3" t="s">
        <v>752</v>
      </c>
      <c r="G1559" s="3" t="s">
        <v>373</v>
      </c>
      <c r="H1559" s="3">
        <v>0.5</v>
      </c>
      <c r="I1559" s="3">
        <v>0</v>
      </c>
      <c r="J1559" s="3" t="s">
        <v>18</v>
      </c>
      <c r="K1559" s="5">
        <v>0.03</v>
      </c>
      <c r="L1559" s="6">
        <v>4690654017880</v>
      </c>
      <c r="M1559" s="7" t="s">
        <v>3213</v>
      </c>
      <c r="N1559" s="8">
        <f>VLOOKUP(B1559,'[1]новый без картинок'!$A$5:$F$2672,6,0)</f>
        <v>304</v>
      </c>
    </row>
    <row r="1560" spans="1:14" ht="151.15" customHeight="1" x14ac:dyDescent="0.2">
      <c r="A1560" s="3">
        <v>1558</v>
      </c>
      <c r="B1560" s="3">
        <v>202122</v>
      </c>
      <c r="C1560" s="4" t="str">
        <f>HYPERLINK("http://optservis.net:5080/photo?tov_code_internet=202122","Увеличить")</f>
        <v>Увеличить</v>
      </c>
      <c r="D1560" s="3" t="s">
        <v>3216</v>
      </c>
      <c r="E1560" s="3"/>
      <c r="F1560" s="3" t="s">
        <v>1524</v>
      </c>
      <c r="G1560" s="3" t="s">
        <v>430</v>
      </c>
      <c r="H1560" s="3">
        <v>0.5</v>
      </c>
      <c r="I1560" s="3">
        <v>0</v>
      </c>
      <c r="J1560" s="3" t="s">
        <v>18</v>
      </c>
      <c r="K1560" s="5">
        <v>0.04</v>
      </c>
      <c r="L1560" s="6">
        <v>0</v>
      </c>
      <c r="M1560" s="7" t="s">
        <v>3217</v>
      </c>
      <c r="N1560" s="8">
        <f>VLOOKUP(B1560,'[1]новый без картинок'!$A$5:$F$2672,6,0)</f>
        <v>371</v>
      </c>
    </row>
    <row r="1561" spans="1:14" ht="151.15" customHeight="1" x14ac:dyDescent="0.2">
      <c r="A1561" s="3">
        <v>1559</v>
      </c>
      <c r="B1561" s="3">
        <v>202121</v>
      </c>
      <c r="C1561" s="4" t="str">
        <f>HYPERLINK("http://optservis.net:5080/photo?tov_code_internet=202121","Увеличить")</f>
        <v>Увеличить</v>
      </c>
      <c r="D1561" s="3" t="s">
        <v>3216</v>
      </c>
      <c r="E1561" s="3"/>
      <c r="F1561" s="3" t="s">
        <v>1502</v>
      </c>
      <c r="G1561" s="3" t="s">
        <v>430</v>
      </c>
      <c r="H1561" s="3">
        <v>0.5</v>
      </c>
      <c r="I1561" s="3">
        <v>0</v>
      </c>
      <c r="J1561" s="3" t="s">
        <v>18</v>
      </c>
      <c r="K1561" s="5">
        <v>0.04</v>
      </c>
      <c r="L1561" s="6">
        <v>0</v>
      </c>
      <c r="M1561" s="7" t="s">
        <v>3217</v>
      </c>
      <c r="N1561" s="8">
        <f>VLOOKUP(B1561,'[1]новый без картинок'!$A$5:$F$2672,6,0)</f>
        <v>371</v>
      </c>
    </row>
    <row r="1562" spans="1:14" ht="151.15" customHeight="1" x14ac:dyDescent="0.2">
      <c r="A1562" s="3">
        <v>1560</v>
      </c>
      <c r="B1562" s="3">
        <v>202118</v>
      </c>
      <c r="C1562" s="4" t="str">
        <f>HYPERLINK("http://optservis.net:5080/photo?tov_code_internet=202118","Увеличить")</f>
        <v>Увеличить</v>
      </c>
      <c r="D1562" s="3" t="s">
        <v>3218</v>
      </c>
      <c r="E1562" s="3"/>
      <c r="F1562" s="3" t="s">
        <v>1558</v>
      </c>
      <c r="G1562" s="3" t="s">
        <v>430</v>
      </c>
      <c r="H1562" s="3">
        <v>0.5</v>
      </c>
      <c r="I1562" s="3">
        <v>0</v>
      </c>
      <c r="J1562" s="3" t="s">
        <v>18</v>
      </c>
      <c r="K1562" s="5">
        <v>0.04</v>
      </c>
      <c r="L1562" s="6">
        <v>0</v>
      </c>
      <c r="M1562" s="7" t="s">
        <v>3217</v>
      </c>
      <c r="N1562" s="8">
        <f>VLOOKUP(B1562,'[1]новый без картинок'!$A$5:$F$2672,6,0)</f>
        <v>365</v>
      </c>
    </row>
    <row r="1563" spans="1:14" ht="151.15" customHeight="1" x14ac:dyDescent="0.2">
      <c r="A1563" s="3">
        <v>1561</v>
      </c>
      <c r="B1563" s="3">
        <v>202120</v>
      </c>
      <c r="C1563" s="4" t="str">
        <f>HYPERLINK("http://optservis.net:5080/photo?tov_code_internet=202120","Увеличить")</f>
        <v>Увеличить</v>
      </c>
      <c r="D1563" s="3" t="s">
        <v>3218</v>
      </c>
      <c r="E1563" s="3"/>
      <c r="F1563" s="3" t="s">
        <v>1550</v>
      </c>
      <c r="G1563" s="3" t="s">
        <v>430</v>
      </c>
      <c r="H1563" s="3">
        <v>0.5</v>
      </c>
      <c r="I1563" s="3">
        <v>0</v>
      </c>
      <c r="J1563" s="3" t="s">
        <v>18</v>
      </c>
      <c r="K1563" s="5">
        <v>0.04</v>
      </c>
      <c r="L1563" s="6">
        <v>0</v>
      </c>
      <c r="M1563" s="7" t="s">
        <v>3217</v>
      </c>
      <c r="N1563" s="8">
        <f>VLOOKUP(B1563,'[1]новый без картинок'!$A$5:$F$2672,6,0)</f>
        <v>365</v>
      </c>
    </row>
    <row r="1564" spans="1:14" ht="151.15" customHeight="1" x14ac:dyDescent="0.2">
      <c r="A1564" s="3">
        <v>1562</v>
      </c>
      <c r="B1564" s="3">
        <v>202119</v>
      </c>
      <c r="C1564" s="4" t="str">
        <f>HYPERLINK("http://optservis.net:5080/photo?tov_code_internet=202119","Увеличить")</f>
        <v>Увеличить</v>
      </c>
      <c r="D1564" s="3" t="s">
        <v>3218</v>
      </c>
      <c r="E1564" s="3" t="s">
        <v>3219</v>
      </c>
      <c r="F1564" s="3" t="s">
        <v>1547</v>
      </c>
      <c r="G1564" s="3" t="s">
        <v>430</v>
      </c>
      <c r="H1564" s="3">
        <v>0.5</v>
      </c>
      <c r="I1564" s="3">
        <v>0</v>
      </c>
      <c r="J1564" s="3" t="s">
        <v>18</v>
      </c>
      <c r="K1564" s="5">
        <v>0.04</v>
      </c>
      <c r="L1564" s="6">
        <v>4690654018849</v>
      </c>
      <c r="M1564" s="7" t="s">
        <v>3217</v>
      </c>
      <c r="N1564" s="8">
        <f>VLOOKUP(B1564,'[1]новый без картинок'!$A$5:$F$2672,6,0)</f>
        <v>365</v>
      </c>
    </row>
    <row r="1565" spans="1:14" ht="151.15" customHeight="1" x14ac:dyDescent="0.2">
      <c r="A1565" s="3">
        <v>1563</v>
      </c>
      <c r="B1565" s="3">
        <v>202123</v>
      </c>
      <c r="C1565" s="4" t="str">
        <f>HYPERLINK("http://optservis.net:5080/photo?tov_code_internet=202123","Увеличить")</f>
        <v>Увеличить</v>
      </c>
      <c r="D1565" s="3" t="s">
        <v>3220</v>
      </c>
      <c r="E1565" s="3" t="s">
        <v>3221</v>
      </c>
      <c r="F1565" s="3" t="s">
        <v>1595</v>
      </c>
      <c r="G1565" s="3" t="s">
        <v>430</v>
      </c>
      <c r="H1565" s="3">
        <v>0.5</v>
      </c>
      <c r="I1565" s="3">
        <v>0</v>
      </c>
      <c r="J1565" s="3" t="s">
        <v>18</v>
      </c>
      <c r="K1565" s="5">
        <v>0.04</v>
      </c>
      <c r="L1565" s="6">
        <v>4690654018832</v>
      </c>
      <c r="M1565" s="7" t="s">
        <v>3217</v>
      </c>
      <c r="N1565" s="8">
        <f>VLOOKUP(B1565,'[1]новый без картинок'!$A$5:$F$2672,6,0)</f>
        <v>365</v>
      </c>
    </row>
    <row r="1566" spans="1:14" ht="151.15" customHeight="1" x14ac:dyDescent="0.2">
      <c r="A1566" s="3">
        <v>1564</v>
      </c>
      <c r="B1566" s="3">
        <v>173118</v>
      </c>
      <c r="C1566" s="4" t="str">
        <f>HYPERLINK("http://optservis.net:5080/photo?tov_code_internet=173118","Увеличить")</f>
        <v>Увеличить</v>
      </c>
      <c r="D1566" s="3" t="s">
        <v>3222</v>
      </c>
      <c r="E1566" s="3"/>
      <c r="F1566" s="3" t="s">
        <v>1867</v>
      </c>
      <c r="G1566" s="3" t="s">
        <v>1292</v>
      </c>
      <c r="H1566" s="3">
        <v>0.33300000000000002</v>
      </c>
      <c r="I1566" s="3">
        <v>0</v>
      </c>
      <c r="J1566" s="3" t="s">
        <v>18</v>
      </c>
      <c r="K1566" s="5">
        <v>0.04</v>
      </c>
      <c r="L1566" s="6">
        <v>0</v>
      </c>
      <c r="M1566" s="7" t="s">
        <v>3223</v>
      </c>
      <c r="N1566" s="8">
        <f>VLOOKUP(B1566,'[1]новый без картинок'!$A$5:$F$2672,6,0)</f>
        <v>412</v>
      </c>
    </row>
    <row r="1567" spans="1:14" ht="151.15" customHeight="1" x14ac:dyDescent="0.2">
      <c r="A1567" s="3">
        <v>1565</v>
      </c>
      <c r="B1567" s="3">
        <v>202113</v>
      </c>
      <c r="C1567" s="4" t="str">
        <f>HYPERLINK("http://optservis.net:5080/photo?tov_code_internet=202113","Увеличить")</f>
        <v>Увеличить</v>
      </c>
      <c r="D1567" s="3" t="s">
        <v>3224</v>
      </c>
      <c r="E1567" s="3"/>
      <c r="F1567" s="3" t="s">
        <v>1411</v>
      </c>
      <c r="G1567" s="3" t="s">
        <v>373</v>
      </c>
      <c r="H1567" s="3">
        <v>0.5</v>
      </c>
      <c r="I1567" s="3">
        <v>0</v>
      </c>
      <c r="J1567" s="3" t="s">
        <v>18</v>
      </c>
      <c r="K1567" s="5">
        <v>0.04</v>
      </c>
      <c r="L1567" s="6">
        <v>0</v>
      </c>
      <c r="M1567" s="7" t="s">
        <v>3225</v>
      </c>
      <c r="N1567" s="8">
        <f>VLOOKUP(B1567,'[1]новый без картинок'!$A$5:$F$2672,6,0)</f>
        <v>332</v>
      </c>
    </row>
    <row r="1568" spans="1:14" ht="151.15" customHeight="1" x14ac:dyDescent="0.2">
      <c r="A1568" s="3">
        <v>1566</v>
      </c>
      <c r="B1568" s="3">
        <v>202114</v>
      </c>
      <c r="C1568" s="4" t="str">
        <f>HYPERLINK("http://optservis.net:5080/photo?tov_code_internet=202114","Увеличить")</f>
        <v>Увеличить</v>
      </c>
      <c r="D1568" s="3" t="s">
        <v>3224</v>
      </c>
      <c r="E1568" s="3"/>
      <c r="F1568" s="3" t="s">
        <v>1322</v>
      </c>
      <c r="G1568" s="3" t="s">
        <v>373</v>
      </c>
      <c r="H1568" s="3">
        <v>0.5</v>
      </c>
      <c r="I1568" s="3">
        <v>0</v>
      </c>
      <c r="J1568" s="3" t="s">
        <v>18</v>
      </c>
      <c r="K1568" s="5">
        <v>0.04</v>
      </c>
      <c r="L1568" s="6">
        <v>0</v>
      </c>
      <c r="M1568" s="7" t="s">
        <v>3225</v>
      </c>
      <c r="N1568" s="8">
        <f>VLOOKUP(B1568,'[1]новый без картинок'!$A$5:$F$2672,6,0)</f>
        <v>332</v>
      </c>
    </row>
    <row r="1569" spans="1:14" ht="151.15" customHeight="1" x14ac:dyDescent="0.2">
      <c r="A1569" s="3">
        <v>1567</v>
      </c>
      <c r="B1569" s="3">
        <v>173115</v>
      </c>
      <c r="C1569" s="4" t="str">
        <f>HYPERLINK("http://optservis.net:5080/photo?tov_code_internet=173115","Увеличить")</f>
        <v>Увеличить</v>
      </c>
      <c r="D1569" s="3" t="s">
        <v>3226</v>
      </c>
      <c r="E1569" s="3"/>
      <c r="F1569" s="3" t="s">
        <v>1322</v>
      </c>
      <c r="G1569" s="3" t="s">
        <v>1127</v>
      </c>
      <c r="H1569" s="3">
        <v>0.33300000000000002</v>
      </c>
      <c r="I1569" s="3">
        <v>0</v>
      </c>
      <c r="J1569" s="3" t="s">
        <v>18</v>
      </c>
      <c r="K1569" s="5">
        <v>0.03</v>
      </c>
      <c r="L1569" s="6">
        <v>0</v>
      </c>
      <c r="M1569" s="7" t="s">
        <v>3227</v>
      </c>
      <c r="N1569" s="8">
        <f>VLOOKUP(B1569,'[1]новый без картинок'!$A$5:$F$2672,6,0)</f>
        <v>282</v>
      </c>
    </row>
    <row r="1570" spans="1:14" ht="151.15" customHeight="1" x14ac:dyDescent="0.2">
      <c r="A1570" s="3">
        <v>1568</v>
      </c>
      <c r="B1570" s="3">
        <v>202127</v>
      </c>
      <c r="C1570" s="4" t="str">
        <f>HYPERLINK("http://optservis.net:5080/photo?tov_code_internet=202127","Увеличить")</f>
        <v>Увеличить</v>
      </c>
      <c r="D1570" s="3" t="s">
        <v>3228</v>
      </c>
      <c r="E1570" s="3" t="s">
        <v>3229</v>
      </c>
      <c r="F1570" s="3" t="s">
        <v>1786</v>
      </c>
      <c r="G1570" s="3" t="s">
        <v>430</v>
      </c>
      <c r="H1570" s="3">
        <v>0.5</v>
      </c>
      <c r="I1570" s="3">
        <v>0</v>
      </c>
      <c r="J1570" s="3" t="s">
        <v>18</v>
      </c>
      <c r="K1570" s="5">
        <v>0.04</v>
      </c>
      <c r="L1570" s="6">
        <v>4690654017774</v>
      </c>
      <c r="M1570" s="7" t="s">
        <v>3230</v>
      </c>
      <c r="N1570" s="8">
        <f>VLOOKUP(B1570,'[1]новый без картинок'!$A$5:$F$2672,6,0)</f>
        <v>454</v>
      </c>
    </row>
    <row r="1571" spans="1:14" ht="151.15" customHeight="1" x14ac:dyDescent="0.2">
      <c r="A1571" s="3">
        <v>1569</v>
      </c>
      <c r="B1571" s="3">
        <v>202126</v>
      </c>
      <c r="C1571" s="4" t="str">
        <f>HYPERLINK("http://optservis.net:5080/photo?tov_code_internet=202126","Увеличить")</f>
        <v>Увеличить</v>
      </c>
      <c r="D1571" s="3" t="s">
        <v>3231</v>
      </c>
      <c r="E1571" s="3"/>
      <c r="F1571" s="3" t="s">
        <v>1804</v>
      </c>
      <c r="G1571" s="3" t="s">
        <v>430</v>
      </c>
      <c r="H1571" s="3">
        <v>0.5</v>
      </c>
      <c r="I1571" s="3">
        <v>0</v>
      </c>
      <c r="J1571" s="3" t="s">
        <v>18</v>
      </c>
      <c r="K1571" s="5">
        <v>0.05</v>
      </c>
      <c r="L1571" s="6">
        <v>0</v>
      </c>
      <c r="M1571" s="7" t="s">
        <v>3230</v>
      </c>
      <c r="N1571" s="8">
        <f>VLOOKUP(B1571,'[1]новый без картинок'!$A$5:$F$2672,6,0)</f>
        <v>459</v>
      </c>
    </row>
    <row r="1572" spans="1:14" ht="151.15" customHeight="1" x14ac:dyDescent="0.2">
      <c r="A1572" s="3">
        <v>1570</v>
      </c>
      <c r="B1572" s="3">
        <v>202128</v>
      </c>
      <c r="C1572" s="4" t="str">
        <f>HYPERLINK("http://optservis.net:5080/photo?tov_code_internet=202128","Увеличить")</f>
        <v>Увеличить</v>
      </c>
      <c r="D1572" s="3" t="s">
        <v>3232</v>
      </c>
      <c r="E1572" s="3" t="s">
        <v>3233</v>
      </c>
      <c r="F1572" s="3" t="s">
        <v>1867</v>
      </c>
      <c r="G1572" s="3" t="s">
        <v>430</v>
      </c>
      <c r="H1572" s="3">
        <v>0.5</v>
      </c>
      <c r="I1572" s="3">
        <v>0</v>
      </c>
      <c r="J1572" s="3" t="s">
        <v>18</v>
      </c>
      <c r="K1572" s="5">
        <v>0.05</v>
      </c>
      <c r="L1572" s="6">
        <v>4690654016968</v>
      </c>
      <c r="M1572" s="7" t="s">
        <v>3230</v>
      </c>
      <c r="N1572" s="8">
        <f>VLOOKUP(B1572,'[1]новый без картинок'!$A$5:$F$2672,6,0)</f>
        <v>460</v>
      </c>
    </row>
    <row r="1573" spans="1:14" ht="151.15" customHeight="1" x14ac:dyDescent="0.2">
      <c r="A1573" s="3">
        <v>1571</v>
      </c>
      <c r="B1573" s="3">
        <v>206781</v>
      </c>
      <c r="C1573" s="4" t="str">
        <f>HYPERLINK("http://optservis.net:5080/photo?tov_code_internet=206781","Увеличить")</f>
        <v>Увеличить</v>
      </c>
      <c r="D1573" s="3" t="s">
        <v>3234</v>
      </c>
      <c r="E1573" s="3"/>
      <c r="F1573" s="3" t="s">
        <v>1874</v>
      </c>
      <c r="G1573" s="3" t="s">
        <v>430</v>
      </c>
      <c r="H1573" s="3">
        <v>0.5</v>
      </c>
      <c r="I1573" s="3">
        <v>0</v>
      </c>
      <c r="J1573" s="3" t="s">
        <v>18</v>
      </c>
      <c r="K1573" s="5">
        <v>7.0000000000000007E-2</v>
      </c>
      <c r="L1573" s="6">
        <v>0</v>
      </c>
      <c r="M1573" s="7" t="s">
        <v>3235</v>
      </c>
      <c r="N1573" s="8">
        <f>VLOOKUP(B1573,'[1]новый без картинок'!$A$5:$F$2672,6,0)</f>
        <v>549</v>
      </c>
    </row>
    <row r="1574" spans="1:14" ht="151.15" customHeight="1" x14ac:dyDescent="0.2">
      <c r="A1574" s="3">
        <v>1572</v>
      </c>
      <c r="B1574" s="3">
        <v>206381</v>
      </c>
      <c r="C1574" s="4" t="str">
        <f>HYPERLINK("http://optservis.net:5080/photo?tov_code_internet=206381","Увеличить")</f>
        <v>Увеличить</v>
      </c>
      <c r="D1574" s="3" t="s">
        <v>3236</v>
      </c>
      <c r="E1574" s="3" t="s">
        <v>3237</v>
      </c>
      <c r="F1574" s="3" t="s">
        <v>1909</v>
      </c>
      <c r="G1574" s="3" t="s">
        <v>1101</v>
      </c>
      <c r="H1574" s="3">
        <v>0.5</v>
      </c>
      <c r="I1574" s="3">
        <v>0</v>
      </c>
      <c r="J1574" s="3" t="s">
        <v>18</v>
      </c>
      <c r="K1574" s="5">
        <v>7.0000000000000007E-2</v>
      </c>
      <c r="L1574" s="6">
        <v>4690654018368</v>
      </c>
      <c r="M1574" s="7" t="s">
        <v>3238</v>
      </c>
      <c r="N1574" s="8">
        <f>VLOOKUP(B1574,'[1]новый без картинок'!$A$5:$F$2672,6,0)</f>
        <v>504</v>
      </c>
    </row>
    <row r="1575" spans="1:14" ht="151.15" customHeight="1" x14ac:dyDescent="0.2">
      <c r="A1575" s="3">
        <v>1573</v>
      </c>
      <c r="B1575" s="3">
        <v>206738</v>
      </c>
      <c r="C1575" s="4" t="str">
        <f>HYPERLINK("http://optservis.net:5080/photo?tov_code_internet=206738","Увеличить")</f>
        <v>Увеличить</v>
      </c>
      <c r="D1575" s="3" t="s">
        <v>3236</v>
      </c>
      <c r="E1575" s="3" t="s">
        <v>3237</v>
      </c>
      <c r="F1575" s="3" t="s">
        <v>1907</v>
      </c>
      <c r="G1575" s="3" t="s">
        <v>430</v>
      </c>
      <c r="H1575" s="3">
        <v>0.5</v>
      </c>
      <c r="I1575" s="3">
        <v>0</v>
      </c>
      <c r="J1575" s="3" t="s">
        <v>18</v>
      </c>
      <c r="K1575" s="5">
        <v>7.0000000000000007E-2</v>
      </c>
      <c r="L1575" s="6">
        <v>4690654018375</v>
      </c>
      <c r="M1575" s="7" t="s">
        <v>3235</v>
      </c>
      <c r="N1575" s="8">
        <f>VLOOKUP(B1575,'[1]новый без картинок'!$A$5:$F$2672,6,0)</f>
        <v>498</v>
      </c>
    </row>
    <row r="1576" spans="1:14" ht="151.15" customHeight="1" x14ac:dyDescent="0.2">
      <c r="A1576" s="3">
        <v>1574</v>
      </c>
      <c r="B1576" s="3">
        <v>202493</v>
      </c>
      <c r="C1576" s="4" t="str">
        <f>HYPERLINK("http://optservis.net:5080/photo?tov_code_internet=202493","Увеличить")</f>
        <v>Увеличить</v>
      </c>
      <c r="D1576" s="3" t="s">
        <v>3239</v>
      </c>
      <c r="E1576" s="3"/>
      <c r="F1576" s="3" t="s">
        <v>422</v>
      </c>
      <c r="G1576" s="3" t="s">
        <v>430</v>
      </c>
      <c r="H1576" s="3">
        <v>0.5</v>
      </c>
      <c r="I1576" s="3">
        <v>0</v>
      </c>
      <c r="J1576" s="3" t="s">
        <v>18</v>
      </c>
      <c r="K1576" s="5">
        <v>0.06</v>
      </c>
      <c r="L1576" s="6">
        <v>0</v>
      </c>
      <c r="M1576" s="7" t="s">
        <v>3240</v>
      </c>
      <c r="N1576" s="8">
        <f>VLOOKUP(B1576,'[1]новый без картинок'!$A$5:$F$2672,6,0)</f>
        <v>471</v>
      </c>
    </row>
    <row r="1577" spans="1:14" ht="151.15" customHeight="1" x14ac:dyDescent="0.2">
      <c r="A1577" s="3">
        <v>1575</v>
      </c>
      <c r="B1577" s="3">
        <v>202492</v>
      </c>
      <c r="C1577" s="4" t="str">
        <f>HYPERLINK("http://optservis.net:5080/photo?tov_code_internet=202492","Увеличить")</f>
        <v>Увеличить</v>
      </c>
      <c r="D1577" s="3" t="s">
        <v>3241</v>
      </c>
      <c r="E1577" s="3"/>
      <c r="F1577" s="3" t="s">
        <v>2000</v>
      </c>
      <c r="G1577" s="3" t="s">
        <v>2001</v>
      </c>
      <c r="H1577" s="3">
        <v>0.5</v>
      </c>
      <c r="I1577" s="3">
        <v>0</v>
      </c>
      <c r="J1577" s="3" t="s">
        <v>18</v>
      </c>
      <c r="K1577" s="5">
        <v>0.06</v>
      </c>
      <c r="L1577" s="6">
        <v>0</v>
      </c>
      <c r="M1577" s="7" t="s">
        <v>3242</v>
      </c>
      <c r="N1577" s="8">
        <f>VLOOKUP(B1577,'[1]новый без картинок'!$A$5:$F$2672,6,0)</f>
        <v>478</v>
      </c>
    </row>
    <row r="1578" spans="1:14" ht="151.15" customHeight="1" x14ac:dyDescent="0.2">
      <c r="A1578" s="3">
        <v>1576</v>
      </c>
      <c r="B1578" s="3">
        <v>173206</v>
      </c>
      <c r="C1578" s="4" t="str">
        <f>HYPERLINK("http://optservis.net:5080/photo?tov_code_internet=173206","Увеличить")</f>
        <v>Увеличить</v>
      </c>
      <c r="D1578" s="3" t="s">
        <v>3243</v>
      </c>
      <c r="E1578" s="3" t="s">
        <v>3244</v>
      </c>
      <c r="F1578" s="3" t="s">
        <v>2018</v>
      </c>
      <c r="G1578" s="3" t="s">
        <v>1292</v>
      </c>
      <c r="H1578" s="3">
        <v>0.33300000000000002</v>
      </c>
      <c r="I1578" s="3">
        <v>0</v>
      </c>
      <c r="J1578" s="3" t="s">
        <v>18</v>
      </c>
      <c r="K1578" s="5">
        <v>0.04</v>
      </c>
      <c r="L1578" s="6">
        <v>4690654011093</v>
      </c>
      <c r="M1578" s="7" t="s">
        <v>3245</v>
      </c>
      <c r="N1578" s="8">
        <f>VLOOKUP(B1578,'[1]новый без картинок'!$A$5:$F$2672,6,0)</f>
        <v>397</v>
      </c>
    </row>
    <row r="1579" spans="1:14" ht="151.15" customHeight="1" x14ac:dyDescent="0.2">
      <c r="A1579" s="3">
        <v>1577</v>
      </c>
      <c r="B1579" s="3">
        <v>202497</v>
      </c>
      <c r="C1579" s="4" t="str">
        <f>HYPERLINK("http://optservis.net:5080/photo?tov_code_internet=202497","Увеличить")</f>
        <v>Увеличить</v>
      </c>
      <c r="D1579" s="3" t="s">
        <v>3246</v>
      </c>
      <c r="E1579" s="3"/>
      <c r="F1579" s="3" t="s">
        <v>2047</v>
      </c>
      <c r="G1579" s="3" t="s">
        <v>430</v>
      </c>
      <c r="H1579" s="3">
        <v>0.5</v>
      </c>
      <c r="I1579" s="3">
        <v>0</v>
      </c>
      <c r="J1579" s="3" t="s">
        <v>18</v>
      </c>
      <c r="K1579" s="5">
        <v>0.06</v>
      </c>
      <c r="L1579" s="6">
        <v>0</v>
      </c>
      <c r="M1579" s="7" t="s">
        <v>3247</v>
      </c>
      <c r="N1579" s="8">
        <f>VLOOKUP(B1579,'[1]новый без картинок'!$A$5:$F$2672,6,0)</f>
        <v>454</v>
      </c>
    </row>
    <row r="1580" spans="1:14" ht="151.15" customHeight="1" x14ac:dyDescent="0.2">
      <c r="A1580" s="3">
        <v>1578</v>
      </c>
      <c r="B1580" s="3">
        <v>209249</v>
      </c>
      <c r="C1580" s="4" t="str">
        <f>HYPERLINK("http://optservis.net:5080/photo?tov_code_internet=209249","Увеличить")</f>
        <v>Увеличить</v>
      </c>
      <c r="D1580" s="3" t="s">
        <v>3246</v>
      </c>
      <c r="E1580" s="3"/>
      <c r="F1580" s="3" t="s">
        <v>434</v>
      </c>
      <c r="G1580" s="3" t="s">
        <v>430</v>
      </c>
      <c r="H1580" s="3">
        <v>0.5</v>
      </c>
      <c r="I1580" s="3">
        <v>0</v>
      </c>
      <c r="J1580" s="3" t="s">
        <v>18</v>
      </c>
      <c r="K1580" s="5">
        <v>0.06</v>
      </c>
      <c r="L1580" s="6">
        <v>0</v>
      </c>
      <c r="M1580" s="7" t="s">
        <v>3247</v>
      </c>
      <c r="N1580" s="8">
        <f>VLOOKUP(B1580,'[1]новый без картинок'!$A$5:$F$2672,6,0)</f>
        <v>454</v>
      </c>
    </row>
    <row r="1581" spans="1:14" ht="151.15" customHeight="1" x14ac:dyDescent="0.2">
      <c r="A1581" s="3">
        <v>1579</v>
      </c>
      <c r="B1581" s="3">
        <v>202498</v>
      </c>
      <c r="C1581" s="4" t="str">
        <f>HYPERLINK("http://optservis.net:5080/photo?tov_code_internet=202498","Увеличить")</f>
        <v>Увеличить</v>
      </c>
      <c r="D1581" s="3" t="s">
        <v>3248</v>
      </c>
      <c r="E1581" s="3"/>
      <c r="F1581" s="3" t="s">
        <v>2102</v>
      </c>
      <c r="G1581" s="3" t="s">
        <v>430</v>
      </c>
      <c r="H1581" s="3">
        <v>0.5</v>
      </c>
      <c r="I1581" s="3">
        <v>0</v>
      </c>
      <c r="J1581" s="3" t="s">
        <v>18</v>
      </c>
      <c r="K1581" s="5">
        <v>0.06</v>
      </c>
      <c r="L1581" s="6">
        <v>0</v>
      </c>
      <c r="M1581" s="7" t="s">
        <v>3249</v>
      </c>
      <c r="N1581" s="8">
        <f>VLOOKUP(B1581,'[1]новый без картинок'!$A$5:$F$2672,6,0)</f>
        <v>460</v>
      </c>
    </row>
    <row r="1582" spans="1:14" ht="151.15" customHeight="1" x14ac:dyDescent="0.2">
      <c r="A1582" s="3">
        <v>1580</v>
      </c>
      <c r="B1582" s="3">
        <v>209709</v>
      </c>
      <c r="C1582" s="4" t="str">
        <f>HYPERLINK("http://optservis.net:5080/photo?tov_code_internet=209709","Увеличить")</f>
        <v>Увеличить</v>
      </c>
      <c r="D1582" s="3" t="s">
        <v>3250</v>
      </c>
      <c r="E1582" s="3"/>
      <c r="F1582" s="3" t="s">
        <v>2130</v>
      </c>
      <c r="G1582" s="3" t="s">
        <v>430</v>
      </c>
      <c r="H1582" s="3">
        <v>0.5</v>
      </c>
      <c r="I1582" s="3">
        <v>0</v>
      </c>
      <c r="J1582" s="3" t="s">
        <v>18</v>
      </c>
      <c r="K1582" s="5">
        <v>0.06</v>
      </c>
      <c r="L1582" s="6">
        <v>0</v>
      </c>
      <c r="M1582" s="7" t="s">
        <v>3251</v>
      </c>
      <c r="N1582" s="8">
        <f>VLOOKUP(B1582,'[1]новый без картинок'!$A$5:$F$2672,6,0)</f>
        <v>436</v>
      </c>
    </row>
    <row r="1583" spans="1:14" ht="151.15" customHeight="1" x14ac:dyDescent="0.2">
      <c r="A1583" s="3">
        <v>1581</v>
      </c>
      <c r="B1583" s="3">
        <v>209036</v>
      </c>
      <c r="C1583" s="4" t="str">
        <f>HYPERLINK("http://optservis.net:5080/photo?tov_code_internet=209036","Увеличить")</f>
        <v>Увеличить</v>
      </c>
      <c r="D1583" s="3" t="s">
        <v>3250</v>
      </c>
      <c r="E1583" s="3"/>
      <c r="F1583" s="3" t="s">
        <v>2134</v>
      </c>
      <c r="G1583" s="3" t="s">
        <v>430</v>
      </c>
      <c r="H1583" s="3">
        <v>0.5</v>
      </c>
      <c r="I1583" s="3">
        <v>0</v>
      </c>
      <c r="J1583" s="3" t="s">
        <v>18</v>
      </c>
      <c r="K1583" s="5">
        <v>0.06</v>
      </c>
      <c r="L1583" s="6">
        <v>0</v>
      </c>
      <c r="M1583" s="7" t="s">
        <v>3251</v>
      </c>
      <c r="N1583" s="8">
        <f>VLOOKUP(B1583,'[1]новый без картинок'!$A$5:$F$2672,6,0)</f>
        <v>432</v>
      </c>
    </row>
    <row r="1584" spans="1:14" ht="151.15" customHeight="1" x14ac:dyDescent="0.2">
      <c r="A1584" s="3">
        <v>1582</v>
      </c>
      <c r="B1584" s="3">
        <v>202496</v>
      </c>
      <c r="C1584" s="4" t="str">
        <f>HYPERLINK("http://optservis.net:5080/photo?tov_code_internet=202496","Увеличить")</f>
        <v>Увеличить</v>
      </c>
      <c r="D1584" s="3" t="s">
        <v>3250</v>
      </c>
      <c r="E1584" s="3"/>
      <c r="F1584" s="3" t="s">
        <v>2212</v>
      </c>
      <c r="G1584" s="3" t="s">
        <v>430</v>
      </c>
      <c r="H1584" s="3">
        <v>0.5</v>
      </c>
      <c r="I1584" s="3">
        <v>0</v>
      </c>
      <c r="J1584" s="3" t="s">
        <v>18</v>
      </c>
      <c r="K1584" s="5">
        <v>0.06</v>
      </c>
      <c r="L1584" s="6">
        <v>0</v>
      </c>
      <c r="M1584" s="7" t="s">
        <v>3252</v>
      </c>
      <c r="N1584" s="8">
        <f>VLOOKUP(B1584,'[1]новый без картинок'!$A$5:$F$2672,6,0)</f>
        <v>432</v>
      </c>
    </row>
    <row r="1585" spans="1:14" ht="151.15" customHeight="1" x14ac:dyDescent="0.2">
      <c r="A1585" s="3">
        <v>1583</v>
      </c>
      <c r="B1585" s="3">
        <v>202494</v>
      </c>
      <c r="C1585" s="4" t="str">
        <f>HYPERLINK("http://optservis.net:5080/photo?tov_code_internet=202494","Увеличить")</f>
        <v>Увеличить</v>
      </c>
      <c r="D1585" s="3" t="s">
        <v>3250</v>
      </c>
      <c r="E1585" s="3" t="s">
        <v>1690</v>
      </c>
      <c r="F1585" s="3" t="s">
        <v>2172</v>
      </c>
      <c r="G1585" s="3" t="s">
        <v>430</v>
      </c>
      <c r="H1585" s="3">
        <v>0.5</v>
      </c>
      <c r="I1585" s="3">
        <v>0</v>
      </c>
      <c r="J1585" s="3" t="s">
        <v>18</v>
      </c>
      <c r="K1585" s="5">
        <v>0.06</v>
      </c>
      <c r="L1585" s="6">
        <v>4690654018382</v>
      </c>
      <c r="M1585" s="7" t="s">
        <v>3252</v>
      </c>
      <c r="N1585" s="8">
        <f>VLOOKUP(B1585,'[1]новый без картинок'!$A$5:$F$2672,6,0)</f>
        <v>432</v>
      </c>
    </row>
    <row r="1586" spans="1:14" ht="151.15" customHeight="1" x14ac:dyDescent="0.2">
      <c r="A1586" s="3">
        <v>1584</v>
      </c>
      <c r="B1586" s="3">
        <v>202499</v>
      </c>
      <c r="C1586" s="4" t="str">
        <f>HYPERLINK("http://optservis.net:5080/photo?tov_code_internet=202499","Увеличить")</f>
        <v>Увеличить</v>
      </c>
      <c r="D1586" s="3" t="s">
        <v>3253</v>
      </c>
      <c r="E1586" s="3"/>
      <c r="F1586" s="3" t="s">
        <v>2226</v>
      </c>
      <c r="G1586" s="3" t="s">
        <v>430</v>
      </c>
      <c r="H1586" s="3">
        <v>0.5</v>
      </c>
      <c r="I1586" s="3">
        <v>0</v>
      </c>
      <c r="J1586" s="3" t="s">
        <v>18</v>
      </c>
      <c r="K1586" s="5">
        <v>7.0000000000000007E-2</v>
      </c>
      <c r="L1586" s="6">
        <v>0</v>
      </c>
      <c r="M1586" s="7" t="s">
        <v>3254</v>
      </c>
      <c r="N1586" s="8">
        <f>VLOOKUP(B1586,'[1]новый без картинок'!$A$5:$F$2672,6,0)</f>
        <v>494</v>
      </c>
    </row>
    <row r="1587" spans="1:14" ht="151.15" customHeight="1" x14ac:dyDescent="0.2">
      <c r="A1587" s="3">
        <v>1585</v>
      </c>
      <c r="B1587" s="3">
        <v>202503</v>
      </c>
      <c r="C1587" s="4" t="str">
        <f>HYPERLINK("http://optservis.net:5080/photo?tov_code_internet=202503","Увеличить")</f>
        <v>Увеличить</v>
      </c>
      <c r="D1587" s="3" t="s">
        <v>3253</v>
      </c>
      <c r="E1587" s="3"/>
      <c r="F1587" s="3" t="s">
        <v>2134</v>
      </c>
      <c r="G1587" s="3" t="s">
        <v>430</v>
      </c>
      <c r="H1587" s="3">
        <v>0.5</v>
      </c>
      <c r="I1587" s="3">
        <v>0</v>
      </c>
      <c r="J1587" s="3" t="s">
        <v>18</v>
      </c>
      <c r="K1587" s="5">
        <v>7.0000000000000007E-2</v>
      </c>
      <c r="L1587" s="6">
        <v>0</v>
      </c>
      <c r="M1587" s="7" t="s">
        <v>3254</v>
      </c>
      <c r="N1587" s="8">
        <f>VLOOKUP(B1587,'[1]новый без картинок'!$A$5:$F$2672,6,0)</f>
        <v>491</v>
      </c>
    </row>
    <row r="1588" spans="1:14" ht="151.15" customHeight="1" x14ac:dyDescent="0.2">
      <c r="A1588" s="3">
        <v>1586</v>
      </c>
      <c r="B1588" s="3">
        <v>204997</v>
      </c>
      <c r="C1588" s="4" t="str">
        <f>HYPERLINK("http://optservis.net:5080/photo?tov_code_internet=204997","Увеличить")</f>
        <v>Увеличить</v>
      </c>
      <c r="D1588" s="3" t="s">
        <v>3255</v>
      </c>
      <c r="E1588" s="3"/>
      <c r="F1588" s="3" t="s">
        <v>2284</v>
      </c>
      <c r="G1588" s="3" t="s">
        <v>430</v>
      </c>
      <c r="H1588" s="3">
        <v>0.5</v>
      </c>
      <c r="I1588" s="3">
        <v>0</v>
      </c>
      <c r="J1588" s="3" t="s">
        <v>18</v>
      </c>
      <c r="K1588" s="5">
        <v>7.0000000000000007E-2</v>
      </c>
      <c r="L1588" s="6">
        <v>0</v>
      </c>
      <c r="M1588" s="7" t="s">
        <v>3256</v>
      </c>
      <c r="N1588" s="8">
        <f>VLOOKUP(B1588,'[1]новый без картинок'!$A$5:$F$2672,6,0)</f>
        <v>491</v>
      </c>
    </row>
    <row r="1589" spans="1:14" ht="151.15" customHeight="1" x14ac:dyDescent="0.2">
      <c r="A1589" s="3">
        <v>1587</v>
      </c>
      <c r="B1589" s="3">
        <v>202505</v>
      </c>
      <c r="C1589" s="4" t="str">
        <f>HYPERLINK("http://optservis.net:5080/photo?tov_code_internet=202505","Увеличить")</f>
        <v>Увеличить</v>
      </c>
      <c r="D1589" s="3" t="s">
        <v>3255</v>
      </c>
      <c r="E1589" s="3"/>
      <c r="F1589" s="3" t="s">
        <v>2288</v>
      </c>
      <c r="G1589" s="3" t="s">
        <v>430</v>
      </c>
      <c r="H1589" s="3">
        <v>0.5</v>
      </c>
      <c r="I1589" s="3">
        <v>0</v>
      </c>
      <c r="J1589" s="3" t="s">
        <v>18</v>
      </c>
      <c r="K1589" s="5">
        <v>7.0000000000000007E-2</v>
      </c>
      <c r="L1589" s="6">
        <v>0</v>
      </c>
      <c r="M1589" s="7" t="s">
        <v>3254</v>
      </c>
      <c r="N1589" s="8">
        <f>VLOOKUP(B1589,'[1]новый без картинок'!$A$5:$F$2672,6,0)</f>
        <v>484</v>
      </c>
    </row>
    <row r="1590" spans="1:14" ht="151.15" customHeight="1" x14ac:dyDescent="0.2">
      <c r="A1590" s="3">
        <v>1588</v>
      </c>
      <c r="B1590" s="3">
        <v>205220</v>
      </c>
      <c r="C1590" s="4" t="str">
        <f>HYPERLINK("http://optservis.net:5080/photo?tov_code_internet=205220","Увеличить")</f>
        <v>Увеличить</v>
      </c>
      <c r="D1590" s="3" t="s">
        <v>3257</v>
      </c>
      <c r="E1590" s="3"/>
      <c r="F1590" s="3" t="s">
        <v>3258</v>
      </c>
      <c r="G1590" s="3" t="s">
        <v>430</v>
      </c>
      <c r="H1590" s="3">
        <v>0.5</v>
      </c>
      <c r="I1590" s="3">
        <v>0</v>
      </c>
      <c r="J1590" s="3" t="s">
        <v>18</v>
      </c>
      <c r="K1590" s="5">
        <v>7.0000000000000007E-2</v>
      </c>
      <c r="L1590" s="6">
        <v>0</v>
      </c>
      <c r="M1590" s="7" t="s">
        <v>3259</v>
      </c>
      <c r="N1590" s="8">
        <f>VLOOKUP(B1590,'[1]новый без картинок'!$A$5:$F$2672,6,0)</f>
        <v>494</v>
      </c>
    </row>
    <row r="1591" spans="1:14" ht="151.15" customHeight="1" x14ac:dyDescent="0.2">
      <c r="A1591" s="3">
        <v>1589</v>
      </c>
      <c r="B1591" s="3">
        <v>209468</v>
      </c>
      <c r="C1591" s="4" t="str">
        <f>HYPERLINK("http://optservis.net:5080/photo?tov_code_internet=209468","Увеличить")</f>
        <v>Увеличить</v>
      </c>
      <c r="D1591" s="3" t="s">
        <v>3260</v>
      </c>
      <c r="E1591" s="3"/>
      <c r="F1591" s="3" t="s">
        <v>3261</v>
      </c>
      <c r="G1591" s="3" t="s">
        <v>430</v>
      </c>
      <c r="H1591" s="3">
        <v>0.5</v>
      </c>
      <c r="I1591" s="3">
        <v>0</v>
      </c>
      <c r="J1591" s="3" t="s">
        <v>18</v>
      </c>
      <c r="K1591" s="5">
        <v>7.0000000000000007E-2</v>
      </c>
      <c r="L1591" s="6">
        <v>0</v>
      </c>
      <c r="M1591" s="7" t="s">
        <v>3262</v>
      </c>
      <c r="N1591" s="8">
        <f>VLOOKUP(B1591,'[1]новый без картинок'!$A$5:$F$2672,6,0)</f>
        <v>486</v>
      </c>
    </row>
    <row r="1592" spans="1:14" ht="151.15" customHeight="1" x14ac:dyDescent="0.2">
      <c r="A1592" s="3">
        <v>1590</v>
      </c>
      <c r="B1592" s="3">
        <v>209630</v>
      </c>
      <c r="C1592" s="4" t="str">
        <f>HYPERLINK("http://optservis.net:5080/photo?tov_code_internet=209630","Увеличить")</f>
        <v>Увеличить</v>
      </c>
      <c r="D1592" s="3" t="s">
        <v>3260</v>
      </c>
      <c r="E1592" s="3" t="s">
        <v>3263</v>
      </c>
      <c r="F1592" s="3" t="s">
        <v>3264</v>
      </c>
      <c r="G1592" s="3" t="s">
        <v>430</v>
      </c>
      <c r="H1592" s="3">
        <v>0.33300000000000002</v>
      </c>
      <c r="I1592" s="3">
        <v>0</v>
      </c>
      <c r="J1592" s="3" t="s">
        <v>18</v>
      </c>
      <c r="K1592" s="5">
        <v>0.05</v>
      </c>
      <c r="L1592" s="6">
        <v>4690654019228</v>
      </c>
      <c r="M1592" s="7" t="s">
        <v>3262</v>
      </c>
      <c r="N1592" s="8">
        <f>VLOOKUP(B1592,'[1]новый без картинок'!$A$5:$F$2672,6,0)</f>
        <v>486</v>
      </c>
    </row>
    <row r="1593" spans="1:14" ht="151.15" customHeight="1" x14ac:dyDescent="0.2">
      <c r="A1593" s="3">
        <v>1591</v>
      </c>
      <c r="B1593" s="3">
        <v>211901</v>
      </c>
      <c r="C1593" s="4" t="str">
        <f>HYPERLINK("http://optservis.net:5080/photo?tov_code_internet=211901","Увеличить")</f>
        <v>Увеличить</v>
      </c>
      <c r="D1593" s="3" t="s">
        <v>3265</v>
      </c>
      <c r="E1593" s="3"/>
      <c r="F1593" s="3" t="s">
        <v>2130</v>
      </c>
      <c r="G1593" s="3" t="s">
        <v>430</v>
      </c>
      <c r="H1593" s="3">
        <v>0.5</v>
      </c>
      <c r="I1593" s="3">
        <v>0</v>
      </c>
      <c r="J1593" s="3" t="s">
        <v>18</v>
      </c>
      <c r="K1593" s="5">
        <v>0.06</v>
      </c>
      <c r="L1593" s="6">
        <v>0</v>
      </c>
      <c r="M1593" s="7" t="s">
        <v>3266</v>
      </c>
      <c r="N1593" s="8">
        <f>VLOOKUP(B1593,'[1]новый без картинок'!$A$5:$F$2672,6,0)</f>
        <v>494</v>
      </c>
    </row>
    <row r="1594" spans="1:14" ht="151.15" customHeight="1" x14ac:dyDescent="0.2">
      <c r="A1594" s="3">
        <v>1592</v>
      </c>
      <c r="B1594" s="3">
        <v>202131</v>
      </c>
      <c r="C1594" s="4" t="str">
        <f>HYPERLINK("http://optservis.net:5080/photo?tov_code_internet=202131","Увеличить")</f>
        <v>Увеличить</v>
      </c>
      <c r="D1594" s="3" t="s">
        <v>3265</v>
      </c>
      <c r="E1594" s="3"/>
      <c r="F1594" s="3" t="s">
        <v>3267</v>
      </c>
      <c r="G1594" s="3" t="s">
        <v>430</v>
      </c>
      <c r="H1594" s="3">
        <v>0.5</v>
      </c>
      <c r="I1594" s="3">
        <v>0</v>
      </c>
      <c r="J1594" s="3" t="s">
        <v>18</v>
      </c>
      <c r="K1594" s="5">
        <v>0.08</v>
      </c>
      <c r="L1594" s="6">
        <v>0</v>
      </c>
      <c r="M1594" s="7" t="s">
        <v>3266</v>
      </c>
      <c r="N1594" s="8">
        <f>VLOOKUP(B1594,'[1]новый без картинок'!$A$5:$F$2672,6,0)</f>
        <v>486</v>
      </c>
    </row>
    <row r="1595" spans="1:14" ht="151.15" customHeight="1" x14ac:dyDescent="0.2">
      <c r="A1595" s="3">
        <v>1593</v>
      </c>
      <c r="B1595" s="3">
        <v>202130</v>
      </c>
      <c r="C1595" s="4" t="str">
        <f>HYPERLINK("http://optservis.net:5080/photo?tov_code_internet=202130","Увеличить")</f>
        <v>Увеличить</v>
      </c>
      <c r="D1595" s="3" t="s">
        <v>3265</v>
      </c>
      <c r="E1595" s="3" t="s">
        <v>3268</v>
      </c>
      <c r="F1595" s="3" t="s">
        <v>2436</v>
      </c>
      <c r="G1595" s="3" t="s">
        <v>430</v>
      </c>
      <c r="H1595" s="3">
        <v>0.33300000000000002</v>
      </c>
      <c r="I1595" s="3">
        <v>0</v>
      </c>
      <c r="J1595" s="3" t="s">
        <v>18</v>
      </c>
      <c r="K1595" s="5">
        <v>0.06</v>
      </c>
      <c r="L1595" s="6">
        <v>4690654020279</v>
      </c>
      <c r="M1595" s="7" t="s">
        <v>3266</v>
      </c>
      <c r="N1595" s="8">
        <f>VLOOKUP(B1595,'[1]новый без картинок'!$A$5:$F$2672,6,0)</f>
        <v>508</v>
      </c>
    </row>
    <row r="1596" spans="1:14" ht="151.15" customHeight="1" x14ac:dyDescent="0.2">
      <c r="A1596" s="3">
        <v>1594</v>
      </c>
      <c r="B1596" s="3">
        <v>202125</v>
      </c>
      <c r="C1596" s="4" t="str">
        <f>HYPERLINK("http://optservis.net:5080/photo?tov_code_internet=202125","Увеличить")</f>
        <v>Увеличить</v>
      </c>
      <c r="D1596" s="3" t="s">
        <v>3269</v>
      </c>
      <c r="E1596" s="3" t="s">
        <v>3270</v>
      </c>
      <c r="F1596" s="3" t="s">
        <v>2457</v>
      </c>
      <c r="G1596" s="3" t="s">
        <v>430</v>
      </c>
      <c r="H1596" s="3">
        <v>0.5</v>
      </c>
      <c r="I1596" s="3">
        <v>0</v>
      </c>
      <c r="J1596" s="3" t="s">
        <v>18</v>
      </c>
      <c r="K1596" s="5">
        <v>0.08</v>
      </c>
      <c r="L1596" s="6">
        <v>4690654019129</v>
      </c>
      <c r="M1596" s="7" t="s">
        <v>3271</v>
      </c>
      <c r="N1596" s="8">
        <f>VLOOKUP(B1596,'[1]новый без картинок'!$A$5:$F$2672,6,0)</f>
        <v>521</v>
      </c>
    </row>
    <row r="1597" spans="1:14" ht="151.15" customHeight="1" x14ac:dyDescent="0.2">
      <c r="A1597" s="3">
        <v>1595</v>
      </c>
      <c r="B1597" s="3">
        <v>211498</v>
      </c>
      <c r="C1597" s="4" t="str">
        <f>HYPERLINK("http://optservis.net:5080/photo?tov_code_internet=211498","Увеличить")</f>
        <v>Увеличить</v>
      </c>
      <c r="D1597" s="3" t="s">
        <v>3272</v>
      </c>
      <c r="E1597" s="3"/>
      <c r="F1597" s="3" t="s">
        <v>3273</v>
      </c>
      <c r="G1597" s="3" t="s">
        <v>430</v>
      </c>
      <c r="H1597" s="3">
        <v>0.5</v>
      </c>
      <c r="I1597" s="3">
        <v>0</v>
      </c>
      <c r="J1597" s="3" t="s">
        <v>18</v>
      </c>
      <c r="K1597" s="5">
        <v>0.08</v>
      </c>
      <c r="L1597" s="6">
        <v>0</v>
      </c>
      <c r="M1597" s="7" t="s">
        <v>3274</v>
      </c>
      <c r="N1597" s="8">
        <f>VLOOKUP(B1597,'[1]новый без картинок'!$A$5:$F$2672,6,0)</f>
        <v>519</v>
      </c>
    </row>
    <row r="1598" spans="1:14" ht="151.15" customHeight="1" x14ac:dyDescent="0.2">
      <c r="A1598" s="3">
        <v>1596</v>
      </c>
      <c r="B1598" s="3">
        <v>206851</v>
      </c>
      <c r="C1598" s="4" t="str">
        <f>HYPERLINK("http://optservis.net:5080/photo?tov_code_internet=206851","Увеличить")</f>
        <v>Увеличить</v>
      </c>
      <c r="D1598" s="3" t="s">
        <v>3272</v>
      </c>
      <c r="E1598" s="3"/>
      <c r="F1598" s="3" t="s">
        <v>3275</v>
      </c>
      <c r="G1598" s="3" t="s">
        <v>430</v>
      </c>
      <c r="H1598" s="3">
        <v>0.5</v>
      </c>
      <c r="I1598" s="3">
        <v>0</v>
      </c>
      <c r="J1598" s="3" t="s">
        <v>18</v>
      </c>
      <c r="K1598" s="5">
        <v>7.0000000000000007E-2</v>
      </c>
      <c r="L1598" s="6">
        <v>0</v>
      </c>
      <c r="M1598" s="7" t="s">
        <v>3274</v>
      </c>
      <c r="N1598" s="8">
        <f>VLOOKUP(B1598,'[1]новый без картинок'!$A$5:$F$2672,6,0)</f>
        <v>519</v>
      </c>
    </row>
    <row r="1599" spans="1:14" ht="151.15" customHeight="1" x14ac:dyDescent="0.2">
      <c r="A1599" s="3">
        <v>1597</v>
      </c>
      <c r="B1599" s="3">
        <v>202124</v>
      </c>
      <c r="C1599" s="4" t="str">
        <f>HYPERLINK("http://optservis.net:5080/photo?tov_code_internet=202124","Увеличить")</f>
        <v>Увеличить</v>
      </c>
      <c r="D1599" s="3" t="s">
        <v>3272</v>
      </c>
      <c r="E1599" s="3" t="s">
        <v>3270</v>
      </c>
      <c r="F1599" s="3" t="s">
        <v>434</v>
      </c>
      <c r="G1599" s="3" t="s">
        <v>430</v>
      </c>
      <c r="H1599" s="3">
        <v>0.5</v>
      </c>
      <c r="I1599" s="3">
        <v>0</v>
      </c>
      <c r="J1599" s="3" t="s">
        <v>18</v>
      </c>
      <c r="K1599" s="5">
        <v>0.08</v>
      </c>
      <c r="L1599" s="6">
        <v>4690654017729</v>
      </c>
      <c r="M1599" s="7" t="s">
        <v>3271</v>
      </c>
      <c r="N1599" s="8">
        <f>VLOOKUP(B1599,'[1]новый без картинок'!$A$5:$F$2672,6,0)</f>
        <v>519</v>
      </c>
    </row>
    <row r="1600" spans="1:14" ht="151.15" customHeight="1" x14ac:dyDescent="0.2">
      <c r="A1600" s="3">
        <v>1598</v>
      </c>
      <c r="B1600" s="3">
        <v>204195</v>
      </c>
      <c r="C1600" s="4" t="str">
        <f>HYPERLINK("http://optservis.net:5080/photo?tov_code_internet=204195","Увеличить")</f>
        <v>Увеличить</v>
      </c>
      <c r="D1600" s="3" t="s">
        <v>3276</v>
      </c>
      <c r="E1600" s="3"/>
      <c r="F1600" s="3" t="s">
        <v>414</v>
      </c>
      <c r="G1600" s="3" t="s">
        <v>373</v>
      </c>
      <c r="H1600" s="3">
        <v>0.25</v>
      </c>
      <c r="I1600" s="3">
        <v>0</v>
      </c>
      <c r="J1600" s="3" t="s">
        <v>18</v>
      </c>
      <c r="K1600" s="5">
        <v>0.02</v>
      </c>
      <c r="L1600" s="6">
        <v>0</v>
      </c>
      <c r="M1600" s="7" t="s">
        <v>3277</v>
      </c>
      <c r="N1600" s="8">
        <f>VLOOKUP(B1600,'[1]новый без картинок'!$A$5:$F$2672,6,0)</f>
        <v>343</v>
      </c>
    </row>
    <row r="1601" spans="1:14" ht="151.15" customHeight="1" x14ac:dyDescent="0.2">
      <c r="A1601" s="3">
        <v>1599</v>
      </c>
      <c r="B1601" s="3">
        <v>204196</v>
      </c>
      <c r="C1601" s="4" t="str">
        <f>HYPERLINK("http://optservis.net:5080/photo?tov_code_internet=204196","Увеличить")</f>
        <v>Увеличить</v>
      </c>
      <c r="D1601" s="3" t="s">
        <v>3276</v>
      </c>
      <c r="E1601" s="3"/>
      <c r="F1601" s="3" t="s">
        <v>1335</v>
      </c>
      <c r="G1601" s="3" t="s">
        <v>373</v>
      </c>
      <c r="H1601" s="3">
        <v>0.25</v>
      </c>
      <c r="I1601" s="3">
        <v>0</v>
      </c>
      <c r="J1601" s="3" t="s">
        <v>18</v>
      </c>
      <c r="K1601" s="5">
        <v>0.02</v>
      </c>
      <c r="L1601" s="6">
        <v>0</v>
      </c>
      <c r="M1601" s="7" t="s">
        <v>3277</v>
      </c>
      <c r="N1601" s="8">
        <f>VLOOKUP(B1601,'[1]новый без картинок'!$A$5:$F$2672,6,0)</f>
        <v>343</v>
      </c>
    </row>
    <row r="1602" spans="1:14" ht="151.15" customHeight="1" x14ac:dyDescent="0.2">
      <c r="A1602" s="3">
        <v>1600</v>
      </c>
      <c r="B1602" s="3">
        <v>204197</v>
      </c>
      <c r="C1602" s="4" t="str">
        <f>HYPERLINK("http://optservis.net:5080/photo?tov_code_internet=204197","Увеличить")</f>
        <v>Увеличить</v>
      </c>
      <c r="D1602" s="3" t="s">
        <v>3276</v>
      </c>
      <c r="E1602" s="3"/>
      <c r="F1602" s="3" t="s">
        <v>1322</v>
      </c>
      <c r="G1602" s="3" t="s">
        <v>373</v>
      </c>
      <c r="H1602" s="3">
        <v>0.25</v>
      </c>
      <c r="I1602" s="3">
        <v>0</v>
      </c>
      <c r="J1602" s="3" t="s">
        <v>18</v>
      </c>
      <c r="K1602" s="5">
        <v>0.02</v>
      </c>
      <c r="L1602" s="6">
        <v>0</v>
      </c>
      <c r="M1602" s="7" t="s">
        <v>3277</v>
      </c>
      <c r="N1602" s="8">
        <f>VLOOKUP(B1602,'[1]новый без картинок'!$A$5:$F$2672,6,0)</f>
        <v>343</v>
      </c>
    </row>
    <row r="1603" spans="1:14" ht="151.15" customHeight="1" x14ac:dyDescent="0.2">
      <c r="A1603" s="3">
        <v>1601</v>
      </c>
      <c r="B1603" s="3">
        <v>204198</v>
      </c>
      <c r="C1603" s="4" t="str">
        <f>HYPERLINK("http://optservis.net:5080/photo?tov_code_internet=204198","Увеличить")</f>
        <v>Увеличить</v>
      </c>
      <c r="D1603" s="3" t="s">
        <v>3276</v>
      </c>
      <c r="E1603" s="3"/>
      <c r="F1603" s="3" t="s">
        <v>752</v>
      </c>
      <c r="G1603" s="3" t="s">
        <v>373</v>
      </c>
      <c r="H1603" s="3">
        <v>0.25</v>
      </c>
      <c r="I1603" s="3">
        <v>0</v>
      </c>
      <c r="J1603" s="3" t="s">
        <v>18</v>
      </c>
      <c r="K1603" s="5">
        <v>0.02</v>
      </c>
      <c r="L1603" s="6">
        <v>0</v>
      </c>
      <c r="M1603" s="7" t="s">
        <v>3277</v>
      </c>
      <c r="N1603" s="8">
        <f>VLOOKUP(B1603,'[1]новый без картинок'!$A$5:$F$2672,6,0)</f>
        <v>346</v>
      </c>
    </row>
    <row r="1604" spans="1:14" ht="151.15" customHeight="1" x14ac:dyDescent="0.2">
      <c r="A1604" s="3">
        <v>1602</v>
      </c>
      <c r="B1604" s="3">
        <v>173124</v>
      </c>
      <c r="C1604" s="4" t="str">
        <f>HYPERLINK("http://optservis.net:5080/photo?tov_code_internet=173124","Увеличить")</f>
        <v>Увеличить</v>
      </c>
      <c r="D1604" s="3" t="s">
        <v>3278</v>
      </c>
      <c r="E1604" s="3" t="s">
        <v>3279</v>
      </c>
      <c r="F1604" s="3" t="s">
        <v>1322</v>
      </c>
      <c r="G1604" s="3" t="s">
        <v>1127</v>
      </c>
      <c r="H1604" s="3">
        <v>0.33300000000000002</v>
      </c>
      <c r="I1604" s="3">
        <v>0</v>
      </c>
      <c r="J1604" s="3" t="s">
        <v>18</v>
      </c>
      <c r="K1604" s="5">
        <v>0.03</v>
      </c>
      <c r="L1604" s="6">
        <v>4690654010416</v>
      </c>
      <c r="M1604" s="7" t="s">
        <v>3280</v>
      </c>
      <c r="N1604" s="8">
        <f>VLOOKUP(B1604,'[1]новый без картинок'!$A$5:$F$2672,6,0)</f>
        <v>277</v>
      </c>
    </row>
    <row r="1605" spans="1:14" ht="151.15" customHeight="1" x14ac:dyDescent="0.2">
      <c r="A1605" s="3">
        <v>1603</v>
      </c>
      <c r="B1605" s="3">
        <v>204190</v>
      </c>
      <c r="C1605" s="4" t="str">
        <f>HYPERLINK("http://optservis.net:5080/photo?tov_code_internet=204190","Увеличить")</f>
        <v>Увеличить</v>
      </c>
      <c r="D1605" s="3" t="s">
        <v>3281</v>
      </c>
      <c r="E1605" s="3"/>
      <c r="F1605" s="3" t="s">
        <v>414</v>
      </c>
      <c r="G1605" s="3" t="s">
        <v>373</v>
      </c>
      <c r="H1605" s="3">
        <v>0.25</v>
      </c>
      <c r="I1605" s="3">
        <v>0</v>
      </c>
      <c r="J1605" s="3" t="s">
        <v>18</v>
      </c>
      <c r="K1605" s="5">
        <v>0.02</v>
      </c>
      <c r="L1605" s="6">
        <v>0</v>
      </c>
      <c r="M1605" s="7" t="s">
        <v>3282</v>
      </c>
      <c r="N1605" s="8">
        <f>VLOOKUP(B1605,'[1]новый без картинок'!$A$5:$F$2672,6,0)</f>
        <v>326</v>
      </c>
    </row>
    <row r="1606" spans="1:14" ht="151.15" customHeight="1" x14ac:dyDescent="0.2">
      <c r="A1606" s="3">
        <v>1604</v>
      </c>
      <c r="B1606" s="3">
        <v>204191</v>
      </c>
      <c r="C1606" s="4" t="str">
        <f>HYPERLINK("http://optservis.net:5080/photo?tov_code_internet=204191","Увеличить")</f>
        <v>Увеличить</v>
      </c>
      <c r="D1606" s="3" t="s">
        <v>3281</v>
      </c>
      <c r="E1606" s="3"/>
      <c r="F1606" s="3" t="s">
        <v>1335</v>
      </c>
      <c r="G1606" s="3" t="s">
        <v>373</v>
      </c>
      <c r="H1606" s="3">
        <v>0.25</v>
      </c>
      <c r="I1606" s="3">
        <v>0</v>
      </c>
      <c r="J1606" s="3" t="s">
        <v>18</v>
      </c>
      <c r="K1606" s="5">
        <v>0.02</v>
      </c>
      <c r="L1606" s="6">
        <v>0</v>
      </c>
      <c r="M1606" s="7" t="s">
        <v>3282</v>
      </c>
      <c r="N1606" s="8">
        <f>VLOOKUP(B1606,'[1]новый без картинок'!$A$5:$F$2672,6,0)</f>
        <v>326</v>
      </c>
    </row>
    <row r="1607" spans="1:14" ht="151.15" customHeight="1" x14ac:dyDescent="0.2">
      <c r="A1607" s="3">
        <v>1605</v>
      </c>
      <c r="B1607" s="3">
        <v>204189</v>
      </c>
      <c r="C1607" s="4" t="str">
        <f>HYPERLINK("http://optservis.net:5080/photo?tov_code_internet=204189","Увеличить")</f>
        <v>Увеличить</v>
      </c>
      <c r="D1607" s="3" t="s">
        <v>3281</v>
      </c>
      <c r="E1607" s="3"/>
      <c r="F1607" s="3" t="s">
        <v>3283</v>
      </c>
      <c r="G1607" s="3" t="s">
        <v>373</v>
      </c>
      <c r="H1607" s="3">
        <v>0.25</v>
      </c>
      <c r="I1607" s="3">
        <v>0</v>
      </c>
      <c r="J1607" s="3" t="s">
        <v>18</v>
      </c>
      <c r="K1607" s="5">
        <v>0.02</v>
      </c>
      <c r="L1607" s="6">
        <v>0</v>
      </c>
      <c r="M1607" s="7" t="s">
        <v>3282</v>
      </c>
      <c r="N1607" s="8">
        <f>VLOOKUP(B1607,'[1]новый без картинок'!$A$5:$F$2672,6,0)</f>
        <v>326</v>
      </c>
    </row>
    <row r="1608" spans="1:14" ht="151.15" customHeight="1" x14ac:dyDescent="0.2">
      <c r="A1608" s="3">
        <v>1606</v>
      </c>
      <c r="B1608" s="3">
        <v>204188</v>
      </c>
      <c r="C1608" s="4" t="str">
        <f>HYPERLINK("http://optservis.net:5080/photo?tov_code_internet=204188","Увеличить")</f>
        <v>Увеличить</v>
      </c>
      <c r="D1608" s="3" t="s">
        <v>3281</v>
      </c>
      <c r="E1608" s="3"/>
      <c r="F1608" s="3" t="s">
        <v>3284</v>
      </c>
      <c r="G1608" s="3" t="s">
        <v>373</v>
      </c>
      <c r="H1608" s="3">
        <v>0.25</v>
      </c>
      <c r="I1608" s="3">
        <v>0</v>
      </c>
      <c r="J1608" s="3" t="s">
        <v>18</v>
      </c>
      <c r="K1608" s="5">
        <v>0.02</v>
      </c>
      <c r="L1608" s="6">
        <v>0</v>
      </c>
      <c r="M1608" s="7" t="s">
        <v>3282</v>
      </c>
      <c r="N1608" s="8">
        <f>VLOOKUP(B1608,'[1]новый без картинок'!$A$5:$F$2672,6,0)</f>
        <v>326</v>
      </c>
    </row>
    <row r="1609" spans="1:14" ht="151.15" customHeight="1" x14ac:dyDescent="0.2">
      <c r="A1609" s="3">
        <v>1607</v>
      </c>
      <c r="B1609" s="3">
        <v>204186</v>
      </c>
      <c r="C1609" s="4" t="str">
        <f>HYPERLINK("http://optservis.net:5080/photo?tov_code_internet=204186","Увеличить")</f>
        <v>Увеличить</v>
      </c>
      <c r="D1609" s="3" t="s">
        <v>3281</v>
      </c>
      <c r="E1609" s="3"/>
      <c r="F1609" s="3" t="s">
        <v>3285</v>
      </c>
      <c r="G1609" s="3" t="s">
        <v>373</v>
      </c>
      <c r="H1609" s="3">
        <v>0.25</v>
      </c>
      <c r="I1609" s="3">
        <v>0</v>
      </c>
      <c r="J1609" s="3" t="s">
        <v>18</v>
      </c>
      <c r="K1609" s="5">
        <v>0.02</v>
      </c>
      <c r="L1609" s="6">
        <v>0</v>
      </c>
      <c r="M1609" s="7" t="s">
        <v>3282</v>
      </c>
      <c r="N1609" s="8">
        <f>VLOOKUP(B1609,'[1]новый без картинок'!$A$5:$F$2672,6,0)</f>
        <v>326</v>
      </c>
    </row>
    <row r="1610" spans="1:14" ht="151.15" customHeight="1" x14ac:dyDescent="0.2">
      <c r="A1610" s="3">
        <v>1608</v>
      </c>
      <c r="B1610" s="3">
        <v>204187</v>
      </c>
      <c r="C1610" s="4" t="str">
        <f>HYPERLINK("http://optservis.net:5080/photo?tov_code_internet=204187","Увеличить")</f>
        <v>Увеличить</v>
      </c>
      <c r="D1610" s="3" t="s">
        <v>3281</v>
      </c>
      <c r="E1610" s="3"/>
      <c r="F1610" s="3" t="s">
        <v>3286</v>
      </c>
      <c r="G1610" s="3" t="s">
        <v>373</v>
      </c>
      <c r="H1610" s="3">
        <v>0.25</v>
      </c>
      <c r="I1610" s="3">
        <v>0</v>
      </c>
      <c r="J1610" s="3" t="s">
        <v>18</v>
      </c>
      <c r="K1610" s="5">
        <v>0.02</v>
      </c>
      <c r="L1610" s="6">
        <v>0</v>
      </c>
      <c r="M1610" s="7" t="s">
        <v>3282</v>
      </c>
      <c r="N1610" s="8">
        <f>VLOOKUP(B1610,'[1]новый без картинок'!$A$5:$F$2672,6,0)</f>
        <v>326</v>
      </c>
    </row>
    <row r="1611" spans="1:14" ht="151.15" customHeight="1" x14ac:dyDescent="0.2">
      <c r="A1611" s="3">
        <v>1609</v>
      </c>
      <c r="B1611" s="3">
        <v>204185</v>
      </c>
      <c r="C1611" s="4" t="str">
        <f>HYPERLINK("http://optservis.net:5080/photo?tov_code_internet=204185","Увеличить")</f>
        <v>Увеличить</v>
      </c>
      <c r="D1611" s="3" t="s">
        <v>3281</v>
      </c>
      <c r="E1611" s="3"/>
      <c r="F1611" s="3" t="s">
        <v>424</v>
      </c>
      <c r="G1611" s="3" t="s">
        <v>373</v>
      </c>
      <c r="H1611" s="3">
        <v>0.25</v>
      </c>
      <c r="I1611" s="3">
        <v>0</v>
      </c>
      <c r="J1611" s="3" t="s">
        <v>18</v>
      </c>
      <c r="K1611" s="5">
        <v>0.02</v>
      </c>
      <c r="L1611" s="6">
        <v>0</v>
      </c>
      <c r="M1611" s="7" t="s">
        <v>3282</v>
      </c>
      <c r="N1611" s="8">
        <f>VLOOKUP(B1611,'[1]новый без картинок'!$A$5:$F$2672,6,0)</f>
        <v>326</v>
      </c>
    </row>
    <row r="1612" spans="1:14" ht="151.15" customHeight="1" x14ac:dyDescent="0.2">
      <c r="A1612" s="3">
        <v>1610</v>
      </c>
      <c r="B1612" s="3">
        <v>204184</v>
      </c>
      <c r="C1612" s="4" t="str">
        <f>HYPERLINK("http://optservis.net:5080/photo?tov_code_internet=204184","Увеличить")</f>
        <v>Увеличить</v>
      </c>
      <c r="D1612" s="3" t="s">
        <v>3281</v>
      </c>
      <c r="E1612" s="3"/>
      <c r="F1612" s="3" t="s">
        <v>3287</v>
      </c>
      <c r="G1612" s="3" t="s">
        <v>373</v>
      </c>
      <c r="H1612" s="3">
        <v>0.25</v>
      </c>
      <c r="I1612" s="3">
        <v>0</v>
      </c>
      <c r="J1612" s="3" t="s">
        <v>18</v>
      </c>
      <c r="K1612" s="5">
        <v>0.02</v>
      </c>
      <c r="L1612" s="6">
        <v>0</v>
      </c>
      <c r="M1612" s="7" t="s">
        <v>3282</v>
      </c>
      <c r="N1612" s="8">
        <f>VLOOKUP(B1612,'[1]новый без картинок'!$A$5:$F$2672,6,0)</f>
        <v>326</v>
      </c>
    </row>
    <row r="1613" spans="1:14" ht="151.15" customHeight="1" x14ac:dyDescent="0.2">
      <c r="A1613" s="3">
        <v>1611</v>
      </c>
      <c r="B1613" s="3">
        <v>204194</v>
      </c>
      <c r="C1613" s="4" t="str">
        <f>HYPERLINK("http://optservis.net:5080/photo?tov_code_internet=204194","Увеличить")</f>
        <v>Увеличить</v>
      </c>
      <c r="D1613" s="3" t="s">
        <v>3281</v>
      </c>
      <c r="E1613" s="3"/>
      <c r="F1613" s="3" t="s">
        <v>1323</v>
      </c>
      <c r="G1613" s="3" t="s">
        <v>373</v>
      </c>
      <c r="H1613" s="3">
        <v>0.25</v>
      </c>
      <c r="I1613" s="3">
        <v>0</v>
      </c>
      <c r="J1613" s="3" t="s">
        <v>18</v>
      </c>
      <c r="K1613" s="5">
        <v>0.02</v>
      </c>
      <c r="L1613" s="6">
        <v>0</v>
      </c>
      <c r="M1613" s="7" t="s">
        <v>3282</v>
      </c>
      <c r="N1613" s="8">
        <f>VLOOKUP(B1613,'[1]новый без картинок'!$A$5:$F$2672,6,0)</f>
        <v>326</v>
      </c>
    </row>
    <row r="1614" spans="1:14" ht="151.15" customHeight="1" x14ac:dyDescent="0.2">
      <c r="A1614" s="3">
        <v>1612</v>
      </c>
      <c r="B1614" s="3">
        <v>204193</v>
      </c>
      <c r="C1614" s="4" t="str">
        <f>HYPERLINK("http://optservis.net:5080/photo?tov_code_internet=204193","Увеличить")</f>
        <v>Увеличить</v>
      </c>
      <c r="D1614" s="3" t="s">
        <v>3281</v>
      </c>
      <c r="E1614" s="3"/>
      <c r="F1614" s="3" t="s">
        <v>3288</v>
      </c>
      <c r="G1614" s="3" t="s">
        <v>373</v>
      </c>
      <c r="H1614" s="3">
        <v>0.25</v>
      </c>
      <c r="I1614" s="3">
        <v>0</v>
      </c>
      <c r="J1614" s="3" t="s">
        <v>18</v>
      </c>
      <c r="K1614" s="5">
        <v>0.02</v>
      </c>
      <c r="L1614" s="6">
        <v>0</v>
      </c>
      <c r="M1614" s="7" t="s">
        <v>3282</v>
      </c>
      <c r="N1614" s="8">
        <f>VLOOKUP(B1614,'[1]новый без картинок'!$A$5:$F$2672,6,0)</f>
        <v>326</v>
      </c>
    </row>
    <row r="1615" spans="1:14" ht="151.15" customHeight="1" x14ac:dyDescent="0.2">
      <c r="A1615" s="3">
        <v>1613</v>
      </c>
      <c r="B1615" s="3">
        <v>204192</v>
      </c>
      <c r="C1615" s="4" t="str">
        <f>HYPERLINK("http://optservis.net:5080/photo?tov_code_internet=204192","Увеличить")</f>
        <v>Увеличить</v>
      </c>
      <c r="D1615" s="3" t="s">
        <v>3281</v>
      </c>
      <c r="E1615" s="3" t="s">
        <v>3289</v>
      </c>
      <c r="F1615" s="3" t="s">
        <v>752</v>
      </c>
      <c r="G1615" s="3" t="s">
        <v>373</v>
      </c>
      <c r="H1615" s="3">
        <v>0.25</v>
      </c>
      <c r="I1615" s="3">
        <v>0</v>
      </c>
      <c r="J1615" s="3" t="s">
        <v>18</v>
      </c>
      <c r="K1615" s="5">
        <v>0.02</v>
      </c>
      <c r="L1615" s="6">
        <v>4690654019167</v>
      </c>
      <c r="M1615" s="7" t="s">
        <v>3282</v>
      </c>
      <c r="N1615" s="8">
        <f>VLOOKUP(B1615,'[1]новый без картинок'!$A$5:$F$2672,6,0)</f>
        <v>326</v>
      </c>
    </row>
    <row r="1616" spans="1:14" ht="151.15" customHeight="1" x14ac:dyDescent="0.2">
      <c r="A1616" s="3">
        <v>1614</v>
      </c>
      <c r="B1616" s="3">
        <v>191932</v>
      </c>
      <c r="C1616" s="4" t="str">
        <f>HYPERLINK("http://optservis.net:5080/photo?tov_code_internet=191932","Увеличить")</f>
        <v>Увеличить</v>
      </c>
      <c r="D1616" s="3" t="s">
        <v>3290</v>
      </c>
      <c r="E1616" s="3"/>
      <c r="F1616" s="3" t="s">
        <v>3291</v>
      </c>
      <c r="G1616" s="3" t="s">
        <v>1292</v>
      </c>
      <c r="H1616" s="3">
        <v>0.5</v>
      </c>
      <c r="I1616" s="3">
        <v>0</v>
      </c>
      <c r="J1616" s="3" t="s">
        <v>18</v>
      </c>
      <c r="K1616" s="5">
        <v>0.04</v>
      </c>
      <c r="L1616" s="6">
        <v>0</v>
      </c>
      <c r="M1616" s="7" t="s">
        <v>3292</v>
      </c>
      <c r="N1616" s="8">
        <f>VLOOKUP(B1616,'[1]новый без картинок'!$A$5:$F$2672,6,0)</f>
        <v>316</v>
      </c>
    </row>
    <row r="1617" spans="1:14" ht="151.15" customHeight="1" x14ac:dyDescent="0.2">
      <c r="A1617" s="3">
        <v>1615</v>
      </c>
      <c r="B1617" s="3">
        <v>191753</v>
      </c>
      <c r="C1617" s="4" t="str">
        <f>HYPERLINK("http://optservis.net:5080/photo?tov_code_internet=191753","Увеличить")</f>
        <v>Увеличить</v>
      </c>
      <c r="D1617" s="3" t="s">
        <v>3293</v>
      </c>
      <c r="E1617" s="3"/>
      <c r="F1617" s="3" t="s">
        <v>3294</v>
      </c>
      <c r="G1617" s="3" t="s">
        <v>1292</v>
      </c>
      <c r="H1617" s="3">
        <v>0.5</v>
      </c>
      <c r="I1617" s="3">
        <v>0</v>
      </c>
      <c r="J1617" s="3" t="s">
        <v>18</v>
      </c>
      <c r="K1617" s="5">
        <v>0.06</v>
      </c>
      <c r="L1617" s="6">
        <v>0</v>
      </c>
      <c r="M1617" s="7" t="s">
        <v>3295</v>
      </c>
      <c r="N1617" s="8">
        <f>VLOOKUP(B1617,'[1]новый без картинок'!$A$5:$F$2672,6,0)</f>
        <v>419</v>
      </c>
    </row>
    <row r="1618" spans="1:14" ht="151.15" customHeight="1" x14ac:dyDescent="0.2">
      <c r="A1618" s="3">
        <v>1616</v>
      </c>
      <c r="B1618" s="3">
        <v>194136</v>
      </c>
      <c r="C1618" s="4" t="str">
        <f>HYPERLINK("http://optservis.net:5080/photo?tov_code_internet=194136","Увеличить")</f>
        <v>Увеличить</v>
      </c>
      <c r="D1618" s="3" t="s">
        <v>3296</v>
      </c>
      <c r="E1618" s="3"/>
      <c r="F1618" s="3" t="s">
        <v>3297</v>
      </c>
      <c r="G1618" s="3" t="s">
        <v>3298</v>
      </c>
      <c r="H1618" s="3">
        <v>0.5</v>
      </c>
      <c r="I1618" s="3">
        <v>0</v>
      </c>
      <c r="J1618" s="3" t="s">
        <v>18</v>
      </c>
      <c r="K1618" s="5">
        <v>0.06</v>
      </c>
      <c r="L1618" s="6">
        <v>0</v>
      </c>
      <c r="M1618" s="7" t="s">
        <v>3299</v>
      </c>
      <c r="N1618" s="8">
        <f>VLOOKUP(B1618,'[1]новый без картинок'!$A$5:$F$2672,6,0)</f>
        <v>429</v>
      </c>
    </row>
    <row r="1619" spans="1:14" ht="151.15" customHeight="1" x14ac:dyDescent="0.2">
      <c r="A1619" s="3">
        <v>1617</v>
      </c>
      <c r="B1619" s="3">
        <v>191858</v>
      </c>
      <c r="C1619" s="4" t="str">
        <f>HYPERLINK("http://optservis.net:5080/photo?tov_code_internet=191858","Увеличить")</f>
        <v>Увеличить</v>
      </c>
      <c r="D1619" s="3" t="s">
        <v>3300</v>
      </c>
      <c r="E1619" s="3"/>
      <c r="F1619" s="3" t="s">
        <v>3301</v>
      </c>
      <c r="G1619" s="3" t="s">
        <v>1292</v>
      </c>
      <c r="H1619" s="3">
        <v>0.5</v>
      </c>
      <c r="I1619" s="3">
        <v>0</v>
      </c>
      <c r="J1619" s="3" t="s">
        <v>18</v>
      </c>
      <c r="K1619" s="5">
        <v>0.08</v>
      </c>
      <c r="L1619" s="6">
        <v>0</v>
      </c>
      <c r="M1619" s="7" t="s">
        <v>3302</v>
      </c>
      <c r="N1619" s="8">
        <f>VLOOKUP(B1619,'[1]новый без картинок'!$A$5:$F$2672,6,0)</f>
        <v>472</v>
      </c>
    </row>
    <row r="1620" spans="1:14" ht="151.15" customHeight="1" x14ac:dyDescent="0.2">
      <c r="A1620" s="3">
        <v>1618</v>
      </c>
      <c r="B1620" s="3">
        <v>196663</v>
      </c>
      <c r="C1620" s="4" t="str">
        <f>HYPERLINK("http://optservis.net:5080/photo?tov_code_internet=196663","Увеличить")</f>
        <v>Увеличить</v>
      </c>
      <c r="D1620" s="3" t="s">
        <v>3303</v>
      </c>
      <c r="E1620" s="3"/>
      <c r="F1620" s="3" t="s">
        <v>3304</v>
      </c>
      <c r="G1620" s="3" t="s">
        <v>1292</v>
      </c>
      <c r="H1620" s="3">
        <v>0.5</v>
      </c>
      <c r="I1620" s="3">
        <v>0</v>
      </c>
      <c r="J1620" s="3" t="s">
        <v>18</v>
      </c>
      <c r="K1620" s="5">
        <v>0.08</v>
      </c>
      <c r="L1620" s="6">
        <v>0</v>
      </c>
      <c r="M1620" s="7" t="s">
        <v>3305</v>
      </c>
      <c r="N1620" s="8">
        <f>VLOOKUP(B1620,'[1]новый без картинок'!$A$5:$F$2672,6,0)</f>
        <v>446</v>
      </c>
    </row>
    <row r="1621" spans="1:14" ht="149.44999999999999" customHeight="1" x14ac:dyDescent="0.2">
      <c r="A1621" s="3">
        <v>1619</v>
      </c>
      <c r="B1621" s="3">
        <v>144804</v>
      </c>
      <c r="C1621" s="4" t="str">
        <f>HYPERLINK("http://optservis.net:5080/photo?tov_code_internet=144804","Увеличить")</f>
        <v>Увеличить</v>
      </c>
      <c r="D1621" s="3" t="s">
        <v>3306</v>
      </c>
      <c r="E1621" s="3" t="s">
        <v>3307</v>
      </c>
      <c r="F1621" s="3" t="s">
        <v>1411</v>
      </c>
      <c r="G1621" s="3" t="s">
        <v>373</v>
      </c>
      <c r="H1621" s="3">
        <v>0.5</v>
      </c>
      <c r="I1621" s="3">
        <v>0</v>
      </c>
      <c r="J1621" s="3" t="s">
        <v>18</v>
      </c>
      <c r="K1621" s="5">
        <v>0.1</v>
      </c>
      <c r="L1621" s="6">
        <v>4690654010584</v>
      </c>
      <c r="M1621" s="7" t="s">
        <v>3308</v>
      </c>
      <c r="N1621" s="8">
        <f>VLOOKUP(B1621,'[1]новый без картинок'!$A$5:$F$2672,6,0)</f>
        <v>147</v>
      </c>
    </row>
    <row r="1622" spans="1:14" ht="149.44999999999999" customHeight="1" x14ac:dyDescent="0.2">
      <c r="A1622" s="3">
        <v>1620</v>
      </c>
      <c r="B1622" s="3">
        <v>144806</v>
      </c>
      <c r="C1622" s="4" t="str">
        <f>HYPERLINK("http://optservis.net:5080/photo?tov_code_internet=144806","Увеличить")</f>
        <v>Увеличить</v>
      </c>
      <c r="D1622" s="3" t="s">
        <v>3306</v>
      </c>
      <c r="E1622" s="3" t="s">
        <v>3307</v>
      </c>
      <c r="F1622" s="3" t="s">
        <v>1315</v>
      </c>
      <c r="G1622" s="3" t="s">
        <v>373</v>
      </c>
      <c r="H1622" s="3">
        <v>0.5</v>
      </c>
      <c r="I1622" s="3">
        <v>0</v>
      </c>
      <c r="J1622" s="3" t="s">
        <v>18</v>
      </c>
      <c r="K1622" s="5">
        <v>0.1</v>
      </c>
      <c r="L1622" s="6">
        <v>4690654012540</v>
      </c>
      <c r="M1622" s="7" t="s">
        <v>3309</v>
      </c>
      <c r="N1622" s="8">
        <f>VLOOKUP(B1622,'[1]новый без картинок'!$A$5:$F$2672,6,0)</f>
        <v>147</v>
      </c>
    </row>
    <row r="1623" spans="1:14" ht="151.15" customHeight="1" x14ac:dyDescent="0.2">
      <c r="A1623" s="3">
        <v>1621</v>
      </c>
      <c r="B1623" s="3">
        <v>182131</v>
      </c>
      <c r="C1623" s="4" t="str">
        <f>HYPERLINK("http://optservis.net:5080/photo?tov_code_internet=182131","Увеличить")</f>
        <v>Увеличить</v>
      </c>
      <c r="D1623" s="3" t="s">
        <v>3310</v>
      </c>
      <c r="E1623" s="3"/>
      <c r="F1623" s="3" t="s">
        <v>3311</v>
      </c>
      <c r="G1623" s="3" t="s">
        <v>1429</v>
      </c>
      <c r="H1623" s="3">
        <v>0.5</v>
      </c>
      <c r="I1623" s="3">
        <v>0</v>
      </c>
      <c r="J1623" s="3" t="s">
        <v>18</v>
      </c>
      <c r="K1623" s="5">
        <v>0.02</v>
      </c>
      <c r="L1623" s="6">
        <v>0</v>
      </c>
      <c r="M1623" s="7" t="s">
        <v>3312</v>
      </c>
      <c r="N1623" s="8">
        <f>VLOOKUP(B1623,'[1]новый без картинок'!$A$5:$F$2672,6,0)</f>
        <v>347</v>
      </c>
    </row>
    <row r="1624" spans="1:14" ht="151.15" customHeight="1" x14ac:dyDescent="0.2">
      <c r="A1624" s="3">
        <v>1622</v>
      </c>
      <c r="B1624" s="3">
        <v>182130</v>
      </c>
      <c r="C1624" s="4" t="str">
        <f>HYPERLINK("http://optservis.net:5080/photo?tov_code_internet=182130","Увеличить")</f>
        <v>Увеличить</v>
      </c>
      <c r="D1624" s="3" t="s">
        <v>3310</v>
      </c>
      <c r="E1624" s="3" t="s">
        <v>3313</v>
      </c>
      <c r="F1624" s="3" t="s">
        <v>348</v>
      </c>
      <c r="G1624" s="3" t="s">
        <v>1429</v>
      </c>
      <c r="H1624" s="3">
        <v>1</v>
      </c>
      <c r="I1624" s="3">
        <v>1</v>
      </c>
      <c r="J1624" s="3" t="s">
        <v>18</v>
      </c>
      <c r="K1624" s="5">
        <v>0.04</v>
      </c>
      <c r="L1624" s="6">
        <v>4690654013134</v>
      </c>
      <c r="M1624" s="7" t="s">
        <v>3312</v>
      </c>
      <c r="N1624" s="8">
        <f>VLOOKUP(B1624,'[1]новый без картинок'!$A$5:$F$2672,6,0)</f>
        <v>347</v>
      </c>
    </row>
    <row r="1625" spans="1:14" ht="151.15" customHeight="1" x14ac:dyDescent="0.2">
      <c r="A1625" s="3">
        <v>1623</v>
      </c>
      <c r="B1625" s="3">
        <v>181901</v>
      </c>
      <c r="C1625" s="4" t="str">
        <f>HYPERLINK("http://optservis.net:5080/photo?tov_code_internet=181901","Увеличить")</f>
        <v>Увеличить</v>
      </c>
      <c r="D1625" s="3" t="s">
        <v>3310</v>
      </c>
      <c r="E1625" s="3" t="s">
        <v>3313</v>
      </c>
      <c r="F1625" s="3" t="s">
        <v>3314</v>
      </c>
      <c r="G1625" s="3" t="s">
        <v>1429</v>
      </c>
      <c r="H1625" s="3">
        <v>0.5</v>
      </c>
      <c r="I1625" s="3">
        <v>0</v>
      </c>
      <c r="J1625" s="3" t="s">
        <v>18</v>
      </c>
      <c r="K1625" s="5">
        <v>0.02</v>
      </c>
      <c r="L1625" s="6">
        <v>4690654013271</v>
      </c>
      <c r="M1625" s="7" t="s">
        <v>3315</v>
      </c>
      <c r="N1625" s="8">
        <f>VLOOKUP(B1625,'[1]новый без картинок'!$A$5:$F$2672,6,0)</f>
        <v>381</v>
      </c>
    </row>
    <row r="1626" spans="1:14" ht="151.15" customHeight="1" x14ac:dyDescent="0.2">
      <c r="A1626" s="3">
        <v>1624</v>
      </c>
      <c r="B1626" s="3">
        <v>183194</v>
      </c>
      <c r="C1626" s="4" t="str">
        <f>HYPERLINK("http://optservis.net:5080/photo?tov_code_internet=183194","Увеличить")</f>
        <v>Увеличить</v>
      </c>
      <c r="D1626" s="3" t="s">
        <v>3316</v>
      </c>
      <c r="E1626" s="3"/>
      <c r="F1626" s="3" t="s">
        <v>3317</v>
      </c>
      <c r="G1626" s="3" t="s">
        <v>1697</v>
      </c>
      <c r="H1626" s="3">
        <v>0.5</v>
      </c>
      <c r="I1626" s="3">
        <v>0</v>
      </c>
      <c r="J1626" s="3" t="s">
        <v>18</v>
      </c>
      <c r="K1626" s="5">
        <v>0.02</v>
      </c>
      <c r="L1626" s="6">
        <v>0</v>
      </c>
      <c r="M1626" s="7" t="s">
        <v>3318</v>
      </c>
      <c r="N1626" s="8">
        <f>VLOOKUP(B1626,'[1]новый без картинок'!$A$5:$F$2672,6,0)</f>
        <v>360</v>
      </c>
    </row>
    <row r="1627" spans="1:14" ht="151.15" customHeight="1" x14ac:dyDescent="0.2">
      <c r="A1627" s="3">
        <v>1625</v>
      </c>
      <c r="B1627" s="3">
        <v>183157</v>
      </c>
      <c r="C1627" s="4" t="str">
        <f>HYPERLINK("http://optservis.net:5080/photo?tov_code_internet=183157","Увеличить")</f>
        <v>Увеличить</v>
      </c>
      <c r="D1627" s="3" t="s">
        <v>3316</v>
      </c>
      <c r="E1627" s="3"/>
      <c r="F1627" s="3" t="s">
        <v>3319</v>
      </c>
      <c r="G1627" s="3" t="s">
        <v>1697</v>
      </c>
      <c r="H1627" s="3">
        <v>0.5</v>
      </c>
      <c r="I1627" s="3">
        <v>0</v>
      </c>
      <c r="J1627" s="3" t="s">
        <v>18</v>
      </c>
      <c r="K1627" s="5">
        <v>0.02</v>
      </c>
      <c r="L1627" s="6">
        <v>0</v>
      </c>
      <c r="M1627" s="7" t="s">
        <v>3320</v>
      </c>
      <c r="N1627" s="8">
        <f>VLOOKUP(B1627,'[1]новый без картинок'!$A$5:$F$2672,6,0)</f>
        <v>358</v>
      </c>
    </row>
    <row r="1628" spans="1:14" ht="149.44999999999999" customHeight="1" x14ac:dyDescent="0.2">
      <c r="A1628" s="3">
        <v>1626</v>
      </c>
      <c r="B1628" s="3">
        <v>151496</v>
      </c>
      <c r="C1628" s="4" t="str">
        <f>HYPERLINK("http://optservis.net:5080/photo?tov_code_internet=151496","Увеличить")</f>
        <v>Увеличить</v>
      </c>
      <c r="D1628" s="3" t="s">
        <v>3321</v>
      </c>
      <c r="E1628" s="3"/>
      <c r="F1628" s="3" t="s">
        <v>3322</v>
      </c>
      <c r="G1628" s="3" t="s">
        <v>1697</v>
      </c>
      <c r="H1628" s="3">
        <v>0.5</v>
      </c>
      <c r="I1628" s="3">
        <v>0</v>
      </c>
      <c r="J1628" s="3" t="s">
        <v>18</v>
      </c>
      <c r="K1628" s="5">
        <v>0.02</v>
      </c>
      <c r="L1628" s="6">
        <v>0</v>
      </c>
      <c r="M1628" s="7" t="s">
        <v>2645</v>
      </c>
      <c r="N1628" s="8">
        <f>VLOOKUP(B1628,'[1]новый без картинок'!$A$5:$F$2672,6,0)</f>
        <v>469</v>
      </c>
    </row>
    <row r="1629" spans="1:14" ht="149.44999999999999" customHeight="1" x14ac:dyDescent="0.2">
      <c r="A1629" s="3">
        <v>1627</v>
      </c>
      <c r="B1629" s="3">
        <v>151509</v>
      </c>
      <c r="C1629" s="4" t="str">
        <f>HYPERLINK("http://optservis.net:5080/photo?tov_code_internet=151509","Увеличить")</f>
        <v>Увеличить</v>
      </c>
      <c r="D1629" s="3" t="s">
        <v>3321</v>
      </c>
      <c r="E1629" s="3"/>
      <c r="F1629" s="3" t="s">
        <v>3323</v>
      </c>
      <c r="G1629" s="3" t="s">
        <v>1697</v>
      </c>
      <c r="H1629" s="3">
        <v>0.5</v>
      </c>
      <c r="I1629" s="3">
        <v>0</v>
      </c>
      <c r="J1629" s="3" t="s">
        <v>18</v>
      </c>
      <c r="K1629" s="5">
        <v>0.02</v>
      </c>
      <c r="L1629" s="6">
        <v>0</v>
      </c>
      <c r="M1629" s="7" t="s">
        <v>2645</v>
      </c>
      <c r="N1629" s="8">
        <f>VLOOKUP(B1629,'[1]новый без картинок'!$A$5:$F$2672,6,0)</f>
        <v>469</v>
      </c>
    </row>
    <row r="1630" spans="1:14" ht="151.15" customHeight="1" x14ac:dyDescent="0.2">
      <c r="A1630" s="3">
        <v>1628</v>
      </c>
      <c r="B1630" s="3">
        <v>198592</v>
      </c>
      <c r="C1630" s="4" t="str">
        <f>HYPERLINK("http://optservis.net:5080/photo?tov_code_internet=198592","Увеличить")</f>
        <v>Увеличить</v>
      </c>
      <c r="D1630" s="3" t="s">
        <v>3324</v>
      </c>
      <c r="E1630" s="3"/>
      <c r="F1630" s="3" t="s">
        <v>3325</v>
      </c>
      <c r="G1630" s="3" t="s">
        <v>1697</v>
      </c>
      <c r="H1630" s="3">
        <v>0.5</v>
      </c>
      <c r="I1630" s="3">
        <v>0</v>
      </c>
      <c r="J1630" s="3" t="s">
        <v>18</v>
      </c>
      <c r="K1630" s="5">
        <v>0.03</v>
      </c>
      <c r="L1630" s="6">
        <v>0</v>
      </c>
      <c r="M1630" s="7" t="s">
        <v>3326</v>
      </c>
      <c r="N1630" s="8">
        <f>VLOOKUP(B1630,'[1]новый без картинок'!$A$5:$F$2672,6,0)</f>
        <v>343</v>
      </c>
    </row>
    <row r="1631" spans="1:14" ht="151.15" customHeight="1" x14ac:dyDescent="0.2">
      <c r="A1631" s="3">
        <v>1629</v>
      </c>
      <c r="B1631" s="3">
        <v>189470</v>
      </c>
      <c r="C1631" s="4" t="str">
        <f>HYPERLINK("http://optservis.net:5080/photo?tov_code_internet=189470","Увеличить")</f>
        <v>Увеличить</v>
      </c>
      <c r="D1631" s="3" t="s">
        <v>3327</v>
      </c>
      <c r="E1631" s="3" t="s">
        <v>3328</v>
      </c>
      <c r="F1631" s="3" t="s">
        <v>1475</v>
      </c>
      <c r="G1631" s="3" t="s">
        <v>1101</v>
      </c>
      <c r="H1631" s="3">
        <v>0.5</v>
      </c>
      <c r="I1631" s="3">
        <v>0</v>
      </c>
      <c r="J1631" s="3" t="s">
        <v>18</v>
      </c>
      <c r="K1631" s="5">
        <v>0.09</v>
      </c>
      <c r="L1631" s="6">
        <v>4690654013516</v>
      </c>
      <c r="M1631" s="7" t="s">
        <v>3329</v>
      </c>
      <c r="N1631" s="8">
        <f>VLOOKUP(B1631,'[1]новый без картинок'!$A$5:$F$2672,6,0)</f>
        <v>242</v>
      </c>
    </row>
    <row r="1632" spans="1:14" ht="151.15" customHeight="1" x14ac:dyDescent="0.2">
      <c r="A1632" s="3">
        <v>1630</v>
      </c>
      <c r="B1632" s="3">
        <v>183155</v>
      </c>
      <c r="C1632" s="4" t="str">
        <f>HYPERLINK("http://optservis.net:5080/photo?tov_code_internet=183155","Увеличить")</f>
        <v>Увеличить</v>
      </c>
      <c r="D1632" s="3" t="s">
        <v>3330</v>
      </c>
      <c r="E1632" s="3"/>
      <c r="F1632" s="3" t="s">
        <v>3331</v>
      </c>
      <c r="G1632" s="3" t="s">
        <v>1515</v>
      </c>
      <c r="H1632" s="3">
        <v>0.5</v>
      </c>
      <c r="I1632" s="3">
        <v>0</v>
      </c>
      <c r="J1632" s="3" t="s">
        <v>18</v>
      </c>
      <c r="K1632" s="5">
        <v>0.02</v>
      </c>
      <c r="L1632" s="6">
        <v>0</v>
      </c>
      <c r="M1632" s="7" t="s">
        <v>3332</v>
      </c>
      <c r="N1632" s="8">
        <f>VLOOKUP(B1632,'[1]новый без картинок'!$A$5:$F$2672,6,0)</f>
        <v>441</v>
      </c>
    </row>
    <row r="1633" spans="1:14" ht="151.15" customHeight="1" x14ac:dyDescent="0.2">
      <c r="A1633" s="3">
        <v>1631</v>
      </c>
      <c r="B1633" s="3">
        <v>189467</v>
      </c>
      <c r="C1633" s="4" t="str">
        <f>HYPERLINK("http://optservis.net:5080/photo?tov_code_internet=189467","Увеличить")</f>
        <v>Увеличить</v>
      </c>
      <c r="D1633" s="3" t="s">
        <v>3333</v>
      </c>
      <c r="E1633" s="3" t="s">
        <v>2631</v>
      </c>
      <c r="F1633" s="3" t="s">
        <v>1475</v>
      </c>
      <c r="G1633" s="3" t="s">
        <v>1101</v>
      </c>
      <c r="H1633" s="3">
        <v>0.5</v>
      </c>
      <c r="I1633" s="3">
        <v>0</v>
      </c>
      <c r="J1633" s="3" t="s">
        <v>18</v>
      </c>
      <c r="K1633" s="5">
        <v>0.12</v>
      </c>
      <c r="L1633" s="6">
        <v>0</v>
      </c>
      <c r="M1633" s="7" t="s">
        <v>3334</v>
      </c>
      <c r="N1633" s="8">
        <f>VLOOKUP(B1633,'[1]новый без картинок'!$A$5:$F$2672,6,0)</f>
        <v>309</v>
      </c>
    </row>
    <row r="1634" spans="1:14" ht="151.15" customHeight="1" x14ac:dyDescent="0.2">
      <c r="A1634" s="3">
        <v>1632</v>
      </c>
      <c r="B1634" s="3">
        <v>183187</v>
      </c>
      <c r="C1634" s="4" t="str">
        <f>HYPERLINK("http://optservis.net:5080/photo?tov_code_internet=183187","Увеличить")</f>
        <v>Увеличить</v>
      </c>
      <c r="D1634" s="3" t="s">
        <v>3335</v>
      </c>
      <c r="E1634" s="3" t="s">
        <v>3336</v>
      </c>
      <c r="F1634" s="3" t="s">
        <v>1514</v>
      </c>
      <c r="G1634" s="3" t="s">
        <v>1515</v>
      </c>
      <c r="H1634" s="3">
        <v>0.5</v>
      </c>
      <c r="I1634" s="3">
        <v>0</v>
      </c>
      <c r="J1634" s="3" t="s">
        <v>18</v>
      </c>
      <c r="K1634" s="5">
        <v>0.01</v>
      </c>
      <c r="L1634" s="6">
        <v>4690654016524</v>
      </c>
      <c r="M1634" s="7" t="s">
        <v>3337</v>
      </c>
      <c r="N1634" s="8">
        <f>VLOOKUP(B1634,'[1]новый без картинок'!$A$5:$F$2672,6,0)</f>
        <v>455</v>
      </c>
    </row>
    <row r="1635" spans="1:14" ht="151.15" customHeight="1" x14ac:dyDescent="0.2">
      <c r="A1635" s="3">
        <v>1633</v>
      </c>
      <c r="B1635" s="3">
        <v>189471</v>
      </c>
      <c r="C1635" s="4" t="str">
        <f>HYPERLINK("http://optservis.net:5080/photo?tov_code_internet=189471","Увеличить")</f>
        <v>Увеличить</v>
      </c>
      <c r="D1635" s="3" t="s">
        <v>3338</v>
      </c>
      <c r="E1635" s="3" t="s">
        <v>3339</v>
      </c>
      <c r="F1635" s="3" t="s">
        <v>2688</v>
      </c>
      <c r="G1635" s="3" t="s">
        <v>1533</v>
      </c>
      <c r="H1635" s="3">
        <v>1</v>
      </c>
      <c r="I1635" s="3">
        <v>1</v>
      </c>
      <c r="J1635" s="3" t="s">
        <v>18</v>
      </c>
      <c r="K1635" s="5">
        <v>0.03</v>
      </c>
      <c r="L1635" s="6">
        <v>4690654017200</v>
      </c>
      <c r="M1635" s="7" t="s">
        <v>3340</v>
      </c>
      <c r="N1635" s="8">
        <f>VLOOKUP(B1635,'[1]новый без картинок'!$A$5:$F$2672,6,0)</f>
        <v>585</v>
      </c>
    </row>
    <row r="1636" spans="1:14" ht="151.15" customHeight="1" x14ac:dyDescent="0.2">
      <c r="A1636" s="3">
        <v>1634</v>
      </c>
      <c r="B1636" s="3">
        <v>183162</v>
      </c>
      <c r="C1636" s="4" t="str">
        <f>HYPERLINK("http://optservis.net:5080/photo?tov_code_internet=183162","Увеличить")</f>
        <v>Увеличить</v>
      </c>
      <c r="D1636" s="3" t="s">
        <v>3341</v>
      </c>
      <c r="E1636" s="3" t="s">
        <v>3342</v>
      </c>
      <c r="F1636" s="3" t="s">
        <v>3343</v>
      </c>
      <c r="G1636" s="3" t="s">
        <v>1515</v>
      </c>
      <c r="H1636" s="3">
        <v>0.5</v>
      </c>
      <c r="I1636" s="3">
        <v>0</v>
      </c>
      <c r="J1636" s="3" t="s">
        <v>18</v>
      </c>
      <c r="K1636" s="5">
        <v>0</v>
      </c>
      <c r="L1636" s="6">
        <v>4690654020927</v>
      </c>
      <c r="M1636" s="7" t="s">
        <v>3344</v>
      </c>
      <c r="N1636" s="8">
        <f>VLOOKUP(B1636,'[1]новый без картинок'!$A$5:$F$2672,6,0)</f>
        <v>563</v>
      </c>
    </row>
    <row r="1637" spans="1:14" ht="151.15" customHeight="1" x14ac:dyDescent="0.2">
      <c r="A1637" s="3">
        <v>1635</v>
      </c>
      <c r="B1637" s="3">
        <v>209805</v>
      </c>
      <c r="C1637" s="4" t="str">
        <f>HYPERLINK("http://optservis.net:5080/photo?tov_code_internet=209805","Увеличить")</f>
        <v>Увеличить</v>
      </c>
      <c r="D1637" s="3" t="s">
        <v>3345</v>
      </c>
      <c r="E1637" s="3"/>
      <c r="F1637" s="3" t="s">
        <v>1490</v>
      </c>
      <c r="G1637" s="3" t="s">
        <v>1469</v>
      </c>
      <c r="H1637" s="3">
        <v>0.5</v>
      </c>
      <c r="I1637" s="3">
        <v>0</v>
      </c>
      <c r="J1637" s="3" t="s">
        <v>18</v>
      </c>
      <c r="K1637" s="5">
        <v>0.02</v>
      </c>
      <c r="L1637" s="6">
        <v>0</v>
      </c>
      <c r="M1637" s="7" t="s">
        <v>3346</v>
      </c>
      <c r="N1637" s="8">
        <f>VLOOKUP(B1637,'[1]новый без картинок'!$A$5:$F$2672,6,0)</f>
        <v>438</v>
      </c>
    </row>
    <row r="1638" spans="1:14" ht="151.15" customHeight="1" x14ac:dyDescent="0.2">
      <c r="A1638" s="3">
        <v>1636</v>
      </c>
      <c r="B1638" s="3">
        <v>209804</v>
      </c>
      <c r="C1638" s="4" t="str">
        <f>HYPERLINK("http://optservis.net:5080/photo?tov_code_internet=209804","Увеличить")</f>
        <v>Увеличить</v>
      </c>
      <c r="D1638" s="3" t="s">
        <v>3347</v>
      </c>
      <c r="E1638" s="3"/>
      <c r="F1638" s="3" t="s">
        <v>2391</v>
      </c>
      <c r="G1638" s="3" t="s">
        <v>430</v>
      </c>
      <c r="H1638" s="3">
        <v>0.5</v>
      </c>
      <c r="I1638" s="3">
        <v>0</v>
      </c>
      <c r="J1638" s="3" t="s">
        <v>18</v>
      </c>
      <c r="K1638" s="5">
        <v>0.14000000000000001</v>
      </c>
      <c r="L1638" s="6">
        <v>0</v>
      </c>
      <c r="M1638" s="7" t="s">
        <v>2663</v>
      </c>
      <c r="N1638" s="8">
        <f>VLOOKUP(B1638,'[1]новый без картинок'!$A$5:$F$2672,6,0)</f>
        <v>322</v>
      </c>
    </row>
    <row r="1639" spans="1:14" ht="151.15" customHeight="1" x14ac:dyDescent="0.2">
      <c r="A1639" s="3">
        <v>1637</v>
      </c>
      <c r="B1639" s="3">
        <v>209808</v>
      </c>
      <c r="C1639" s="4" t="str">
        <f>HYPERLINK("http://optservis.net:5080/photo?tov_code_internet=209808","Увеличить")</f>
        <v>Увеличить</v>
      </c>
      <c r="D1639" s="3" t="s">
        <v>3348</v>
      </c>
      <c r="E1639" s="3" t="s">
        <v>3349</v>
      </c>
      <c r="F1639" s="3" t="s">
        <v>2403</v>
      </c>
      <c r="G1639" s="3" t="s">
        <v>1479</v>
      </c>
      <c r="H1639" s="3">
        <v>0.5</v>
      </c>
      <c r="I1639" s="3">
        <v>0</v>
      </c>
      <c r="J1639" s="3" t="s">
        <v>18</v>
      </c>
      <c r="K1639" s="5">
        <v>0.02</v>
      </c>
      <c r="L1639" s="6">
        <v>4690654020712</v>
      </c>
      <c r="M1639" s="7" t="s">
        <v>2667</v>
      </c>
      <c r="N1639" s="8">
        <f>VLOOKUP(B1639,'[1]новый без картинок'!$A$5:$F$2672,6,0)</f>
        <v>455</v>
      </c>
    </row>
    <row r="1640" spans="1:14" ht="151.15" customHeight="1" x14ac:dyDescent="0.2">
      <c r="A1640" s="3">
        <v>1638</v>
      </c>
      <c r="B1640" s="3">
        <v>209809</v>
      </c>
      <c r="C1640" s="4" t="str">
        <f>HYPERLINK("http://optservis.net:5080/photo?tov_code_internet=209809","Увеличить")</f>
        <v>Увеличить</v>
      </c>
      <c r="D1640" s="3" t="s">
        <v>3350</v>
      </c>
      <c r="E1640" s="3"/>
      <c r="F1640" s="3" t="s">
        <v>3351</v>
      </c>
      <c r="G1640" s="3" t="s">
        <v>1479</v>
      </c>
      <c r="H1640" s="3">
        <v>0.5</v>
      </c>
      <c r="I1640" s="3">
        <v>0</v>
      </c>
      <c r="J1640" s="3" t="s">
        <v>18</v>
      </c>
      <c r="K1640" s="5">
        <v>0.03</v>
      </c>
      <c r="L1640" s="6">
        <v>0</v>
      </c>
      <c r="M1640" s="7" t="s">
        <v>3352</v>
      </c>
      <c r="N1640" s="8">
        <f>VLOOKUP(B1640,'[1]новый без картинок'!$A$5:$F$2672,6,0)</f>
        <v>441</v>
      </c>
    </row>
    <row r="1641" spans="1:14" ht="151.15" customHeight="1" x14ac:dyDescent="0.2">
      <c r="A1641" s="3">
        <v>1639</v>
      </c>
      <c r="B1641" s="3">
        <v>183164</v>
      </c>
      <c r="C1641" s="4" t="str">
        <f>HYPERLINK("http://optservis.net:5080/photo?tov_code_internet=183164","Увеличить")</f>
        <v>Увеличить</v>
      </c>
      <c r="D1641" s="3" t="s">
        <v>3353</v>
      </c>
      <c r="E1641" s="3"/>
      <c r="F1641" s="3" t="s">
        <v>1530</v>
      </c>
      <c r="G1641" s="3" t="s">
        <v>1479</v>
      </c>
      <c r="H1641" s="3">
        <v>0.5</v>
      </c>
      <c r="I1641" s="3">
        <v>0</v>
      </c>
      <c r="J1641" s="3" t="s">
        <v>18</v>
      </c>
      <c r="K1641" s="5">
        <v>0.03</v>
      </c>
      <c r="L1641" s="6">
        <v>0</v>
      </c>
      <c r="M1641" s="7" t="s">
        <v>3354</v>
      </c>
      <c r="N1641" s="8">
        <f>VLOOKUP(B1641,'[1]новый без картинок'!$A$5:$F$2672,6,0)</f>
        <v>451</v>
      </c>
    </row>
    <row r="1642" spans="1:14" ht="151.15" customHeight="1" x14ac:dyDescent="0.2">
      <c r="A1642" s="3">
        <v>1640</v>
      </c>
      <c r="B1642" s="3">
        <v>183147</v>
      </c>
      <c r="C1642" s="4" t="str">
        <f>HYPERLINK("http://optservis.net:5080/photo?tov_code_internet=183147","Увеличить")</f>
        <v>Увеличить</v>
      </c>
      <c r="D1642" s="3" t="s">
        <v>3355</v>
      </c>
      <c r="E1642" s="3"/>
      <c r="F1642" s="3" t="s">
        <v>3356</v>
      </c>
      <c r="G1642" s="3" t="s">
        <v>1479</v>
      </c>
      <c r="H1642" s="3">
        <v>0.5</v>
      </c>
      <c r="I1642" s="3">
        <v>0</v>
      </c>
      <c r="J1642" s="3" t="s">
        <v>18</v>
      </c>
      <c r="K1642" s="5">
        <v>0.03</v>
      </c>
      <c r="L1642" s="6">
        <v>0</v>
      </c>
      <c r="M1642" s="7" t="s">
        <v>3357</v>
      </c>
      <c r="N1642" s="8">
        <f>VLOOKUP(B1642,'[1]новый без картинок'!$A$5:$F$2672,6,0)</f>
        <v>442</v>
      </c>
    </row>
    <row r="1643" spans="1:14" ht="151.15" customHeight="1" x14ac:dyDescent="0.2">
      <c r="A1643" s="3">
        <v>1641</v>
      </c>
      <c r="B1643" s="3">
        <v>199892</v>
      </c>
      <c r="C1643" s="4" t="str">
        <f>HYPERLINK("http://optservis.net:5080/photo?tov_code_internet=199892","Увеличить")</f>
        <v>Увеличить</v>
      </c>
      <c r="D1643" s="3" t="s">
        <v>3358</v>
      </c>
      <c r="E1643" s="3"/>
      <c r="F1643" s="3" t="s">
        <v>3359</v>
      </c>
      <c r="G1643" s="3" t="s">
        <v>1469</v>
      </c>
      <c r="H1643" s="3">
        <v>0.5</v>
      </c>
      <c r="I1643" s="3">
        <v>0</v>
      </c>
      <c r="J1643" s="3" t="s">
        <v>18</v>
      </c>
      <c r="K1643" s="5">
        <v>0.04</v>
      </c>
      <c r="L1643" s="6">
        <v>0</v>
      </c>
      <c r="M1643" s="7" t="s">
        <v>3360</v>
      </c>
      <c r="N1643" s="8">
        <f>VLOOKUP(B1643,'[1]новый без картинок'!$A$5:$F$2672,6,0)</f>
        <v>506</v>
      </c>
    </row>
    <row r="1644" spans="1:14" ht="151.15" customHeight="1" x14ac:dyDescent="0.2">
      <c r="A1644" s="3">
        <v>1642</v>
      </c>
      <c r="B1644" s="3">
        <v>199891</v>
      </c>
      <c r="C1644" s="4" t="str">
        <f>HYPERLINK("http://optservis.net:5080/photo?tov_code_internet=199891","Увеличить")</f>
        <v>Увеличить</v>
      </c>
      <c r="D1644" s="3" t="s">
        <v>3361</v>
      </c>
      <c r="E1644" s="3"/>
      <c r="F1644" s="3" t="s">
        <v>2712</v>
      </c>
      <c r="G1644" s="3" t="s">
        <v>1479</v>
      </c>
      <c r="H1644" s="3">
        <v>0.5</v>
      </c>
      <c r="I1644" s="3">
        <v>0</v>
      </c>
      <c r="J1644" s="3" t="s">
        <v>18</v>
      </c>
      <c r="K1644" s="5">
        <v>0.03</v>
      </c>
      <c r="L1644" s="6">
        <v>0</v>
      </c>
      <c r="M1644" s="7" t="s">
        <v>2710</v>
      </c>
      <c r="N1644" s="8">
        <f>VLOOKUP(B1644,'[1]новый без картинок'!$A$5:$F$2672,6,0)</f>
        <v>482</v>
      </c>
    </row>
    <row r="1645" spans="1:14" ht="151.15" customHeight="1" x14ac:dyDescent="0.2">
      <c r="A1645" s="3">
        <v>1643</v>
      </c>
      <c r="B1645" s="3">
        <v>191995</v>
      </c>
      <c r="C1645" s="4" t="str">
        <f>HYPERLINK("http://optservis.net:5080/photo?tov_code_internet=191995","Увеличить")</f>
        <v>Увеличить</v>
      </c>
      <c r="D1645" s="3" t="s">
        <v>3362</v>
      </c>
      <c r="E1645" s="3" t="s">
        <v>3363</v>
      </c>
      <c r="F1645" s="3" t="s">
        <v>1595</v>
      </c>
      <c r="G1645" s="3" t="s">
        <v>430</v>
      </c>
      <c r="H1645" s="3">
        <v>0.5</v>
      </c>
      <c r="I1645" s="3">
        <v>0</v>
      </c>
      <c r="J1645" s="3" t="s">
        <v>18</v>
      </c>
      <c r="K1645" s="5">
        <v>0.11</v>
      </c>
      <c r="L1645" s="6">
        <v>4690654018078</v>
      </c>
      <c r="M1645" s="7" t="s">
        <v>3105</v>
      </c>
      <c r="N1645" s="8">
        <f>VLOOKUP(B1645,'[1]новый без картинок'!$A$5:$F$2672,6,0)</f>
        <v>233</v>
      </c>
    </row>
    <row r="1646" spans="1:14" ht="151.15" customHeight="1" x14ac:dyDescent="0.2">
      <c r="A1646" s="3">
        <v>1644</v>
      </c>
      <c r="B1646" s="3">
        <v>192000</v>
      </c>
      <c r="C1646" s="4" t="str">
        <f>HYPERLINK("http://optservis.net:5080/photo?tov_code_internet=192000","Увеличить")</f>
        <v>Увеличить</v>
      </c>
      <c r="D1646" s="3" t="s">
        <v>3364</v>
      </c>
      <c r="E1646" s="3" t="s">
        <v>3365</v>
      </c>
      <c r="F1646" s="3" t="s">
        <v>1595</v>
      </c>
      <c r="G1646" s="3" t="s">
        <v>430</v>
      </c>
      <c r="H1646" s="3">
        <v>0.5</v>
      </c>
      <c r="I1646" s="3">
        <v>0</v>
      </c>
      <c r="J1646" s="3" t="s">
        <v>18</v>
      </c>
      <c r="K1646" s="5">
        <v>0.15</v>
      </c>
      <c r="L1646" s="6">
        <v>4690654017736</v>
      </c>
      <c r="M1646" s="7" t="s">
        <v>3109</v>
      </c>
      <c r="N1646" s="8">
        <f>VLOOKUP(B1646,'[1]новый без картинок'!$A$5:$F$2672,6,0)</f>
        <v>300</v>
      </c>
    </row>
    <row r="1647" spans="1:14" ht="151.15" customHeight="1" x14ac:dyDescent="0.2">
      <c r="A1647" s="3">
        <v>1645</v>
      </c>
      <c r="B1647" s="3">
        <v>182457</v>
      </c>
      <c r="C1647" s="4" t="str">
        <f>HYPERLINK("http://optservis.net:5080/photo?tov_code_internet=182457","Увеличить")</f>
        <v>Увеличить</v>
      </c>
      <c r="D1647" s="3" t="s">
        <v>3366</v>
      </c>
      <c r="E1647" s="3"/>
      <c r="F1647" s="3" t="s">
        <v>3367</v>
      </c>
      <c r="G1647" s="3" t="s">
        <v>1533</v>
      </c>
      <c r="H1647" s="3">
        <v>0.5</v>
      </c>
      <c r="I1647" s="3">
        <v>0</v>
      </c>
      <c r="J1647" s="3" t="s">
        <v>18</v>
      </c>
      <c r="K1647" s="5">
        <v>0.03</v>
      </c>
      <c r="L1647" s="6">
        <v>0</v>
      </c>
      <c r="M1647" s="7" t="s">
        <v>3357</v>
      </c>
      <c r="N1647" s="8">
        <f>VLOOKUP(B1647,'[1]новый без картинок'!$A$5:$F$2672,6,0)</f>
        <v>429</v>
      </c>
    </row>
    <row r="1648" spans="1:14" ht="151.15" customHeight="1" x14ac:dyDescent="0.2">
      <c r="A1648" s="3">
        <v>1646</v>
      </c>
      <c r="B1648" s="3">
        <v>182160</v>
      </c>
      <c r="C1648" s="4" t="str">
        <f>HYPERLINK("http://optservis.net:5080/photo?tov_code_internet=182160","Увеличить")</f>
        <v>Увеличить</v>
      </c>
      <c r="D1648" s="3" t="s">
        <v>3368</v>
      </c>
      <c r="E1648" s="3"/>
      <c r="F1648" s="3" t="s">
        <v>3369</v>
      </c>
      <c r="G1648" s="3" t="s">
        <v>1429</v>
      </c>
      <c r="H1648" s="3">
        <v>0.5</v>
      </c>
      <c r="I1648" s="3">
        <v>0</v>
      </c>
      <c r="J1648" s="3" t="s">
        <v>18</v>
      </c>
      <c r="K1648" s="5">
        <v>0.03</v>
      </c>
      <c r="L1648" s="6">
        <v>0</v>
      </c>
      <c r="M1648" s="7" t="s">
        <v>3370</v>
      </c>
      <c r="N1648" s="8">
        <f>VLOOKUP(B1648,'[1]новый без картинок'!$A$5:$F$2672,6,0)</f>
        <v>404</v>
      </c>
    </row>
    <row r="1649" spans="1:14" ht="151.15" customHeight="1" x14ac:dyDescent="0.2">
      <c r="A1649" s="3">
        <v>1647</v>
      </c>
      <c r="B1649" s="3">
        <v>182114</v>
      </c>
      <c r="C1649" s="4" t="str">
        <f>HYPERLINK("http://optservis.net:5080/photo?tov_code_internet=182114","Увеличить")</f>
        <v>Увеличить</v>
      </c>
      <c r="D1649" s="3" t="s">
        <v>3368</v>
      </c>
      <c r="E1649" s="3"/>
      <c r="F1649" s="3" t="s">
        <v>3371</v>
      </c>
      <c r="G1649" s="3" t="s">
        <v>1429</v>
      </c>
      <c r="H1649" s="3">
        <v>0.5</v>
      </c>
      <c r="I1649" s="3">
        <v>0</v>
      </c>
      <c r="J1649" s="3" t="s">
        <v>18</v>
      </c>
      <c r="K1649" s="5">
        <v>0.03</v>
      </c>
      <c r="L1649" s="6">
        <v>0</v>
      </c>
      <c r="M1649" s="7" t="s">
        <v>3372</v>
      </c>
      <c r="N1649" s="8">
        <f>VLOOKUP(B1649,'[1]новый без картинок'!$A$5:$F$2672,6,0)</f>
        <v>371</v>
      </c>
    </row>
    <row r="1650" spans="1:14" ht="151.15" customHeight="1" x14ac:dyDescent="0.2">
      <c r="A1650" s="3">
        <v>1648</v>
      </c>
      <c r="B1650" s="3">
        <v>182112</v>
      </c>
      <c r="C1650" s="4" t="str">
        <f>HYPERLINK("http://optservis.net:5080/photo?tov_code_internet=182112","Увеличить")</f>
        <v>Увеличить</v>
      </c>
      <c r="D1650" s="3" t="s">
        <v>3368</v>
      </c>
      <c r="E1650" s="3" t="s">
        <v>3373</v>
      </c>
      <c r="F1650" s="3" t="s">
        <v>1223</v>
      </c>
      <c r="G1650" s="3" t="s">
        <v>1429</v>
      </c>
      <c r="H1650" s="3">
        <v>0.5</v>
      </c>
      <c r="I1650" s="3">
        <v>0</v>
      </c>
      <c r="J1650" s="3" t="s">
        <v>18</v>
      </c>
      <c r="K1650" s="5">
        <v>0.03</v>
      </c>
      <c r="L1650" s="6">
        <v>4690654019662</v>
      </c>
      <c r="M1650" s="7" t="s">
        <v>3374</v>
      </c>
      <c r="N1650" s="8">
        <f>VLOOKUP(B1650,'[1]новый без картинок'!$A$5:$F$2672,6,0)</f>
        <v>371</v>
      </c>
    </row>
    <row r="1651" spans="1:14" ht="151.15" customHeight="1" x14ac:dyDescent="0.2">
      <c r="A1651" s="3">
        <v>1649</v>
      </c>
      <c r="B1651" s="3">
        <v>183151</v>
      </c>
      <c r="C1651" s="4" t="str">
        <f>HYPERLINK("http://optservis.net:5080/photo?tov_code_internet=183151","Увеличить")</f>
        <v>Увеличить</v>
      </c>
      <c r="D1651" s="3" t="s">
        <v>3375</v>
      </c>
      <c r="E1651" s="3"/>
      <c r="F1651" s="3" t="s">
        <v>3376</v>
      </c>
      <c r="G1651" s="3" t="s">
        <v>1697</v>
      </c>
      <c r="H1651" s="3">
        <v>0.5</v>
      </c>
      <c r="I1651" s="3">
        <v>0</v>
      </c>
      <c r="J1651" s="3" t="s">
        <v>18</v>
      </c>
      <c r="K1651" s="5">
        <v>0.02</v>
      </c>
      <c r="L1651" s="6">
        <v>0</v>
      </c>
      <c r="M1651" s="7" t="s">
        <v>3377</v>
      </c>
      <c r="N1651" s="8">
        <f>VLOOKUP(B1651,'[1]новый без картинок'!$A$5:$F$2672,6,0)</f>
        <v>381</v>
      </c>
    </row>
    <row r="1652" spans="1:14" ht="151.15" customHeight="1" x14ac:dyDescent="0.2">
      <c r="A1652" s="3">
        <v>1650</v>
      </c>
      <c r="B1652" s="3">
        <v>183176</v>
      </c>
      <c r="C1652" s="4" t="str">
        <f>HYPERLINK("http://optservis.net:5080/photo?tov_code_internet=183176","Увеличить")</f>
        <v>Увеличить</v>
      </c>
      <c r="D1652" s="3" t="s">
        <v>3375</v>
      </c>
      <c r="E1652" s="3"/>
      <c r="F1652" s="3" t="s">
        <v>3378</v>
      </c>
      <c r="G1652" s="3" t="s">
        <v>1697</v>
      </c>
      <c r="H1652" s="3">
        <v>0.5</v>
      </c>
      <c r="I1652" s="3">
        <v>0</v>
      </c>
      <c r="J1652" s="3" t="s">
        <v>18</v>
      </c>
      <c r="K1652" s="5">
        <v>0.02</v>
      </c>
      <c r="L1652" s="6">
        <v>0</v>
      </c>
      <c r="M1652" s="7" t="s">
        <v>3379</v>
      </c>
      <c r="N1652" s="8">
        <f>VLOOKUP(B1652,'[1]новый без картинок'!$A$5:$F$2672,6,0)</f>
        <v>385</v>
      </c>
    </row>
    <row r="1653" spans="1:14" ht="151.15" customHeight="1" x14ac:dyDescent="0.2">
      <c r="A1653" s="3">
        <v>1651</v>
      </c>
      <c r="B1653" s="3">
        <v>183148</v>
      </c>
      <c r="C1653" s="4" t="str">
        <f>HYPERLINK("http://optservis.net:5080/photo?tov_code_internet=183148","Увеличить")</f>
        <v>Увеличить</v>
      </c>
      <c r="D1653" s="3" t="s">
        <v>3375</v>
      </c>
      <c r="E1653" s="3"/>
      <c r="F1653" s="3" t="s">
        <v>3319</v>
      </c>
      <c r="G1653" s="3" t="s">
        <v>1697</v>
      </c>
      <c r="H1653" s="3">
        <v>0.5</v>
      </c>
      <c r="I1653" s="3">
        <v>0</v>
      </c>
      <c r="J1653" s="3" t="s">
        <v>18</v>
      </c>
      <c r="K1653" s="5">
        <v>0.02</v>
      </c>
      <c r="L1653" s="6">
        <v>0</v>
      </c>
      <c r="M1653" s="7" t="s">
        <v>3379</v>
      </c>
      <c r="N1653" s="8">
        <f>VLOOKUP(B1653,'[1]новый без картинок'!$A$5:$F$2672,6,0)</f>
        <v>381</v>
      </c>
    </row>
    <row r="1654" spans="1:14" ht="151.15" customHeight="1" x14ac:dyDescent="0.2">
      <c r="A1654" s="3">
        <v>1652</v>
      </c>
      <c r="B1654" s="3">
        <v>181895</v>
      </c>
      <c r="C1654" s="4" t="str">
        <f>HYPERLINK("http://optservis.net:5080/photo?tov_code_internet=181895","Увеличить")</f>
        <v>Увеличить</v>
      </c>
      <c r="D1654" s="3" t="s">
        <v>3380</v>
      </c>
      <c r="E1654" s="3"/>
      <c r="F1654" s="3" t="s">
        <v>3381</v>
      </c>
      <c r="G1654" s="3" t="s">
        <v>1515</v>
      </c>
      <c r="H1654" s="3">
        <v>0.5</v>
      </c>
      <c r="I1654" s="3">
        <v>0</v>
      </c>
      <c r="J1654" s="3" t="s">
        <v>18</v>
      </c>
      <c r="K1654" s="5">
        <v>0.04</v>
      </c>
      <c r="L1654" s="6">
        <v>0</v>
      </c>
      <c r="M1654" s="7" t="s">
        <v>3382</v>
      </c>
      <c r="N1654" s="8">
        <f>VLOOKUP(B1654,'[1]новый без картинок'!$A$5:$F$2672,6,0)</f>
        <v>460</v>
      </c>
    </row>
    <row r="1655" spans="1:14" ht="151.15" customHeight="1" x14ac:dyDescent="0.2">
      <c r="A1655" s="3">
        <v>1653</v>
      </c>
      <c r="B1655" s="3">
        <v>181645</v>
      </c>
      <c r="C1655" s="4" t="str">
        <f>HYPERLINK("http://optservis.net:5080/photo?tov_code_internet=181645","Увеличить")</f>
        <v>Увеличить</v>
      </c>
      <c r="D1655" s="3" t="s">
        <v>3383</v>
      </c>
      <c r="E1655" s="3" t="s">
        <v>3384</v>
      </c>
      <c r="F1655" s="3" t="s">
        <v>3385</v>
      </c>
      <c r="G1655" s="3" t="s">
        <v>1469</v>
      </c>
      <c r="H1655" s="3">
        <v>0.5</v>
      </c>
      <c r="I1655" s="3">
        <v>0</v>
      </c>
      <c r="J1655" s="3" t="s">
        <v>18</v>
      </c>
      <c r="K1655" s="5">
        <v>0.04</v>
      </c>
      <c r="L1655" s="6">
        <v>4690654016562</v>
      </c>
      <c r="M1655" s="7" t="s">
        <v>3386</v>
      </c>
      <c r="N1655" s="8">
        <f>VLOOKUP(B1655,'[1]новый без картинок'!$A$5:$F$2672,6,0)</f>
        <v>465</v>
      </c>
    </row>
    <row r="1656" spans="1:14" ht="151.15" customHeight="1" x14ac:dyDescent="0.2">
      <c r="A1656" s="3">
        <v>1654</v>
      </c>
      <c r="B1656" s="3">
        <v>182124</v>
      </c>
      <c r="C1656" s="4" t="str">
        <f>HYPERLINK("http://optservis.net:5080/photo?tov_code_internet=182124","Увеличить")</f>
        <v>Увеличить</v>
      </c>
      <c r="D1656" s="3" t="s">
        <v>3383</v>
      </c>
      <c r="E1656" s="3" t="s">
        <v>3384</v>
      </c>
      <c r="F1656" s="3" t="s">
        <v>3387</v>
      </c>
      <c r="G1656" s="3" t="s">
        <v>1469</v>
      </c>
      <c r="H1656" s="3">
        <v>0.5</v>
      </c>
      <c r="I1656" s="3">
        <v>0</v>
      </c>
      <c r="J1656" s="3" t="s">
        <v>18</v>
      </c>
      <c r="K1656" s="5">
        <v>0.04</v>
      </c>
      <c r="L1656" s="6">
        <v>4690654018429</v>
      </c>
      <c r="M1656" s="7" t="s">
        <v>3388</v>
      </c>
      <c r="N1656" s="8">
        <f>VLOOKUP(B1656,'[1]новый без картинок'!$A$5:$F$2672,6,0)</f>
        <v>432</v>
      </c>
    </row>
    <row r="1657" spans="1:14" ht="151.15" customHeight="1" x14ac:dyDescent="0.2">
      <c r="A1657" s="3">
        <v>1655</v>
      </c>
      <c r="B1657" s="3">
        <v>181894</v>
      </c>
      <c r="C1657" s="4" t="str">
        <f>HYPERLINK("http://optservis.net:5080/photo?tov_code_internet=181894","Увеличить")</f>
        <v>Увеличить</v>
      </c>
      <c r="D1657" s="3" t="s">
        <v>3389</v>
      </c>
      <c r="E1657" s="3" t="s">
        <v>3390</v>
      </c>
      <c r="F1657" s="3" t="s">
        <v>3391</v>
      </c>
      <c r="G1657" s="3" t="s">
        <v>1469</v>
      </c>
      <c r="H1657" s="3">
        <v>0.5</v>
      </c>
      <c r="I1657" s="3">
        <v>0</v>
      </c>
      <c r="J1657" s="3" t="s">
        <v>18</v>
      </c>
      <c r="K1657" s="5">
        <v>0.04</v>
      </c>
      <c r="L1657" s="6">
        <v>4690654014919</v>
      </c>
      <c r="M1657" s="7" t="s">
        <v>3392</v>
      </c>
      <c r="N1657" s="8">
        <f>VLOOKUP(B1657,'[1]новый без картинок'!$A$5:$F$2672,6,0)</f>
        <v>472</v>
      </c>
    </row>
    <row r="1658" spans="1:14" ht="151.15" customHeight="1" x14ac:dyDescent="0.2">
      <c r="A1658" s="3">
        <v>1656</v>
      </c>
      <c r="B1658" s="3">
        <v>208252</v>
      </c>
      <c r="C1658" s="4" t="str">
        <f>HYPERLINK("http://optservis.net:5080/photo?tov_code_internet=208252","Увеличить")</f>
        <v>Увеличить</v>
      </c>
      <c r="D1658" s="3" t="s">
        <v>3393</v>
      </c>
      <c r="E1658" s="3"/>
      <c r="F1658" s="3" t="s">
        <v>1775</v>
      </c>
      <c r="G1658" s="3" t="s">
        <v>1469</v>
      </c>
      <c r="H1658" s="3">
        <v>0.5</v>
      </c>
      <c r="I1658" s="3">
        <v>0</v>
      </c>
      <c r="J1658" s="3" t="s">
        <v>18</v>
      </c>
      <c r="K1658" s="5">
        <v>0.04</v>
      </c>
      <c r="L1658" s="6">
        <v>0</v>
      </c>
      <c r="M1658" s="7" t="s">
        <v>3388</v>
      </c>
      <c r="N1658" s="8">
        <f>VLOOKUP(B1658,'[1]новый без картинок'!$A$5:$F$2672,6,0)</f>
        <v>426</v>
      </c>
    </row>
    <row r="1659" spans="1:14" ht="151.15" customHeight="1" x14ac:dyDescent="0.2">
      <c r="A1659" s="3">
        <v>1657</v>
      </c>
      <c r="B1659" s="3">
        <v>182129</v>
      </c>
      <c r="C1659" s="4" t="str">
        <f>HYPERLINK("http://optservis.net:5080/photo?tov_code_internet=182129","Увеличить")</f>
        <v>Увеличить</v>
      </c>
      <c r="D1659" s="3" t="s">
        <v>3393</v>
      </c>
      <c r="E1659" s="3" t="s">
        <v>3394</v>
      </c>
      <c r="F1659" s="3" t="s">
        <v>3395</v>
      </c>
      <c r="G1659" s="3" t="s">
        <v>1515</v>
      </c>
      <c r="H1659" s="3">
        <v>0.5</v>
      </c>
      <c r="I1659" s="3">
        <v>0</v>
      </c>
      <c r="J1659" s="3" t="s">
        <v>18</v>
      </c>
      <c r="K1659" s="5">
        <v>0.04</v>
      </c>
      <c r="L1659" s="6">
        <v>4690654013318</v>
      </c>
      <c r="M1659" s="7" t="s">
        <v>3388</v>
      </c>
      <c r="N1659" s="8">
        <f>VLOOKUP(B1659,'[1]новый без картинок'!$A$5:$F$2672,6,0)</f>
        <v>419</v>
      </c>
    </row>
    <row r="1660" spans="1:14" ht="151.15" customHeight="1" x14ac:dyDescent="0.2">
      <c r="A1660" s="3">
        <v>1658</v>
      </c>
      <c r="B1660" s="3">
        <v>182156</v>
      </c>
      <c r="C1660" s="4" t="str">
        <f>HYPERLINK("http://optservis.net:5080/photo?tov_code_internet=182156","Увеличить")</f>
        <v>Увеличить</v>
      </c>
      <c r="D1660" s="3" t="s">
        <v>3396</v>
      </c>
      <c r="E1660" s="3" t="s">
        <v>3397</v>
      </c>
      <c r="F1660" s="3" t="s">
        <v>3398</v>
      </c>
      <c r="G1660" s="3" t="s">
        <v>1515</v>
      </c>
      <c r="H1660" s="3">
        <v>0.5</v>
      </c>
      <c r="I1660" s="3">
        <v>0</v>
      </c>
      <c r="J1660" s="3" t="s">
        <v>18</v>
      </c>
      <c r="K1660" s="5">
        <v>0.06</v>
      </c>
      <c r="L1660" s="6">
        <v>4690654014148</v>
      </c>
      <c r="M1660" s="7" t="s">
        <v>3399</v>
      </c>
      <c r="N1660" s="8">
        <f>VLOOKUP(B1660,'[1]новый без картинок'!$A$5:$F$2672,6,0)</f>
        <v>546</v>
      </c>
    </row>
    <row r="1661" spans="1:14" ht="151.15" customHeight="1" x14ac:dyDescent="0.2">
      <c r="A1661" s="3">
        <v>1659</v>
      </c>
      <c r="B1661" s="3">
        <v>182159</v>
      </c>
      <c r="C1661" s="4" t="str">
        <f>HYPERLINK("http://optservis.net:5080/photo?tov_code_internet=182159","Увеличить")</f>
        <v>Увеличить</v>
      </c>
      <c r="D1661" s="3" t="s">
        <v>3400</v>
      </c>
      <c r="E1661" s="3"/>
      <c r="F1661" s="3" t="s">
        <v>3401</v>
      </c>
      <c r="G1661" s="3" t="s">
        <v>1469</v>
      </c>
      <c r="H1661" s="3">
        <v>0.5</v>
      </c>
      <c r="I1661" s="3">
        <v>0</v>
      </c>
      <c r="J1661" s="3" t="s">
        <v>18</v>
      </c>
      <c r="K1661" s="5">
        <v>0.06</v>
      </c>
      <c r="L1661" s="6">
        <v>0</v>
      </c>
      <c r="M1661" s="7" t="s">
        <v>3402</v>
      </c>
      <c r="N1661" s="8">
        <f>VLOOKUP(B1661,'[1]новый без картинок'!$A$5:$F$2672,6,0)</f>
        <v>559</v>
      </c>
    </row>
    <row r="1662" spans="1:14" ht="151.15" customHeight="1" x14ac:dyDescent="0.2">
      <c r="A1662" s="3">
        <v>1660</v>
      </c>
      <c r="B1662" s="3">
        <v>208250</v>
      </c>
      <c r="C1662" s="4" t="str">
        <f>HYPERLINK("http://optservis.net:5080/photo?tov_code_internet=208250","Увеличить")</f>
        <v>Увеличить</v>
      </c>
      <c r="D1662" s="3" t="s">
        <v>3400</v>
      </c>
      <c r="E1662" s="3"/>
      <c r="F1662" s="3" t="s">
        <v>3403</v>
      </c>
      <c r="G1662" s="3" t="s">
        <v>1469</v>
      </c>
      <c r="H1662" s="3">
        <v>0.5</v>
      </c>
      <c r="I1662" s="3">
        <v>0</v>
      </c>
      <c r="J1662" s="3" t="s">
        <v>18</v>
      </c>
      <c r="K1662" s="5">
        <v>0.05</v>
      </c>
      <c r="L1662" s="6">
        <v>0</v>
      </c>
      <c r="M1662" s="7" t="s">
        <v>3404</v>
      </c>
      <c r="N1662" s="8">
        <f>VLOOKUP(B1662,'[1]новый без картинок'!$A$5:$F$2672,6,0)</f>
        <v>521</v>
      </c>
    </row>
    <row r="1663" spans="1:14" ht="151.15" customHeight="1" x14ac:dyDescent="0.2">
      <c r="A1663" s="3">
        <v>1661</v>
      </c>
      <c r="B1663" s="3">
        <v>182109</v>
      </c>
      <c r="C1663" s="4" t="str">
        <f>HYPERLINK("http://optservis.net:5080/photo?tov_code_internet=182109","Увеличить")</f>
        <v>Увеличить</v>
      </c>
      <c r="D1663" s="3" t="s">
        <v>3400</v>
      </c>
      <c r="E1663" s="3" t="s">
        <v>3405</v>
      </c>
      <c r="F1663" s="3" t="s">
        <v>3406</v>
      </c>
      <c r="G1663" s="3" t="s">
        <v>1469</v>
      </c>
      <c r="H1663" s="3">
        <v>0.5</v>
      </c>
      <c r="I1663" s="3">
        <v>0</v>
      </c>
      <c r="J1663" s="3" t="s">
        <v>18</v>
      </c>
      <c r="K1663" s="5">
        <v>0.06</v>
      </c>
      <c r="L1663" s="6">
        <v>4690654018719</v>
      </c>
      <c r="M1663" s="7" t="s">
        <v>3404</v>
      </c>
      <c r="N1663" s="8">
        <f>VLOOKUP(B1663,'[1]новый без картинок'!$A$5:$F$2672,6,0)</f>
        <v>528</v>
      </c>
    </row>
    <row r="1664" spans="1:14" ht="151.15" customHeight="1" x14ac:dyDescent="0.2">
      <c r="A1664" s="3">
        <v>1662</v>
      </c>
      <c r="B1664" s="3">
        <v>183181</v>
      </c>
      <c r="C1664" s="4" t="str">
        <f>HYPERLINK("http://optservis.net:5080/photo?tov_code_internet=183181","Увеличить")</f>
        <v>Увеличить</v>
      </c>
      <c r="D1664" s="3" t="s">
        <v>3407</v>
      </c>
      <c r="E1664" s="3"/>
      <c r="F1664" s="3" t="s">
        <v>3408</v>
      </c>
      <c r="G1664" s="3" t="s">
        <v>1479</v>
      </c>
      <c r="H1664" s="3">
        <v>0.5</v>
      </c>
      <c r="I1664" s="3">
        <v>0</v>
      </c>
      <c r="J1664" s="3" t="s">
        <v>18</v>
      </c>
      <c r="K1664" s="5">
        <v>0.05</v>
      </c>
      <c r="L1664" s="6">
        <v>0</v>
      </c>
      <c r="M1664" s="7" t="s">
        <v>3409</v>
      </c>
      <c r="N1664" s="8">
        <f>VLOOKUP(B1664,'[1]новый без картинок'!$A$5:$F$2672,6,0)</f>
        <v>540</v>
      </c>
    </row>
    <row r="1665" spans="1:14" ht="151.15" customHeight="1" x14ac:dyDescent="0.2">
      <c r="A1665" s="3">
        <v>1663</v>
      </c>
      <c r="B1665" s="3">
        <v>182454</v>
      </c>
      <c r="C1665" s="4" t="str">
        <f>HYPERLINK("http://optservis.net:5080/photo?tov_code_internet=182454","Увеличить")</f>
        <v>Увеличить</v>
      </c>
      <c r="D1665" s="3" t="s">
        <v>3407</v>
      </c>
      <c r="E1665" s="3"/>
      <c r="F1665" s="3" t="s">
        <v>3410</v>
      </c>
      <c r="G1665" s="3" t="s">
        <v>1479</v>
      </c>
      <c r="H1665" s="3">
        <v>0.5</v>
      </c>
      <c r="I1665" s="3">
        <v>0</v>
      </c>
      <c r="J1665" s="3" t="s">
        <v>18</v>
      </c>
      <c r="K1665" s="5">
        <v>0.05</v>
      </c>
      <c r="L1665" s="6">
        <v>0</v>
      </c>
      <c r="M1665" s="7" t="s">
        <v>3409</v>
      </c>
      <c r="N1665" s="8">
        <f>VLOOKUP(B1665,'[1]новый без картинок'!$A$5:$F$2672,6,0)</f>
        <v>538</v>
      </c>
    </row>
    <row r="1666" spans="1:14" ht="149.44999999999999" customHeight="1" x14ac:dyDescent="0.2">
      <c r="A1666" s="3">
        <v>1664</v>
      </c>
      <c r="B1666" s="3">
        <v>149657</v>
      </c>
      <c r="C1666" s="4" t="str">
        <f>HYPERLINK("http://optservis.net:5080/photo?tov_code_internet=149657","Увеличить")</f>
        <v>Увеличить</v>
      </c>
      <c r="D1666" s="3" t="s">
        <v>3411</v>
      </c>
      <c r="E1666" s="3"/>
      <c r="F1666" s="3" t="s">
        <v>1322</v>
      </c>
      <c r="G1666" s="3" t="s">
        <v>373</v>
      </c>
      <c r="H1666" s="3">
        <v>0.5</v>
      </c>
      <c r="I1666" s="3">
        <v>0</v>
      </c>
      <c r="J1666" s="3" t="s">
        <v>18</v>
      </c>
      <c r="K1666" s="5">
        <v>0.11</v>
      </c>
      <c r="L1666" s="6">
        <v>0</v>
      </c>
      <c r="M1666" s="7" t="s">
        <v>3412</v>
      </c>
      <c r="N1666" s="8">
        <f>VLOOKUP(B1666,'[1]новый без картинок'!$A$5:$F$2672,6,0)</f>
        <v>199</v>
      </c>
    </row>
    <row r="1667" spans="1:14" ht="151.15" customHeight="1" x14ac:dyDescent="0.2">
      <c r="A1667" s="3">
        <v>1665</v>
      </c>
      <c r="B1667" s="3">
        <v>182108</v>
      </c>
      <c r="C1667" s="4" t="str">
        <f>HYPERLINK("http://optservis.net:5080/photo?tov_code_internet=182108","Увеличить")</f>
        <v>Увеличить</v>
      </c>
      <c r="D1667" s="3" t="s">
        <v>3413</v>
      </c>
      <c r="E1667" s="3"/>
      <c r="F1667" s="3" t="s">
        <v>348</v>
      </c>
      <c r="G1667" s="3" t="s">
        <v>1429</v>
      </c>
      <c r="H1667" s="3">
        <v>0.5</v>
      </c>
      <c r="I1667" s="3">
        <v>0</v>
      </c>
      <c r="J1667" s="3" t="s">
        <v>18</v>
      </c>
      <c r="K1667" s="5">
        <v>0.04</v>
      </c>
      <c r="L1667" s="6">
        <v>0</v>
      </c>
      <c r="M1667" s="7" t="s">
        <v>3414</v>
      </c>
      <c r="N1667" s="8">
        <f>VLOOKUP(B1667,'[1]новый без картинок'!$A$5:$F$2672,6,0)</f>
        <v>399</v>
      </c>
    </row>
    <row r="1668" spans="1:14" ht="151.15" customHeight="1" x14ac:dyDescent="0.2">
      <c r="A1668" s="3">
        <v>1666</v>
      </c>
      <c r="B1668" s="3">
        <v>183179</v>
      </c>
      <c r="C1668" s="4" t="str">
        <f>HYPERLINK("http://optservis.net:5080/photo?tov_code_internet=183179","Увеличить")</f>
        <v>Увеличить</v>
      </c>
      <c r="D1668" s="3" t="s">
        <v>3415</v>
      </c>
      <c r="E1668" s="3"/>
      <c r="F1668" s="3" t="s">
        <v>3416</v>
      </c>
      <c r="G1668" s="3" t="s">
        <v>1697</v>
      </c>
      <c r="H1668" s="3">
        <v>0.5</v>
      </c>
      <c r="I1668" s="3">
        <v>0</v>
      </c>
      <c r="J1668" s="3" t="s">
        <v>18</v>
      </c>
      <c r="K1668" s="5">
        <v>0.03</v>
      </c>
      <c r="L1668" s="6">
        <v>0</v>
      </c>
      <c r="M1668" s="7" t="s">
        <v>3417</v>
      </c>
      <c r="N1668" s="8">
        <f>VLOOKUP(B1668,'[1]новый без картинок'!$A$5:$F$2672,6,0)</f>
        <v>412</v>
      </c>
    </row>
    <row r="1669" spans="1:14" ht="151.15" customHeight="1" x14ac:dyDescent="0.2">
      <c r="A1669" s="3">
        <v>1667</v>
      </c>
      <c r="B1669" s="3">
        <v>183152</v>
      </c>
      <c r="C1669" s="4" t="str">
        <f>HYPERLINK("http://optservis.net:5080/photo?tov_code_internet=183152","Увеличить")</f>
        <v>Увеличить</v>
      </c>
      <c r="D1669" s="3" t="s">
        <v>3415</v>
      </c>
      <c r="E1669" s="3"/>
      <c r="F1669" s="3" t="s">
        <v>3418</v>
      </c>
      <c r="G1669" s="3" t="s">
        <v>1697</v>
      </c>
      <c r="H1669" s="3">
        <v>0.5</v>
      </c>
      <c r="I1669" s="3">
        <v>0</v>
      </c>
      <c r="J1669" s="3" t="s">
        <v>18</v>
      </c>
      <c r="K1669" s="5">
        <v>0.03</v>
      </c>
      <c r="L1669" s="6">
        <v>0</v>
      </c>
      <c r="M1669" s="7" t="s">
        <v>3417</v>
      </c>
      <c r="N1669" s="8">
        <f>VLOOKUP(B1669,'[1]новый без картинок'!$A$5:$F$2672,6,0)</f>
        <v>410</v>
      </c>
    </row>
    <row r="1670" spans="1:14" ht="151.15" customHeight="1" x14ac:dyDescent="0.2">
      <c r="A1670" s="3">
        <v>1668</v>
      </c>
      <c r="B1670" s="3">
        <v>198593</v>
      </c>
      <c r="C1670" s="4" t="str">
        <f>HYPERLINK("http://optservis.net:5080/photo?tov_code_internet=198593","Увеличить")</f>
        <v>Увеличить</v>
      </c>
      <c r="D1670" s="3" t="s">
        <v>3419</v>
      </c>
      <c r="E1670" s="3"/>
      <c r="F1670" s="3" t="s">
        <v>2738</v>
      </c>
      <c r="G1670" s="3" t="s">
        <v>1697</v>
      </c>
      <c r="H1670" s="3">
        <v>0.5</v>
      </c>
      <c r="I1670" s="3">
        <v>0</v>
      </c>
      <c r="J1670" s="3" t="s">
        <v>18</v>
      </c>
      <c r="K1670" s="5">
        <v>0.05</v>
      </c>
      <c r="L1670" s="6">
        <v>0</v>
      </c>
      <c r="M1670" s="7" t="s">
        <v>3420</v>
      </c>
      <c r="N1670" s="8">
        <f>VLOOKUP(B1670,'[1]новый без картинок'!$A$5:$F$2672,6,0)</f>
        <v>394</v>
      </c>
    </row>
    <row r="1671" spans="1:14" ht="151.15" customHeight="1" x14ac:dyDescent="0.2">
      <c r="A1671" s="3">
        <v>1669</v>
      </c>
      <c r="B1671" s="3">
        <v>198594</v>
      </c>
      <c r="C1671" s="4" t="str">
        <f>HYPERLINK("http://optservis.net:5080/photo?tov_code_internet=198594","Увеличить")</f>
        <v>Увеличить</v>
      </c>
      <c r="D1671" s="3" t="s">
        <v>3419</v>
      </c>
      <c r="E1671" s="3"/>
      <c r="F1671" s="3" t="s">
        <v>3421</v>
      </c>
      <c r="G1671" s="3" t="s">
        <v>1697</v>
      </c>
      <c r="H1671" s="3">
        <v>0.5</v>
      </c>
      <c r="I1671" s="3">
        <v>0</v>
      </c>
      <c r="J1671" s="3" t="s">
        <v>18</v>
      </c>
      <c r="K1671" s="5">
        <v>0.05</v>
      </c>
      <c r="L1671" s="6">
        <v>0</v>
      </c>
      <c r="M1671" s="7" t="s">
        <v>3420</v>
      </c>
      <c r="N1671" s="8">
        <f>VLOOKUP(B1671,'[1]новый без картинок'!$A$5:$F$2672,6,0)</f>
        <v>397</v>
      </c>
    </row>
    <row r="1672" spans="1:14" ht="151.15" customHeight="1" x14ac:dyDescent="0.2">
      <c r="A1672" s="3">
        <v>1670</v>
      </c>
      <c r="B1672" s="3">
        <v>198600</v>
      </c>
      <c r="C1672" s="4" t="str">
        <f>HYPERLINK("http://optservis.net:5080/photo?tov_code_internet=198600","Увеличить")</f>
        <v>Увеличить</v>
      </c>
      <c r="D1672" s="3" t="s">
        <v>3422</v>
      </c>
      <c r="E1672" s="3"/>
      <c r="F1672" s="3" t="s">
        <v>3423</v>
      </c>
      <c r="G1672" s="3" t="s">
        <v>1479</v>
      </c>
      <c r="H1672" s="3">
        <v>0.5</v>
      </c>
      <c r="I1672" s="3">
        <v>0</v>
      </c>
      <c r="J1672" s="3" t="s">
        <v>18</v>
      </c>
      <c r="K1672" s="5">
        <v>0.05</v>
      </c>
      <c r="L1672" s="6">
        <v>0</v>
      </c>
      <c r="M1672" s="7" t="s">
        <v>3424</v>
      </c>
      <c r="N1672" s="8">
        <f>VLOOKUP(B1672,'[1]новый без картинок'!$A$5:$F$2672,6,0)</f>
        <v>516</v>
      </c>
    </row>
    <row r="1673" spans="1:14" ht="151.15" customHeight="1" x14ac:dyDescent="0.2">
      <c r="A1673" s="3">
        <v>1671</v>
      </c>
      <c r="B1673" s="3">
        <v>198601</v>
      </c>
      <c r="C1673" s="4" t="str">
        <f>HYPERLINK("http://optservis.net:5080/photo?tov_code_internet=198601","Увеличить")</f>
        <v>Увеличить</v>
      </c>
      <c r="D1673" s="3" t="s">
        <v>3422</v>
      </c>
      <c r="E1673" s="3"/>
      <c r="F1673" s="3" t="s">
        <v>3425</v>
      </c>
      <c r="G1673" s="3" t="s">
        <v>1533</v>
      </c>
      <c r="H1673" s="3">
        <v>0.5</v>
      </c>
      <c r="I1673" s="3">
        <v>0</v>
      </c>
      <c r="J1673" s="3" t="s">
        <v>18</v>
      </c>
      <c r="K1673" s="5">
        <v>0.06</v>
      </c>
      <c r="L1673" s="6">
        <v>0</v>
      </c>
      <c r="M1673" s="7" t="s">
        <v>3426</v>
      </c>
      <c r="N1673" s="8">
        <f>VLOOKUP(B1673,'[1]новый без картинок'!$A$5:$F$2672,6,0)</f>
        <v>508</v>
      </c>
    </row>
    <row r="1674" spans="1:14" ht="151.15" customHeight="1" x14ac:dyDescent="0.2">
      <c r="A1674" s="3">
        <v>1672</v>
      </c>
      <c r="B1674" s="3">
        <v>198599</v>
      </c>
      <c r="C1674" s="4" t="str">
        <f>HYPERLINK("http://optservis.net:5080/photo?tov_code_internet=198599","Увеличить")</f>
        <v>Увеличить</v>
      </c>
      <c r="D1674" s="3" t="s">
        <v>3427</v>
      </c>
      <c r="E1674" s="3"/>
      <c r="F1674" s="3" t="s">
        <v>3428</v>
      </c>
      <c r="G1674" s="3" t="s">
        <v>1479</v>
      </c>
      <c r="H1674" s="3">
        <v>0.5</v>
      </c>
      <c r="I1674" s="3">
        <v>0</v>
      </c>
      <c r="J1674" s="3" t="s">
        <v>18</v>
      </c>
      <c r="K1674" s="5">
        <v>0.06</v>
      </c>
      <c r="L1674" s="6">
        <v>0</v>
      </c>
      <c r="M1674" s="7" t="s">
        <v>3429</v>
      </c>
      <c r="N1674" s="8">
        <f>VLOOKUP(B1674,'[1]новый без картинок'!$A$5:$F$2672,6,0)</f>
        <v>524</v>
      </c>
    </row>
    <row r="1675" spans="1:14" ht="151.15" customHeight="1" x14ac:dyDescent="0.2">
      <c r="A1675" s="3">
        <v>1673</v>
      </c>
      <c r="B1675" s="3">
        <v>198598</v>
      </c>
      <c r="C1675" s="4" t="str">
        <f>HYPERLINK("http://optservis.net:5080/photo?tov_code_internet=198598","Увеличить")</f>
        <v>Увеличить</v>
      </c>
      <c r="D1675" s="3" t="s">
        <v>3430</v>
      </c>
      <c r="E1675" s="3"/>
      <c r="F1675" s="3" t="s">
        <v>3431</v>
      </c>
      <c r="G1675" s="3" t="s">
        <v>1479</v>
      </c>
      <c r="H1675" s="3">
        <v>0.5</v>
      </c>
      <c r="I1675" s="3">
        <v>0</v>
      </c>
      <c r="J1675" s="3" t="s">
        <v>18</v>
      </c>
      <c r="K1675" s="5">
        <v>0.06</v>
      </c>
      <c r="L1675" s="6">
        <v>0</v>
      </c>
      <c r="M1675" s="7" t="s">
        <v>3432</v>
      </c>
      <c r="N1675" s="8">
        <f>VLOOKUP(B1675,'[1]новый без картинок'!$A$5:$F$2672,6,0)</f>
        <v>521</v>
      </c>
    </row>
    <row r="1676" spans="1:14" ht="151.15" customHeight="1" x14ac:dyDescent="0.2">
      <c r="A1676" s="3">
        <v>1674</v>
      </c>
      <c r="B1676" s="3">
        <v>206788</v>
      </c>
      <c r="C1676" s="4" t="str">
        <f>HYPERLINK("http://optservis.net:5080/photo?tov_code_internet=206788","Увеличить")</f>
        <v>Увеличить</v>
      </c>
      <c r="D1676" s="3" t="s">
        <v>3433</v>
      </c>
      <c r="E1676" s="3"/>
      <c r="F1676" s="3" t="s">
        <v>1894</v>
      </c>
      <c r="G1676" s="3" t="s">
        <v>1469</v>
      </c>
      <c r="H1676" s="3">
        <v>0.5</v>
      </c>
      <c r="I1676" s="3">
        <v>0</v>
      </c>
      <c r="J1676" s="3" t="s">
        <v>18</v>
      </c>
      <c r="K1676" s="5">
        <v>0.08</v>
      </c>
      <c r="L1676" s="6">
        <v>0</v>
      </c>
      <c r="M1676" s="7" t="s">
        <v>2778</v>
      </c>
      <c r="N1676" s="8">
        <f>VLOOKUP(B1676,'[1]новый без картинок'!$A$5:$F$2672,6,0)</f>
        <v>650</v>
      </c>
    </row>
    <row r="1677" spans="1:14" ht="151.15" customHeight="1" x14ac:dyDescent="0.2">
      <c r="A1677" s="3">
        <v>1675</v>
      </c>
      <c r="B1677" s="3">
        <v>206791</v>
      </c>
      <c r="C1677" s="4" t="str">
        <f>HYPERLINK("http://optservis.net:5080/photo?tov_code_internet=206791","Увеличить")</f>
        <v>Увеличить</v>
      </c>
      <c r="D1677" s="3" t="s">
        <v>3434</v>
      </c>
      <c r="E1677" s="3"/>
      <c r="F1677" s="3" t="s">
        <v>1874</v>
      </c>
      <c r="G1677" s="3" t="s">
        <v>430</v>
      </c>
      <c r="H1677" s="3">
        <v>0.5</v>
      </c>
      <c r="I1677" s="3">
        <v>0</v>
      </c>
      <c r="J1677" s="3" t="s">
        <v>18</v>
      </c>
      <c r="K1677" s="5">
        <v>0.19</v>
      </c>
      <c r="L1677" s="6">
        <v>0</v>
      </c>
      <c r="M1677" s="7" t="s">
        <v>1875</v>
      </c>
      <c r="N1677" s="8">
        <f>VLOOKUP(B1677,'[1]новый без картинок'!$A$5:$F$2672,6,0)</f>
        <v>484</v>
      </c>
    </row>
    <row r="1678" spans="1:14" ht="151.15" customHeight="1" x14ac:dyDescent="0.2">
      <c r="A1678" s="3">
        <v>1676</v>
      </c>
      <c r="B1678" s="3">
        <v>206783</v>
      </c>
      <c r="C1678" s="4" t="str">
        <f>HYPERLINK("http://optservis.net:5080/photo?tov_code_internet=206783","Увеличить")</f>
        <v>Увеличить</v>
      </c>
      <c r="D1678" s="3" t="s">
        <v>3435</v>
      </c>
      <c r="E1678" s="3"/>
      <c r="F1678" s="3" t="s">
        <v>3436</v>
      </c>
      <c r="G1678" s="3" t="s">
        <v>1479</v>
      </c>
      <c r="H1678" s="3">
        <v>0.5</v>
      </c>
      <c r="I1678" s="3">
        <v>0</v>
      </c>
      <c r="J1678" s="3" t="s">
        <v>18</v>
      </c>
      <c r="K1678" s="5">
        <v>7.0000000000000007E-2</v>
      </c>
      <c r="L1678" s="6">
        <v>0</v>
      </c>
      <c r="M1678" s="7" t="s">
        <v>2782</v>
      </c>
      <c r="N1678" s="8">
        <f>VLOOKUP(B1678,'[1]новый без картинок'!$A$5:$F$2672,6,0)</f>
        <v>627</v>
      </c>
    </row>
    <row r="1679" spans="1:14" ht="151.15" customHeight="1" x14ac:dyDescent="0.2">
      <c r="A1679" s="3">
        <v>1677</v>
      </c>
      <c r="B1679" s="3">
        <v>211164</v>
      </c>
      <c r="C1679" s="4" t="str">
        <f>HYPERLINK("http://optservis.net:5080/photo?tov_code_internet=211164","Увеличить")</f>
        <v>Увеличить</v>
      </c>
      <c r="D1679" s="3" t="s">
        <v>3437</v>
      </c>
      <c r="E1679" s="3"/>
      <c r="F1679" s="3" t="s">
        <v>1909</v>
      </c>
      <c r="G1679" s="3" t="s">
        <v>1101</v>
      </c>
      <c r="H1679" s="3">
        <v>0.5</v>
      </c>
      <c r="I1679" s="3">
        <v>0</v>
      </c>
      <c r="J1679" s="3" t="s">
        <v>18</v>
      </c>
      <c r="K1679" s="5">
        <v>7.0000000000000007E-2</v>
      </c>
      <c r="L1679" s="6">
        <v>0</v>
      </c>
      <c r="M1679" s="7" t="s">
        <v>3438</v>
      </c>
      <c r="N1679" s="8">
        <f>VLOOKUP(B1679,'[1]новый без картинок'!$A$5:$F$2672,6,0)</f>
        <v>406</v>
      </c>
    </row>
    <row r="1680" spans="1:14" ht="151.15" customHeight="1" x14ac:dyDescent="0.2">
      <c r="A1680" s="3">
        <v>1678</v>
      </c>
      <c r="B1680" s="3">
        <v>211165</v>
      </c>
      <c r="C1680" s="4" t="str">
        <f>HYPERLINK("http://optservis.net:5080/photo?tov_code_internet=211165","Увеличить")</f>
        <v>Увеличить</v>
      </c>
      <c r="D1680" s="3" t="s">
        <v>3437</v>
      </c>
      <c r="E1680" s="3"/>
      <c r="F1680" s="3" t="s">
        <v>1907</v>
      </c>
      <c r="G1680" s="3" t="s">
        <v>430</v>
      </c>
      <c r="H1680" s="3">
        <v>0.5</v>
      </c>
      <c r="I1680" s="3">
        <v>0</v>
      </c>
      <c r="J1680" s="3" t="s">
        <v>18</v>
      </c>
      <c r="K1680" s="5">
        <v>7.0000000000000007E-2</v>
      </c>
      <c r="L1680" s="6">
        <v>0</v>
      </c>
      <c r="M1680" s="7" t="s">
        <v>3439</v>
      </c>
      <c r="N1680" s="8">
        <f>VLOOKUP(B1680,'[1]новый без картинок'!$A$5:$F$2672,6,0)</f>
        <v>399</v>
      </c>
    </row>
    <row r="1681" spans="1:14" ht="151.15" customHeight="1" x14ac:dyDescent="0.2">
      <c r="A1681" s="3">
        <v>1679</v>
      </c>
      <c r="B1681" s="3">
        <v>206745</v>
      </c>
      <c r="C1681" s="4" t="str">
        <f>HYPERLINK("http://optservis.net:5080/photo?tov_code_internet=206745","Увеличить")</f>
        <v>Увеличить</v>
      </c>
      <c r="D1681" s="3" t="s">
        <v>3440</v>
      </c>
      <c r="E1681" s="3"/>
      <c r="F1681" s="3" t="s">
        <v>3441</v>
      </c>
      <c r="G1681" s="3" t="s">
        <v>1469</v>
      </c>
      <c r="H1681" s="3">
        <v>0.5</v>
      </c>
      <c r="I1681" s="3">
        <v>0</v>
      </c>
      <c r="J1681" s="3" t="s">
        <v>18</v>
      </c>
      <c r="K1681" s="5">
        <v>0.08</v>
      </c>
      <c r="L1681" s="6">
        <v>0</v>
      </c>
      <c r="M1681" s="7" t="s">
        <v>2778</v>
      </c>
      <c r="N1681" s="8">
        <f>VLOOKUP(B1681,'[1]новый без картинок'!$A$5:$F$2672,6,0)</f>
        <v>599</v>
      </c>
    </row>
    <row r="1682" spans="1:14" ht="151.15" customHeight="1" x14ac:dyDescent="0.2">
      <c r="A1682" s="3">
        <v>1680</v>
      </c>
      <c r="B1682" s="3">
        <v>206389</v>
      </c>
      <c r="C1682" s="4" t="str">
        <f>HYPERLINK("http://optservis.net:5080/photo?tov_code_internet=206389","Увеличить")</f>
        <v>Увеличить</v>
      </c>
      <c r="D1682" s="3" t="s">
        <v>3440</v>
      </c>
      <c r="E1682" s="3" t="s">
        <v>3442</v>
      </c>
      <c r="F1682" s="3" t="s">
        <v>3443</v>
      </c>
      <c r="G1682" s="3" t="s">
        <v>1515</v>
      </c>
      <c r="H1682" s="3">
        <v>0.5</v>
      </c>
      <c r="I1682" s="3">
        <v>0</v>
      </c>
      <c r="J1682" s="3" t="s">
        <v>18</v>
      </c>
      <c r="K1682" s="5">
        <v>0.08</v>
      </c>
      <c r="L1682" s="6">
        <v>4690654018887</v>
      </c>
      <c r="M1682" s="7" t="s">
        <v>2800</v>
      </c>
      <c r="N1682" s="8">
        <f>VLOOKUP(B1682,'[1]новый без картинок'!$A$5:$F$2672,6,0)</f>
        <v>606</v>
      </c>
    </row>
    <row r="1683" spans="1:14" ht="151.15" customHeight="1" x14ac:dyDescent="0.2">
      <c r="A1683" s="3">
        <v>1681</v>
      </c>
      <c r="B1683" s="3">
        <v>206386</v>
      </c>
      <c r="C1683" s="4" t="str">
        <f>HYPERLINK("http://optservis.net:5080/photo?tov_code_internet=206386","Увеличить")</f>
        <v>Увеличить</v>
      </c>
      <c r="D1683" s="3" t="s">
        <v>3444</v>
      </c>
      <c r="E1683" s="3"/>
      <c r="F1683" s="3" t="s">
        <v>1913</v>
      </c>
      <c r="G1683" s="3" t="s">
        <v>1101</v>
      </c>
      <c r="H1683" s="3">
        <v>0.5</v>
      </c>
      <c r="I1683" s="3">
        <v>0</v>
      </c>
      <c r="J1683" s="3" t="s">
        <v>18</v>
      </c>
      <c r="K1683" s="5">
        <v>0.19</v>
      </c>
      <c r="L1683" s="6">
        <v>0</v>
      </c>
      <c r="M1683" s="7" t="s">
        <v>1910</v>
      </c>
      <c r="N1683" s="8">
        <f>VLOOKUP(B1683,'[1]новый без картинок'!$A$5:$F$2672,6,0)</f>
        <v>450</v>
      </c>
    </row>
    <row r="1684" spans="1:14" ht="151.15" customHeight="1" x14ac:dyDescent="0.2">
      <c r="A1684" s="3">
        <v>1682</v>
      </c>
      <c r="B1684" s="3">
        <v>206742</v>
      </c>
      <c r="C1684" s="4" t="str">
        <f>HYPERLINK("http://optservis.net:5080/photo?tov_code_internet=206742","Увеличить")</f>
        <v>Увеличить</v>
      </c>
      <c r="D1684" s="3" t="s">
        <v>3444</v>
      </c>
      <c r="E1684" s="3"/>
      <c r="F1684" s="3" t="s">
        <v>1929</v>
      </c>
      <c r="G1684" s="3" t="s">
        <v>430</v>
      </c>
      <c r="H1684" s="3">
        <v>0.5</v>
      </c>
      <c r="I1684" s="3">
        <v>0</v>
      </c>
      <c r="J1684" s="3" t="s">
        <v>18</v>
      </c>
      <c r="K1684" s="5">
        <v>0.19</v>
      </c>
      <c r="L1684" s="6">
        <v>0</v>
      </c>
      <c r="M1684" s="7" t="s">
        <v>1875</v>
      </c>
      <c r="N1684" s="8">
        <f>VLOOKUP(B1684,'[1]новый без картинок'!$A$5:$F$2672,6,0)</f>
        <v>443</v>
      </c>
    </row>
    <row r="1685" spans="1:14" ht="151.15" customHeight="1" x14ac:dyDescent="0.2">
      <c r="A1685" s="3">
        <v>1683</v>
      </c>
      <c r="B1685" s="3">
        <v>206391</v>
      </c>
      <c r="C1685" s="4" t="str">
        <f>HYPERLINK("http://optservis.net:5080/photo?tov_code_internet=206391","Увеличить")</f>
        <v>Увеличить</v>
      </c>
      <c r="D1685" s="3" t="s">
        <v>3445</v>
      </c>
      <c r="E1685" s="3"/>
      <c r="F1685" s="3" t="s">
        <v>3446</v>
      </c>
      <c r="G1685" s="3" t="s">
        <v>1533</v>
      </c>
      <c r="H1685" s="3">
        <v>0.5</v>
      </c>
      <c r="I1685" s="3">
        <v>0</v>
      </c>
      <c r="J1685" s="3" t="s">
        <v>18</v>
      </c>
      <c r="K1685" s="5">
        <v>7.0000000000000007E-2</v>
      </c>
      <c r="L1685" s="6">
        <v>0</v>
      </c>
      <c r="M1685" s="7" t="s">
        <v>2807</v>
      </c>
      <c r="N1685" s="8">
        <f>VLOOKUP(B1685,'[1]новый без картинок'!$A$5:$F$2672,6,0)</f>
        <v>585</v>
      </c>
    </row>
    <row r="1686" spans="1:14" ht="151.15" customHeight="1" x14ac:dyDescent="0.2">
      <c r="A1686" s="3">
        <v>1684</v>
      </c>
      <c r="B1686" s="3">
        <v>206748</v>
      </c>
      <c r="C1686" s="4" t="str">
        <f>HYPERLINK("http://optservis.net:5080/photo?tov_code_internet=206748","Увеличить")</f>
        <v>Увеличить</v>
      </c>
      <c r="D1686" s="3" t="s">
        <v>3445</v>
      </c>
      <c r="E1686" s="3"/>
      <c r="F1686" s="3" t="s">
        <v>3447</v>
      </c>
      <c r="G1686" s="3" t="s">
        <v>1479</v>
      </c>
      <c r="H1686" s="3">
        <v>0.5</v>
      </c>
      <c r="I1686" s="3">
        <v>0</v>
      </c>
      <c r="J1686" s="3" t="s">
        <v>18</v>
      </c>
      <c r="K1686" s="5">
        <v>7.0000000000000007E-2</v>
      </c>
      <c r="L1686" s="6">
        <v>0</v>
      </c>
      <c r="M1686" s="7" t="s">
        <v>2782</v>
      </c>
      <c r="N1686" s="8">
        <f>VLOOKUP(B1686,'[1]новый без картинок'!$A$5:$F$2672,6,0)</f>
        <v>576</v>
      </c>
    </row>
    <row r="1687" spans="1:14" ht="151.15" customHeight="1" x14ac:dyDescent="0.2">
      <c r="A1687" s="3">
        <v>1685</v>
      </c>
      <c r="B1687" s="3">
        <v>206749</v>
      </c>
      <c r="C1687" s="4" t="str">
        <f>HYPERLINK("http://optservis.net:5080/photo?tov_code_internet=206749","Увеличить")</f>
        <v>Увеличить</v>
      </c>
      <c r="D1687" s="3" t="s">
        <v>3448</v>
      </c>
      <c r="E1687" s="3"/>
      <c r="F1687" s="3" t="s">
        <v>3449</v>
      </c>
      <c r="G1687" s="3" t="s">
        <v>1479</v>
      </c>
      <c r="H1687" s="3">
        <v>0.5</v>
      </c>
      <c r="I1687" s="3">
        <v>0</v>
      </c>
      <c r="J1687" s="3" t="s">
        <v>18</v>
      </c>
      <c r="K1687" s="5">
        <v>0.08</v>
      </c>
      <c r="L1687" s="6">
        <v>0</v>
      </c>
      <c r="M1687" s="7" t="s">
        <v>2788</v>
      </c>
      <c r="N1687" s="8">
        <f>VLOOKUP(B1687,'[1]новый без картинок'!$A$5:$F$2672,6,0)</f>
        <v>562</v>
      </c>
    </row>
    <row r="1688" spans="1:14" ht="151.15" customHeight="1" x14ac:dyDescent="0.2">
      <c r="A1688" s="3">
        <v>1686</v>
      </c>
      <c r="B1688" s="3">
        <v>211162</v>
      </c>
      <c r="C1688" s="4" t="str">
        <f>HYPERLINK("http://optservis.net:5080/photo?tov_code_internet=211162","Увеличить")</f>
        <v>Увеличить</v>
      </c>
      <c r="D1688" s="3" t="s">
        <v>3450</v>
      </c>
      <c r="E1688" s="3"/>
      <c r="F1688" s="3" t="s">
        <v>422</v>
      </c>
      <c r="G1688" s="3" t="s">
        <v>430</v>
      </c>
      <c r="H1688" s="3">
        <v>0.5</v>
      </c>
      <c r="I1688" s="3">
        <v>0</v>
      </c>
      <c r="J1688" s="3" t="s">
        <v>18</v>
      </c>
      <c r="K1688" s="5">
        <v>0.05</v>
      </c>
      <c r="L1688" s="6">
        <v>0</v>
      </c>
      <c r="M1688" s="7" t="s">
        <v>3451</v>
      </c>
      <c r="N1688" s="8">
        <f>VLOOKUP(B1688,'[1]новый без картинок'!$A$5:$F$2672,6,0)</f>
        <v>372</v>
      </c>
    </row>
    <row r="1689" spans="1:14" ht="151.15" customHeight="1" x14ac:dyDescent="0.2">
      <c r="A1689" s="3">
        <v>1687</v>
      </c>
      <c r="B1689" s="3">
        <v>191755</v>
      </c>
      <c r="C1689" s="4" t="str">
        <f>HYPERLINK("http://optservis.net:5080/photo?tov_code_internet=191755","Увеличить")</f>
        <v>Увеличить</v>
      </c>
      <c r="D1689" s="3" t="s">
        <v>3452</v>
      </c>
      <c r="E1689" s="3"/>
      <c r="F1689" s="3" t="s">
        <v>1952</v>
      </c>
      <c r="G1689" s="3" t="s">
        <v>430</v>
      </c>
      <c r="H1689" s="3">
        <v>0.5</v>
      </c>
      <c r="I1689" s="3">
        <v>0</v>
      </c>
      <c r="J1689" s="3" t="s">
        <v>18</v>
      </c>
      <c r="K1689" s="5">
        <v>0.13</v>
      </c>
      <c r="L1689" s="6">
        <v>0</v>
      </c>
      <c r="M1689" s="7" t="s">
        <v>3133</v>
      </c>
      <c r="N1689" s="8">
        <f>VLOOKUP(B1689,'[1]новый без картинок'!$A$5:$F$2672,6,0)</f>
        <v>335</v>
      </c>
    </row>
    <row r="1690" spans="1:14" ht="151.15" customHeight="1" x14ac:dyDescent="0.2">
      <c r="A1690" s="3">
        <v>1688</v>
      </c>
      <c r="B1690" s="3">
        <v>194123</v>
      </c>
      <c r="C1690" s="4" t="str">
        <f>HYPERLINK("http://optservis.net:5080/photo?tov_code_internet=194123","Увеличить")</f>
        <v>Увеличить</v>
      </c>
      <c r="D1690" s="3" t="s">
        <v>3452</v>
      </c>
      <c r="E1690" s="3" t="s">
        <v>3453</v>
      </c>
      <c r="F1690" s="3" t="s">
        <v>422</v>
      </c>
      <c r="G1690" s="3" t="s">
        <v>430</v>
      </c>
      <c r="H1690" s="3">
        <v>0.5</v>
      </c>
      <c r="I1690" s="3">
        <v>0</v>
      </c>
      <c r="J1690" s="3" t="s">
        <v>18</v>
      </c>
      <c r="K1690" s="5">
        <v>0.13</v>
      </c>
      <c r="L1690" s="6">
        <v>4690654016814</v>
      </c>
      <c r="M1690" s="7" t="s">
        <v>3141</v>
      </c>
      <c r="N1690" s="8">
        <f>VLOOKUP(B1690,'[1]новый без картинок'!$A$5:$F$2672,6,0)</f>
        <v>338</v>
      </c>
    </row>
    <row r="1691" spans="1:14" ht="151.15" customHeight="1" x14ac:dyDescent="0.2">
      <c r="A1691" s="3">
        <v>1689</v>
      </c>
      <c r="B1691" s="3">
        <v>191761</v>
      </c>
      <c r="C1691" s="4" t="str">
        <f>HYPERLINK("http://optservis.net:5080/photo?tov_code_internet=191761","Увеличить")</f>
        <v>Увеличить</v>
      </c>
      <c r="D1691" s="3" t="s">
        <v>3454</v>
      </c>
      <c r="E1691" s="3"/>
      <c r="F1691" s="3" t="s">
        <v>1952</v>
      </c>
      <c r="G1691" s="3" t="s">
        <v>430</v>
      </c>
      <c r="H1691" s="3">
        <v>0.5</v>
      </c>
      <c r="I1691" s="3">
        <v>0</v>
      </c>
      <c r="J1691" s="3" t="s">
        <v>18</v>
      </c>
      <c r="K1691" s="5">
        <v>0.16</v>
      </c>
      <c r="L1691" s="6">
        <v>0</v>
      </c>
      <c r="M1691" s="7" t="s">
        <v>3142</v>
      </c>
      <c r="N1691" s="8">
        <f>VLOOKUP(B1691,'[1]новый без картинок'!$A$5:$F$2672,6,0)</f>
        <v>403</v>
      </c>
    </row>
    <row r="1692" spans="1:14" ht="151.15" customHeight="1" x14ac:dyDescent="0.2">
      <c r="A1692" s="3">
        <v>1690</v>
      </c>
      <c r="B1692" s="3">
        <v>191763</v>
      </c>
      <c r="C1692" s="4" t="str">
        <f>HYPERLINK("http://optservis.net:5080/photo?tov_code_internet=191763","Увеличить")</f>
        <v>Увеличить</v>
      </c>
      <c r="D1692" s="3" t="s">
        <v>3455</v>
      </c>
      <c r="E1692" s="3"/>
      <c r="F1692" s="3" t="s">
        <v>3456</v>
      </c>
      <c r="G1692" s="3" t="s">
        <v>1479</v>
      </c>
      <c r="H1692" s="3">
        <v>0.5</v>
      </c>
      <c r="I1692" s="3">
        <v>0</v>
      </c>
      <c r="J1692" s="3" t="s">
        <v>18</v>
      </c>
      <c r="K1692" s="5">
        <v>0.05</v>
      </c>
      <c r="L1692" s="6">
        <v>0</v>
      </c>
      <c r="M1692" s="7" t="s">
        <v>3145</v>
      </c>
      <c r="N1692" s="8">
        <f>VLOOKUP(B1692,'[1]новый без картинок'!$A$5:$F$2672,6,0)</f>
        <v>545</v>
      </c>
    </row>
    <row r="1693" spans="1:14" ht="151.15" customHeight="1" x14ac:dyDescent="0.2">
      <c r="A1693" s="3">
        <v>1691</v>
      </c>
      <c r="B1693" s="3">
        <v>194128</v>
      </c>
      <c r="C1693" s="4" t="str">
        <f>HYPERLINK("http://optservis.net:5080/photo?tov_code_internet=194128","Увеличить")</f>
        <v>Увеличить</v>
      </c>
      <c r="D1693" s="3" t="s">
        <v>3457</v>
      </c>
      <c r="E1693" s="3"/>
      <c r="F1693" s="3" t="s">
        <v>3458</v>
      </c>
      <c r="G1693" s="3" t="s">
        <v>1045</v>
      </c>
      <c r="H1693" s="3">
        <v>0.5</v>
      </c>
      <c r="I1693" s="3">
        <v>0</v>
      </c>
      <c r="J1693" s="3" t="s">
        <v>18</v>
      </c>
      <c r="K1693" s="5">
        <v>0.04</v>
      </c>
      <c r="L1693" s="6">
        <v>0</v>
      </c>
      <c r="M1693" s="7" t="s">
        <v>3459</v>
      </c>
      <c r="N1693" s="8">
        <f>VLOOKUP(B1693,'[1]новый без картинок'!$A$5:$F$2672,6,0)</f>
        <v>660</v>
      </c>
    </row>
    <row r="1694" spans="1:14" ht="151.15" customHeight="1" x14ac:dyDescent="0.2">
      <c r="A1694" s="3">
        <v>1692</v>
      </c>
      <c r="B1694" s="3">
        <v>199134</v>
      </c>
      <c r="C1694" s="4" t="str">
        <f>HYPERLINK("http://optservis.net:5080/photo?tov_code_internet=199134","Увеличить")</f>
        <v>Увеличить</v>
      </c>
      <c r="D1694" s="3" t="s">
        <v>3460</v>
      </c>
      <c r="E1694" s="3"/>
      <c r="F1694" s="3" t="s">
        <v>3461</v>
      </c>
      <c r="G1694" s="3" t="s">
        <v>1479</v>
      </c>
      <c r="H1694" s="3">
        <v>0.5</v>
      </c>
      <c r="I1694" s="3">
        <v>0</v>
      </c>
      <c r="J1694" s="3" t="s">
        <v>18</v>
      </c>
      <c r="K1694" s="5">
        <v>0.06</v>
      </c>
      <c r="L1694" s="6">
        <v>0</v>
      </c>
      <c r="M1694" s="7" t="s">
        <v>3462</v>
      </c>
      <c r="N1694" s="8">
        <f>VLOOKUP(B1694,'[1]новый без картинок'!$A$5:$F$2672,6,0)</f>
        <v>530</v>
      </c>
    </row>
    <row r="1695" spans="1:14" ht="151.15" customHeight="1" x14ac:dyDescent="0.2">
      <c r="A1695" s="3">
        <v>1693</v>
      </c>
      <c r="B1695" s="3">
        <v>182154</v>
      </c>
      <c r="C1695" s="4" t="str">
        <f>HYPERLINK("http://optservis.net:5080/photo?tov_code_internet=182154","Увеличить")</f>
        <v>Увеличить</v>
      </c>
      <c r="D1695" s="3" t="s">
        <v>3463</v>
      </c>
      <c r="E1695" s="3" t="s">
        <v>3464</v>
      </c>
      <c r="F1695" s="3" t="s">
        <v>3465</v>
      </c>
      <c r="G1695" s="3" t="s">
        <v>1469</v>
      </c>
      <c r="H1695" s="3">
        <v>0.5</v>
      </c>
      <c r="I1695" s="3">
        <v>0</v>
      </c>
      <c r="J1695" s="3" t="s">
        <v>18</v>
      </c>
      <c r="K1695" s="5">
        <v>0.06</v>
      </c>
      <c r="L1695" s="6">
        <v>4690654014407</v>
      </c>
      <c r="M1695" s="7" t="s">
        <v>3466</v>
      </c>
      <c r="N1695" s="8">
        <f>VLOOKUP(B1695,'[1]новый без картинок'!$A$5:$F$2672,6,0)</f>
        <v>512</v>
      </c>
    </row>
    <row r="1696" spans="1:14" ht="151.15" customHeight="1" x14ac:dyDescent="0.2">
      <c r="A1696" s="3">
        <v>1694</v>
      </c>
      <c r="B1696" s="3">
        <v>194435</v>
      </c>
      <c r="C1696" s="4" t="str">
        <f>HYPERLINK("http://optservis.net:5080/photo?tov_code_internet=194435","Увеличить")</f>
        <v>Увеличить</v>
      </c>
      <c r="D1696" s="3" t="s">
        <v>3467</v>
      </c>
      <c r="E1696" s="3"/>
      <c r="F1696" s="3" t="s">
        <v>2004</v>
      </c>
      <c r="G1696" s="3" t="s">
        <v>2001</v>
      </c>
      <c r="H1696" s="3">
        <v>0.5</v>
      </c>
      <c r="I1696" s="3">
        <v>0</v>
      </c>
      <c r="J1696" s="3" t="s">
        <v>18</v>
      </c>
      <c r="K1696" s="5">
        <v>0.16</v>
      </c>
      <c r="L1696" s="6">
        <v>0</v>
      </c>
      <c r="M1696" s="7" t="s">
        <v>2822</v>
      </c>
      <c r="N1696" s="8">
        <f>VLOOKUP(B1696,'[1]новый без картинок'!$A$5:$F$2672,6,0)</f>
        <v>423</v>
      </c>
    </row>
    <row r="1697" spans="1:14" ht="149.44999999999999" customHeight="1" x14ac:dyDescent="0.2">
      <c r="A1697" s="3">
        <v>1695</v>
      </c>
      <c r="B1697" s="3">
        <v>189684</v>
      </c>
      <c r="C1697" s="4" t="str">
        <f>HYPERLINK("http://optservis.net:5080/photo?tov_code_internet=189684","Увеличить")</f>
        <v>Увеличить</v>
      </c>
      <c r="D1697" s="3" t="s">
        <v>3468</v>
      </c>
      <c r="E1697" s="3" t="s">
        <v>3469</v>
      </c>
      <c r="F1697" s="3" t="s">
        <v>2018</v>
      </c>
      <c r="G1697" s="3" t="s">
        <v>430</v>
      </c>
      <c r="H1697" s="3">
        <v>0.5</v>
      </c>
      <c r="I1697" s="3">
        <v>0</v>
      </c>
      <c r="J1697" s="3" t="s">
        <v>18</v>
      </c>
      <c r="K1697" s="5">
        <v>0.16</v>
      </c>
      <c r="L1697" s="6">
        <v>4690654017019</v>
      </c>
      <c r="M1697" s="7" t="s">
        <v>3470</v>
      </c>
      <c r="N1697" s="8">
        <f>VLOOKUP(B1697,'[1]новый без картинок'!$A$5:$F$2672,6,0)</f>
        <v>381</v>
      </c>
    </row>
    <row r="1698" spans="1:14" ht="151.15" customHeight="1" x14ac:dyDescent="0.2">
      <c r="A1698" s="3">
        <v>1696</v>
      </c>
      <c r="B1698" s="3">
        <v>183146</v>
      </c>
      <c r="C1698" s="4" t="str">
        <f>HYPERLINK("http://optservis.net:5080/photo?tov_code_internet=183146","Увеличить")</f>
        <v>Увеличить</v>
      </c>
      <c r="D1698" s="3" t="s">
        <v>3471</v>
      </c>
      <c r="E1698" s="3"/>
      <c r="F1698" s="3" t="s">
        <v>3472</v>
      </c>
      <c r="G1698" s="3" t="s">
        <v>1479</v>
      </c>
      <c r="H1698" s="3">
        <v>0.5</v>
      </c>
      <c r="I1698" s="3">
        <v>0</v>
      </c>
      <c r="J1698" s="3" t="s">
        <v>18</v>
      </c>
      <c r="K1698" s="5">
        <v>0.05</v>
      </c>
      <c r="L1698" s="6">
        <v>0</v>
      </c>
      <c r="M1698" s="7" t="s">
        <v>3473</v>
      </c>
      <c r="N1698" s="8">
        <f>VLOOKUP(B1698,'[1]новый без картинок'!$A$5:$F$2672,6,0)</f>
        <v>523</v>
      </c>
    </row>
    <row r="1699" spans="1:14" ht="151.15" customHeight="1" x14ac:dyDescent="0.2">
      <c r="A1699" s="3">
        <v>1697</v>
      </c>
      <c r="B1699" s="3">
        <v>199133</v>
      </c>
      <c r="C1699" s="4" t="str">
        <f>HYPERLINK("http://optservis.net:5080/photo?tov_code_internet=199133","Увеличить")</f>
        <v>Увеличить</v>
      </c>
      <c r="D1699" s="3" t="s">
        <v>3474</v>
      </c>
      <c r="E1699" s="3"/>
      <c r="F1699" s="3" t="s">
        <v>3475</v>
      </c>
      <c r="G1699" s="3" t="s">
        <v>2036</v>
      </c>
      <c r="H1699" s="3">
        <v>0.5</v>
      </c>
      <c r="I1699" s="3">
        <v>0</v>
      </c>
      <c r="J1699" s="3" t="s">
        <v>18</v>
      </c>
      <c r="K1699" s="5">
        <v>0.06</v>
      </c>
      <c r="L1699" s="6">
        <v>0</v>
      </c>
      <c r="M1699" s="7" t="s">
        <v>3476</v>
      </c>
      <c r="N1699" s="8">
        <f>VLOOKUP(B1699,'[1]новый без картинок'!$A$5:$F$2672,6,0)</f>
        <v>541</v>
      </c>
    </row>
    <row r="1700" spans="1:14" ht="151.15" customHeight="1" x14ac:dyDescent="0.2">
      <c r="A1700" s="3">
        <v>1698</v>
      </c>
      <c r="B1700" s="3">
        <v>199136</v>
      </c>
      <c r="C1700" s="4" t="str">
        <f>HYPERLINK("http://optservis.net:5080/photo?tov_code_internet=199136","Увеличить")</f>
        <v>Увеличить</v>
      </c>
      <c r="D1700" s="3" t="s">
        <v>3474</v>
      </c>
      <c r="E1700" s="3" t="s">
        <v>3477</v>
      </c>
      <c r="F1700" s="3" t="s">
        <v>3478</v>
      </c>
      <c r="G1700" s="3" t="s">
        <v>1479</v>
      </c>
      <c r="H1700" s="3">
        <v>0.5</v>
      </c>
      <c r="I1700" s="3">
        <v>0</v>
      </c>
      <c r="J1700" s="3" t="s">
        <v>18</v>
      </c>
      <c r="K1700" s="5">
        <v>0.06</v>
      </c>
      <c r="L1700" s="6">
        <v>4690654018900</v>
      </c>
      <c r="M1700" s="7" t="s">
        <v>3479</v>
      </c>
      <c r="N1700" s="8">
        <f>VLOOKUP(B1700,'[1]новый без картинок'!$A$5:$F$2672,6,0)</f>
        <v>508</v>
      </c>
    </row>
    <row r="1701" spans="1:14" ht="151.15" customHeight="1" x14ac:dyDescent="0.2">
      <c r="A1701" s="3">
        <v>1699</v>
      </c>
      <c r="B1701" s="3">
        <v>211160</v>
      </c>
      <c r="C1701" s="4" t="str">
        <f>HYPERLINK("http://optservis.net:5080/photo?tov_code_internet=211160","Увеличить")</f>
        <v>Увеличить</v>
      </c>
      <c r="D1701" s="3" t="s">
        <v>3480</v>
      </c>
      <c r="E1701" s="3"/>
      <c r="F1701" s="3" t="s">
        <v>2047</v>
      </c>
      <c r="G1701" s="3" t="s">
        <v>430</v>
      </c>
      <c r="H1701" s="3">
        <v>0.5</v>
      </c>
      <c r="I1701" s="3">
        <v>0</v>
      </c>
      <c r="J1701" s="3" t="s">
        <v>18</v>
      </c>
      <c r="K1701" s="5">
        <v>0.06</v>
      </c>
      <c r="L1701" s="6">
        <v>0</v>
      </c>
      <c r="M1701" s="7" t="s">
        <v>3481</v>
      </c>
      <c r="N1701" s="8">
        <f>VLOOKUP(B1701,'[1]новый без картинок'!$A$5:$F$2672,6,0)</f>
        <v>354</v>
      </c>
    </row>
    <row r="1702" spans="1:14" ht="151.15" customHeight="1" x14ac:dyDescent="0.2">
      <c r="A1702" s="3">
        <v>1700</v>
      </c>
      <c r="B1702" s="3">
        <v>190063</v>
      </c>
      <c r="C1702" s="4" t="str">
        <f>HYPERLINK("http://optservis.net:5080/photo?tov_code_internet=190063","Увеличить")</f>
        <v>Увеличить</v>
      </c>
      <c r="D1702" s="3" t="s">
        <v>3482</v>
      </c>
      <c r="E1702" s="3"/>
      <c r="F1702" s="3" t="s">
        <v>2081</v>
      </c>
      <c r="G1702" s="3" t="s">
        <v>1469</v>
      </c>
      <c r="H1702" s="3">
        <v>0.5</v>
      </c>
      <c r="I1702" s="3">
        <v>0</v>
      </c>
      <c r="J1702" s="3" t="s">
        <v>18</v>
      </c>
      <c r="K1702" s="5">
        <v>0.06</v>
      </c>
      <c r="L1702" s="6">
        <v>0</v>
      </c>
      <c r="M1702" s="7" t="s">
        <v>3483</v>
      </c>
      <c r="N1702" s="8">
        <f>VLOOKUP(B1702,'[1]новый без картинок'!$A$5:$F$2672,6,0)</f>
        <v>521</v>
      </c>
    </row>
    <row r="1703" spans="1:14" ht="151.15" customHeight="1" x14ac:dyDescent="0.2">
      <c r="A1703" s="3">
        <v>1701</v>
      </c>
      <c r="B1703" s="3">
        <v>209256</v>
      </c>
      <c r="C1703" s="4" t="str">
        <f>HYPERLINK("http://optservis.net:5080/photo?tov_code_internet=209256","Увеличить")</f>
        <v>Увеличить</v>
      </c>
      <c r="D1703" s="3" t="s">
        <v>3482</v>
      </c>
      <c r="E1703" s="3"/>
      <c r="F1703" s="3" t="s">
        <v>2083</v>
      </c>
      <c r="G1703" s="3" t="s">
        <v>1469</v>
      </c>
      <c r="H1703" s="3">
        <v>0.5</v>
      </c>
      <c r="I1703" s="3">
        <v>0</v>
      </c>
      <c r="J1703" s="3" t="s">
        <v>18</v>
      </c>
      <c r="K1703" s="5">
        <v>0.06</v>
      </c>
      <c r="L1703" s="6">
        <v>0</v>
      </c>
      <c r="M1703" s="7" t="s">
        <v>2846</v>
      </c>
      <c r="N1703" s="8">
        <f>VLOOKUP(B1703,'[1]новый без картинок'!$A$5:$F$2672,6,0)</f>
        <v>515</v>
      </c>
    </row>
    <row r="1704" spans="1:14" ht="151.15" customHeight="1" x14ac:dyDescent="0.2">
      <c r="A1704" s="3">
        <v>1702</v>
      </c>
      <c r="B1704" s="3">
        <v>209254</v>
      </c>
      <c r="C1704" s="4" t="str">
        <f>HYPERLINK("http://optservis.net:5080/photo?tov_code_internet=209254","Увеличить")</f>
        <v>Увеличить</v>
      </c>
      <c r="D1704" s="3" t="s">
        <v>3484</v>
      </c>
      <c r="E1704" s="3"/>
      <c r="F1704" s="3" t="s">
        <v>2048</v>
      </c>
      <c r="G1704" s="3" t="s">
        <v>430</v>
      </c>
      <c r="H1704" s="3">
        <v>0.5</v>
      </c>
      <c r="I1704" s="3">
        <v>0</v>
      </c>
      <c r="J1704" s="3" t="s">
        <v>18</v>
      </c>
      <c r="K1704" s="5">
        <v>0.16</v>
      </c>
      <c r="L1704" s="6">
        <v>0</v>
      </c>
      <c r="M1704" s="7" t="s">
        <v>3485</v>
      </c>
      <c r="N1704" s="8">
        <f>VLOOKUP(B1704,'[1]новый без картинок'!$A$5:$F$2672,6,0)</f>
        <v>399</v>
      </c>
    </row>
    <row r="1705" spans="1:14" ht="151.15" customHeight="1" x14ac:dyDescent="0.2">
      <c r="A1705" s="3">
        <v>1703</v>
      </c>
      <c r="B1705" s="3">
        <v>209258</v>
      </c>
      <c r="C1705" s="4" t="str">
        <f>HYPERLINK("http://optservis.net:5080/photo?tov_code_internet=209258","Увеличить")</f>
        <v>Увеличить</v>
      </c>
      <c r="D1705" s="3" t="s">
        <v>3486</v>
      </c>
      <c r="E1705" s="3"/>
      <c r="F1705" s="3" t="s">
        <v>2091</v>
      </c>
      <c r="G1705" s="3" t="s">
        <v>1479</v>
      </c>
      <c r="H1705" s="3">
        <v>0.5</v>
      </c>
      <c r="I1705" s="3">
        <v>0</v>
      </c>
      <c r="J1705" s="3" t="s">
        <v>18</v>
      </c>
      <c r="K1705" s="5">
        <v>0.05</v>
      </c>
      <c r="L1705" s="6">
        <v>0</v>
      </c>
      <c r="M1705" s="7" t="s">
        <v>2849</v>
      </c>
      <c r="N1705" s="8">
        <f>VLOOKUP(B1705,'[1]новый без картинок'!$A$5:$F$2672,6,0)</f>
        <v>534</v>
      </c>
    </row>
    <row r="1706" spans="1:14" ht="151.15" customHeight="1" x14ac:dyDescent="0.2">
      <c r="A1706" s="3">
        <v>1704</v>
      </c>
      <c r="B1706" s="3">
        <v>190064</v>
      </c>
      <c r="C1706" s="4" t="str">
        <f>HYPERLINK("http://optservis.net:5080/photo?tov_code_internet=190064","Увеличить")</f>
        <v>Увеличить</v>
      </c>
      <c r="D1706" s="3" t="s">
        <v>3487</v>
      </c>
      <c r="E1706" s="3"/>
      <c r="F1706" s="3" t="s">
        <v>3488</v>
      </c>
      <c r="G1706" s="3" t="s">
        <v>1479</v>
      </c>
      <c r="H1706" s="3">
        <v>0.5</v>
      </c>
      <c r="I1706" s="3">
        <v>0</v>
      </c>
      <c r="J1706" s="3" t="s">
        <v>18</v>
      </c>
      <c r="K1706" s="5">
        <v>0.04</v>
      </c>
      <c r="L1706" s="6">
        <v>0</v>
      </c>
      <c r="M1706" s="7" t="s">
        <v>3489</v>
      </c>
      <c r="N1706" s="8">
        <f>VLOOKUP(B1706,'[1]новый без картинок'!$A$5:$F$2672,6,0)</f>
        <v>642</v>
      </c>
    </row>
    <row r="1707" spans="1:14" ht="151.15" customHeight="1" x14ac:dyDescent="0.2">
      <c r="A1707" s="3">
        <v>1705</v>
      </c>
      <c r="B1707" s="3">
        <v>199135</v>
      </c>
      <c r="C1707" s="4" t="str">
        <f>HYPERLINK("http://optservis.net:5080/photo?tov_code_internet=199135","Увеличить")</f>
        <v>Увеличить</v>
      </c>
      <c r="D1707" s="3" t="s">
        <v>3490</v>
      </c>
      <c r="E1707" s="3"/>
      <c r="F1707" s="3" t="s">
        <v>2855</v>
      </c>
      <c r="G1707" s="3" t="s">
        <v>1479</v>
      </c>
      <c r="H1707" s="3">
        <v>0.5</v>
      </c>
      <c r="I1707" s="3">
        <v>0</v>
      </c>
      <c r="J1707" s="3" t="s">
        <v>18</v>
      </c>
      <c r="K1707" s="5">
        <v>0.06</v>
      </c>
      <c r="L1707" s="6">
        <v>0</v>
      </c>
      <c r="M1707" s="7" t="s">
        <v>2856</v>
      </c>
      <c r="N1707" s="8">
        <f>VLOOKUP(B1707,'[1]новый без картинок'!$A$5:$F$2672,6,0)</f>
        <v>516</v>
      </c>
    </row>
    <row r="1708" spans="1:14" ht="151.15" customHeight="1" x14ac:dyDescent="0.2">
      <c r="A1708" s="3">
        <v>1706</v>
      </c>
      <c r="B1708" s="3">
        <v>181045</v>
      </c>
      <c r="C1708" s="4" t="str">
        <f>HYPERLINK("http://optservis.net:5080/photo?tov_code_internet=181045","Увеличить")</f>
        <v>Увеличить</v>
      </c>
      <c r="D1708" s="3" t="s">
        <v>3491</v>
      </c>
      <c r="E1708" s="3" t="s">
        <v>3492</v>
      </c>
      <c r="F1708" s="3" t="s">
        <v>3493</v>
      </c>
      <c r="G1708" s="3" t="s">
        <v>1469</v>
      </c>
      <c r="H1708" s="3">
        <v>0.5</v>
      </c>
      <c r="I1708" s="3">
        <v>0</v>
      </c>
      <c r="J1708" s="3" t="s">
        <v>18</v>
      </c>
      <c r="K1708" s="5">
        <v>0.06</v>
      </c>
      <c r="L1708" s="6">
        <v>4690654013493</v>
      </c>
      <c r="M1708" s="7" t="s">
        <v>3494</v>
      </c>
      <c r="N1708" s="8">
        <f>VLOOKUP(B1708,'[1]новый без картинок'!$A$5:$F$2672,6,0)</f>
        <v>562</v>
      </c>
    </row>
    <row r="1709" spans="1:14" ht="151.15" customHeight="1" x14ac:dyDescent="0.2">
      <c r="A1709" s="3">
        <v>1707</v>
      </c>
      <c r="B1709" s="3">
        <v>181044</v>
      </c>
      <c r="C1709" s="4" t="str">
        <f>HYPERLINK("http://optservis.net:5080/photo?tov_code_internet=181044","Увеличить")</f>
        <v>Увеличить</v>
      </c>
      <c r="D1709" s="3" t="s">
        <v>3495</v>
      </c>
      <c r="E1709" s="3" t="s">
        <v>3496</v>
      </c>
      <c r="F1709" s="3" t="s">
        <v>2102</v>
      </c>
      <c r="G1709" s="3" t="s">
        <v>430</v>
      </c>
      <c r="H1709" s="3">
        <v>0.5</v>
      </c>
      <c r="I1709" s="3">
        <v>0</v>
      </c>
      <c r="J1709" s="3" t="s">
        <v>18</v>
      </c>
      <c r="K1709" s="5">
        <v>0.16</v>
      </c>
      <c r="L1709" s="6">
        <v>4690654013127</v>
      </c>
      <c r="M1709" s="7" t="s">
        <v>3497</v>
      </c>
      <c r="N1709" s="8">
        <f>VLOOKUP(B1709,'[1]новый без картинок'!$A$5:$F$2672,6,0)</f>
        <v>395</v>
      </c>
    </row>
    <row r="1710" spans="1:14" ht="151.15" customHeight="1" x14ac:dyDescent="0.2">
      <c r="A1710" s="3">
        <v>1708</v>
      </c>
      <c r="B1710" s="3">
        <v>211161</v>
      </c>
      <c r="C1710" s="4" t="str">
        <f>HYPERLINK("http://optservis.net:5080/photo?tov_code_internet=211161","Увеличить")</f>
        <v>Увеличить</v>
      </c>
      <c r="D1710" s="3" t="s">
        <v>3498</v>
      </c>
      <c r="E1710" s="3"/>
      <c r="F1710" s="3" t="s">
        <v>2212</v>
      </c>
      <c r="G1710" s="3" t="s">
        <v>430</v>
      </c>
      <c r="H1710" s="3">
        <v>0.5</v>
      </c>
      <c r="I1710" s="3">
        <v>0</v>
      </c>
      <c r="J1710" s="3" t="s">
        <v>18</v>
      </c>
      <c r="K1710" s="5">
        <v>0.05</v>
      </c>
      <c r="L1710" s="6">
        <v>0</v>
      </c>
      <c r="M1710" s="7" t="s">
        <v>3499</v>
      </c>
      <c r="N1710" s="8">
        <f>VLOOKUP(B1710,'[1]новый без картинок'!$A$5:$F$2672,6,0)</f>
        <v>332</v>
      </c>
    </row>
    <row r="1711" spans="1:14" ht="151.15" customHeight="1" x14ac:dyDescent="0.2">
      <c r="A1711" s="3">
        <v>1709</v>
      </c>
      <c r="B1711" s="3">
        <v>209714</v>
      </c>
      <c r="C1711" s="4" t="str">
        <f>HYPERLINK("http://optservis.net:5080/photo?tov_code_internet=209714","Увеличить")</f>
        <v>Увеличить</v>
      </c>
      <c r="D1711" s="3" t="s">
        <v>3500</v>
      </c>
      <c r="E1711" s="3"/>
      <c r="F1711" s="3" t="s">
        <v>2440</v>
      </c>
      <c r="G1711" s="3" t="s">
        <v>1469</v>
      </c>
      <c r="H1711" s="3">
        <v>0.5</v>
      </c>
      <c r="I1711" s="3">
        <v>0</v>
      </c>
      <c r="J1711" s="3" t="s">
        <v>18</v>
      </c>
      <c r="K1711" s="5">
        <v>0.06</v>
      </c>
      <c r="L1711" s="6">
        <v>0</v>
      </c>
      <c r="M1711" s="7" t="s">
        <v>2876</v>
      </c>
      <c r="N1711" s="8">
        <f>VLOOKUP(B1711,'[1]новый без картинок'!$A$5:$F$2672,6,0)</f>
        <v>497</v>
      </c>
    </row>
    <row r="1712" spans="1:14" ht="151.15" customHeight="1" x14ac:dyDescent="0.2">
      <c r="A1712" s="3">
        <v>1710</v>
      </c>
      <c r="B1712" s="3">
        <v>209039</v>
      </c>
      <c r="C1712" s="4" t="str">
        <f>HYPERLINK("http://optservis.net:5080/photo?tov_code_internet=209039","Увеличить")</f>
        <v>Увеличить</v>
      </c>
      <c r="D1712" s="3" t="s">
        <v>3500</v>
      </c>
      <c r="E1712" s="3"/>
      <c r="F1712" s="3" t="s">
        <v>2260</v>
      </c>
      <c r="G1712" s="3" t="s">
        <v>1469</v>
      </c>
      <c r="H1712" s="3">
        <v>0.5</v>
      </c>
      <c r="I1712" s="3">
        <v>0</v>
      </c>
      <c r="J1712" s="3" t="s">
        <v>18</v>
      </c>
      <c r="K1712" s="5">
        <v>0.06</v>
      </c>
      <c r="L1712" s="6">
        <v>0</v>
      </c>
      <c r="M1712" s="7" t="s">
        <v>2876</v>
      </c>
      <c r="N1712" s="8">
        <f>VLOOKUP(B1712,'[1]новый без картинок'!$A$5:$F$2672,6,0)</f>
        <v>533</v>
      </c>
    </row>
    <row r="1713" spans="1:14" ht="151.15" customHeight="1" x14ac:dyDescent="0.2">
      <c r="A1713" s="3">
        <v>1711</v>
      </c>
      <c r="B1713" s="3">
        <v>182150</v>
      </c>
      <c r="C1713" s="4" t="str">
        <f>HYPERLINK("http://optservis.net:5080/photo?tov_code_internet=182150","Увеличить")</f>
        <v>Увеличить</v>
      </c>
      <c r="D1713" s="3" t="s">
        <v>3500</v>
      </c>
      <c r="E1713" s="3" t="s">
        <v>3501</v>
      </c>
      <c r="F1713" s="3" t="s">
        <v>3502</v>
      </c>
      <c r="G1713" s="3" t="s">
        <v>1469</v>
      </c>
      <c r="H1713" s="3">
        <v>0.5</v>
      </c>
      <c r="I1713" s="3">
        <v>0</v>
      </c>
      <c r="J1713" s="3" t="s">
        <v>18</v>
      </c>
      <c r="K1713" s="5">
        <v>0.06</v>
      </c>
      <c r="L1713" s="6">
        <v>4690654015497</v>
      </c>
      <c r="M1713" s="7" t="s">
        <v>3466</v>
      </c>
      <c r="N1713" s="8">
        <f>VLOOKUP(B1713,'[1]новый без картинок'!$A$5:$F$2672,6,0)</f>
        <v>502</v>
      </c>
    </row>
    <row r="1714" spans="1:14" ht="151.15" customHeight="1" x14ac:dyDescent="0.2">
      <c r="A1714" s="3">
        <v>1712</v>
      </c>
      <c r="B1714" s="3">
        <v>182155</v>
      </c>
      <c r="C1714" s="4" t="str">
        <f>HYPERLINK("http://optservis.net:5080/photo?tov_code_internet=182155","Увеличить")</f>
        <v>Увеличить</v>
      </c>
      <c r="D1714" s="3" t="s">
        <v>3500</v>
      </c>
      <c r="E1714" s="3" t="s">
        <v>3501</v>
      </c>
      <c r="F1714" s="3" t="s">
        <v>2882</v>
      </c>
      <c r="G1714" s="3" t="s">
        <v>1469</v>
      </c>
      <c r="H1714" s="3">
        <v>0.5</v>
      </c>
      <c r="I1714" s="3">
        <v>0</v>
      </c>
      <c r="J1714" s="3" t="s">
        <v>18</v>
      </c>
      <c r="K1714" s="5">
        <v>0.06</v>
      </c>
      <c r="L1714" s="6">
        <v>4690654017057</v>
      </c>
      <c r="M1714" s="7" t="s">
        <v>3466</v>
      </c>
      <c r="N1714" s="8">
        <f>VLOOKUP(B1714,'[1]новый без картинок'!$A$5:$F$2672,6,0)</f>
        <v>532</v>
      </c>
    </row>
    <row r="1715" spans="1:14" ht="151.15" customHeight="1" x14ac:dyDescent="0.2">
      <c r="A1715" s="3">
        <v>1713</v>
      </c>
      <c r="B1715" s="3">
        <v>209041</v>
      </c>
      <c r="C1715" s="4" t="str">
        <f>HYPERLINK("http://optservis.net:5080/photo?tov_code_internet=209041","Увеличить")</f>
        <v>Увеличить</v>
      </c>
      <c r="D1715" s="3" t="s">
        <v>3503</v>
      </c>
      <c r="E1715" s="3" t="s">
        <v>3504</v>
      </c>
      <c r="F1715" s="3" t="s">
        <v>2134</v>
      </c>
      <c r="G1715" s="3" t="s">
        <v>430</v>
      </c>
      <c r="H1715" s="3">
        <v>0.5</v>
      </c>
      <c r="I1715" s="3">
        <v>0</v>
      </c>
      <c r="J1715" s="3" t="s">
        <v>18</v>
      </c>
      <c r="K1715" s="5">
        <v>0.16</v>
      </c>
      <c r="L1715" s="6">
        <v>4690654019648</v>
      </c>
      <c r="M1715" s="7" t="s">
        <v>2175</v>
      </c>
      <c r="N1715" s="8">
        <f>VLOOKUP(B1715,'[1]новый без картинок'!$A$5:$F$2672,6,0)</f>
        <v>367</v>
      </c>
    </row>
    <row r="1716" spans="1:14" ht="151.15" customHeight="1" x14ac:dyDescent="0.2">
      <c r="A1716" s="3">
        <v>1714</v>
      </c>
      <c r="B1716" s="3">
        <v>183170</v>
      </c>
      <c r="C1716" s="4" t="str">
        <f>HYPERLINK("http://optservis.net:5080/photo?tov_code_internet=183170","Увеличить")</f>
        <v>Увеличить</v>
      </c>
      <c r="D1716" s="3" t="s">
        <v>3505</v>
      </c>
      <c r="E1716" s="3"/>
      <c r="F1716" s="3" t="s">
        <v>2204</v>
      </c>
      <c r="G1716" s="3" t="s">
        <v>1479</v>
      </c>
      <c r="H1716" s="3">
        <v>0.5</v>
      </c>
      <c r="I1716" s="3">
        <v>0</v>
      </c>
      <c r="J1716" s="3" t="s">
        <v>18</v>
      </c>
      <c r="K1716" s="5">
        <v>0.05</v>
      </c>
      <c r="L1716" s="6">
        <v>0</v>
      </c>
      <c r="M1716" s="7" t="s">
        <v>3506</v>
      </c>
      <c r="N1716" s="8">
        <f>VLOOKUP(B1716,'[1]новый без картинок'!$A$5:$F$2672,6,0)</f>
        <v>512</v>
      </c>
    </row>
    <row r="1717" spans="1:14" ht="151.15" customHeight="1" x14ac:dyDescent="0.2">
      <c r="A1717" s="3">
        <v>1715</v>
      </c>
      <c r="B1717" s="3">
        <v>209720</v>
      </c>
      <c r="C1717" s="4" t="str">
        <f>HYPERLINK("http://optservis.net:5080/photo?tov_code_internet=209720","Увеличить")</f>
        <v>Увеличить</v>
      </c>
      <c r="D1717" s="3" t="s">
        <v>3507</v>
      </c>
      <c r="E1717" s="3"/>
      <c r="F1717" s="3" t="s">
        <v>3508</v>
      </c>
      <c r="G1717" s="3" t="s">
        <v>1479</v>
      </c>
      <c r="H1717" s="3">
        <v>0.5</v>
      </c>
      <c r="I1717" s="3">
        <v>0</v>
      </c>
      <c r="J1717" s="3" t="s">
        <v>18</v>
      </c>
      <c r="K1717" s="5">
        <v>7.0000000000000007E-2</v>
      </c>
      <c r="L1717" s="6">
        <v>0</v>
      </c>
      <c r="M1717" s="7" t="s">
        <v>2903</v>
      </c>
      <c r="N1717" s="8">
        <f>VLOOKUP(B1717,'[1]новый без картинок'!$A$5:$F$2672,6,0)</f>
        <v>498</v>
      </c>
    </row>
    <row r="1718" spans="1:14" ht="151.15" customHeight="1" x14ac:dyDescent="0.2">
      <c r="A1718" s="3">
        <v>1716</v>
      </c>
      <c r="B1718" s="3">
        <v>208247</v>
      </c>
      <c r="C1718" s="4" t="str">
        <f>HYPERLINK("http://optservis.net:5080/photo?tov_code_internet=208247","Увеличить")</f>
        <v>Увеличить</v>
      </c>
      <c r="D1718" s="3" t="s">
        <v>3509</v>
      </c>
      <c r="E1718" s="3"/>
      <c r="F1718" s="3" t="s">
        <v>2259</v>
      </c>
      <c r="G1718" s="3" t="s">
        <v>1469</v>
      </c>
      <c r="H1718" s="3">
        <v>0.5</v>
      </c>
      <c r="I1718" s="3">
        <v>0</v>
      </c>
      <c r="J1718" s="3" t="s">
        <v>18</v>
      </c>
      <c r="K1718" s="5">
        <v>7.0000000000000007E-2</v>
      </c>
      <c r="L1718" s="6">
        <v>0</v>
      </c>
      <c r="M1718" s="7" t="s">
        <v>2913</v>
      </c>
      <c r="N1718" s="8">
        <f>VLOOKUP(B1718,'[1]новый без картинок'!$A$5:$F$2672,6,0)</f>
        <v>555</v>
      </c>
    </row>
    <row r="1719" spans="1:14" ht="151.15" customHeight="1" x14ac:dyDescent="0.2">
      <c r="A1719" s="3">
        <v>1717</v>
      </c>
      <c r="B1719" s="3">
        <v>188498</v>
      </c>
      <c r="C1719" s="4" t="str">
        <f>HYPERLINK("http://optservis.net:5080/photo?tov_code_internet=188498","Увеличить")</f>
        <v>Увеличить</v>
      </c>
      <c r="D1719" s="3" t="s">
        <v>3509</v>
      </c>
      <c r="E1719" s="3"/>
      <c r="F1719" s="3" t="s">
        <v>2260</v>
      </c>
      <c r="G1719" s="3" t="s">
        <v>1469</v>
      </c>
      <c r="H1719" s="3">
        <v>0.5</v>
      </c>
      <c r="I1719" s="3">
        <v>0</v>
      </c>
      <c r="J1719" s="3" t="s">
        <v>18</v>
      </c>
      <c r="K1719" s="5">
        <v>0.08</v>
      </c>
      <c r="L1719" s="6">
        <v>0</v>
      </c>
      <c r="M1719" s="7" t="s">
        <v>2913</v>
      </c>
      <c r="N1719" s="8">
        <f>VLOOKUP(B1719,'[1]новый без картинок'!$A$5:$F$2672,6,0)</f>
        <v>593</v>
      </c>
    </row>
    <row r="1720" spans="1:14" ht="151.15" customHeight="1" x14ac:dyDescent="0.2">
      <c r="A1720" s="3">
        <v>1718</v>
      </c>
      <c r="B1720" s="3">
        <v>196804</v>
      </c>
      <c r="C1720" s="4" t="str">
        <f>HYPERLINK("http://optservis.net:5080/photo?tov_code_internet=196804","Увеличить")</f>
        <v>Увеличить</v>
      </c>
      <c r="D1720" s="3" t="s">
        <v>3510</v>
      </c>
      <c r="E1720" s="3"/>
      <c r="F1720" s="3" t="s">
        <v>2270</v>
      </c>
      <c r="G1720" s="3" t="s">
        <v>1479</v>
      </c>
      <c r="H1720" s="3">
        <v>0.5</v>
      </c>
      <c r="I1720" s="3">
        <v>0</v>
      </c>
      <c r="J1720" s="3" t="s">
        <v>18</v>
      </c>
      <c r="K1720" s="5">
        <v>0.06</v>
      </c>
      <c r="L1720" s="6">
        <v>0</v>
      </c>
      <c r="M1720" s="7" t="s">
        <v>3178</v>
      </c>
      <c r="N1720" s="8">
        <f>VLOOKUP(B1720,'[1]новый без картинок'!$A$5:$F$2672,6,0)</f>
        <v>572</v>
      </c>
    </row>
    <row r="1721" spans="1:14" ht="151.15" customHeight="1" x14ac:dyDescent="0.2">
      <c r="A1721" s="3">
        <v>1719</v>
      </c>
      <c r="B1721" s="3">
        <v>188422</v>
      </c>
      <c r="C1721" s="4" t="str">
        <f>HYPERLINK("http://optservis.net:5080/photo?tov_code_internet=188422","Увеличить")</f>
        <v>Увеличить</v>
      </c>
      <c r="D1721" s="3" t="s">
        <v>3511</v>
      </c>
      <c r="E1721" s="3"/>
      <c r="F1721" s="3" t="s">
        <v>2147</v>
      </c>
      <c r="G1721" s="3" t="s">
        <v>1045</v>
      </c>
      <c r="H1721" s="3">
        <v>0.5</v>
      </c>
      <c r="I1721" s="3">
        <v>0</v>
      </c>
      <c r="J1721" s="3" t="s">
        <v>18</v>
      </c>
      <c r="K1721" s="5">
        <v>7.0000000000000007E-2</v>
      </c>
      <c r="L1721" s="6">
        <v>0</v>
      </c>
      <c r="M1721" s="7" t="s">
        <v>3512</v>
      </c>
      <c r="N1721" s="8">
        <f>VLOOKUP(B1721,'[1]новый без картинок'!$A$5:$F$2672,6,0)</f>
        <v>572</v>
      </c>
    </row>
    <row r="1722" spans="1:14" ht="151.15" customHeight="1" x14ac:dyDescent="0.2">
      <c r="A1722" s="3">
        <v>1720</v>
      </c>
      <c r="B1722" s="3">
        <v>196806</v>
      </c>
      <c r="C1722" s="4" t="str">
        <f>HYPERLINK("http://optservis.net:5080/photo?tov_code_internet=196806","Увеличить")</f>
        <v>Увеличить</v>
      </c>
      <c r="D1722" s="3" t="s">
        <v>3513</v>
      </c>
      <c r="E1722" s="3"/>
      <c r="F1722" s="3" t="s">
        <v>3514</v>
      </c>
      <c r="G1722" s="3" t="s">
        <v>1479</v>
      </c>
      <c r="H1722" s="3">
        <v>0.5</v>
      </c>
      <c r="I1722" s="3">
        <v>0</v>
      </c>
      <c r="J1722" s="3" t="s">
        <v>18</v>
      </c>
      <c r="K1722" s="5">
        <v>7.0000000000000007E-2</v>
      </c>
      <c r="L1722" s="6">
        <v>0</v>
      </c>
      <c r="M1722" s="7" t="s">
        <v>3515</v>
      </c>
      <c r="N1722" s="8">
        <f>VLOOKUP(B1722,'[1]новый без картинок'!$A$5:$F$2672,6,0)</f>
        <v>684</v>
      </c>
    </row>
    <row r="1723" spans="1:14" ht="151.15" customHeight="1" x14ac:dyDescent="0.2">
      <c r="A1723" s="3">
        <v>1721</v>
      </c>
      <c r="B1723" s="3">
        <v>199137</v>
      </c>
      <c r="C1723" s="4" t="str">
        <f>HYPERLINK("http://optservis.net:5080/photo?tov_code_internet=199137","Увеличить")</f>
        <v>Увеличить</v>
      </c>
      <c r="D1723" s="3" t="s">
        <v>3516</v>
      </c>
      <c r="E1723" s="3"/>
      <c r="F1723" s="3" t="s">
        <v>3517</v>
      </c>
      <c r="G1723" s="3" t="s">
        <v>1479</v>
      </c>
      <c r="H1723" s="3">
        <v>0.5</v>
      </c>
      <c r="I1723" s="3">
        <v>0</v>
      </c>
      <c r="J1723" s="3" t="s">
        <v>18</v>
      </c>
      <c r="K1723" s="5">
        <v>0.08</v>
      </c>
      <c r="L1723" s="6">
        <v>0</v>
      </c>
      <c r="M1723" s="7" t="s">
        <v>3518</v>
      </c>
      <c r="N1723" s="8">
        <f>VLOOKUP(B1723,'[1]новый без картинок'!$A$5:$F$2672,6,0)</f>
        <v>554</v>
      </c>
    </row>
    <row r="1724" spans="1:14" ht="151.15" customHeight="1" x14ac:dyDescent="0.2">
      <c r="A1724" s="3">
        <v>1722</v>
      </c>
      <c r="B1724" s="3">
        <v>205003</v>
      </c>
      <c r="C1724" s="4" t="str">
        <f>HYPERLINK("http://optservis.net:5080/photo?tov_code_internet=205003","Увеличить")</f>
        <v>Увеличить</v>
      </c>
      <c r="D1724" s="3" t="s">
        <v>3519</v>
      </c>
      <c r="E1724" s="3"/>
      <c r="F1724" s="3" t="s">
        <v>3520</v>
      </c>
      <c r="G1724" s="3" t="s">
        <v>1469</v>
      </c>
      <c r="H1724" s="3">
        <v>0.5</v>
      </c>
      <c r="I1724" s="3">
        <v>0</v>
      </c>
      <c r="J1724" s="3" t="s">
        <v>18</v>
      </c>
      <c r="K1724" s="5">
        <v>7.0000000000000007E-2</v>
      </c>
      <c r="L1724" s="6">
        <v>0</v>
      </c>
      <c r="M1724" s="7" t="s">
        <v>2953</v>
      </c>
      <c r="N1724" s="8">
        <f>VLOOKUP(B1724,'[1]новый без картинок'!$A$5:$F$2672,6,0)</f>
        <v>593</v>
      </c>
    </row>
    <row r="1725" spans="1:14" ht="151.15" customHeight="1" x14ac:dyDescent="0.2">
      <c r="A1725" s="3">
        <v>1723</v>
      </c>
      <c r="B1725" s="3">
        <v>208251</v>
      </c>
      <c r="C1725" s="4" t="str">
        <f>HYPERLINK("http://optservis.net:5080/photo?tov_code_internet=208251","Увеличить")</f>
        <v>Увеличить</v>
      </c>
      <c r="D1725" s="3" t="s">
        <v>3519</v>
      </c>
      <c r="E1725" s="3"/>
      <c r="F1725" s="3" t="s">
        <v>2320</v>
      </c>
      <c r="G1725" s="3" t="s">
        <v>1469</v>
      </c>
      <c r="H1725" s="3">
        <v>0.5</v>
      </c>
      <c r="I1725" s="3">
        <v>0</v>
      </c>
      <c r="J1725" s="3" t="s">
        <v>18</v>
      </c>
      <c r="K1725" s="5">
        <v>7.0000000000000007E-2</v>
      </c>
      <c r="L1725" s="6">
        <v>0</v>
      </c>
      <c r="M1725" s="7" t="s">
        <v>2953</v>
      </c>
      <c r="N1725" s="8">
        <f>VLOOKUP(B1725,'[1]новый без картинок'!$A$5:$F$2672,6,0)</f>
        <v>553</v>
      </c>
    </row>
    <row r="1726" spans="1:14" ht="151.15" customHeight="1" x14ac:dyDescent="0.2">
      <c r="A1726" s="3">
        <v>1724</v>
      </c>
      <c r="B1726" s="3">
        <v>185166</v>
      </c>
      <c r="C1726" s="4" t="str">
        <f>HYPERLINK("http://optservis.net:5080/photo?tov_code_internet=185166","Увеличить")</f>
        <v>Увеличить</v>
      </c>
      <c r="D1726" s="3" t="s">
        <v>3521</v>
      </c>
      <c r="E1726" s="3" t="s">
        <v>3522</v>
      </c>
      <c r="F1726" s="3" t="s">
        <v>2929</v>
      </c>
      <c r="G1726" s="3" t="s">
        <v>430</v>
      </c>
      <c r="H1726" s="3">
        <v>0.5</v>
      </c>
      <c r="I1726" s="3">
        <v>0</v>
      </c>
      <c r="J1726" s="3" t="s">
        <v>18</v>
      </c>
      <c r="K1726" s="5">
        <v>0.19</v>
      </c>
      <c r="L1726" s="6">
        <v>4690654015138</v>
      </c>
      <c r="M1726" s="7" t="s">
        <v>3523</v>
      </c>
      <c r="N1726" s="8">
        <f>VLOOKUP(B1726,'[1]новый без картинок'!$A$5:$F$2672,6,0)</f>
        <v>428</v>
      </c>
    </row>
    <row r="1727" spans="1:14" ht="151.15" customHeight="1" x14ac:dyDescent="0.2">
      <c r="A1727" s="3">
        <v>1725</v>
      </c>
      <c r="B1727" s="3">
        <v>205000</v>
      </c>
      <c r="C1727" s="4" t="str">
        <f>HYPERLINK("http://optservis.net:5080/photo?tov_code_internet=205000","Увеличить")</f>
        <v>Увеличить</v>
      </c>
      <c r="D1727" s="3" t="s">
        <v>3524</v>
      </c>
      <c r="E1727" s="3"/>
      <c r="F1727" s="3" t="s">
        <v>444</v>
      </c>
      <c r="G1727" s="3" t="s">
        <v>430</v>
      </c>
      <c r="H1727" s="3">
        <v>0.5</v>
      </c>
      <c r="I1727" s="3">
        <v>0</v>
      </c>
      <c r="J1727" s="3" t="s">
        <v>18</v>
      </c>
      <c r="K1727" s="5">
        <v>0.18</v>
      </c>
      <c r="L1727" s="6">
        <v>0</v>
      </c>
      <c r="M1727" s="7" t="s">
        <v>2927</v>
      </c>
      <c r="N1727" s="8">
        <f>VLOOKUP(B1727,'[1]новый без картинок'!$A$5:$F$2672,6,0)</f>
        <v>437</v>
      </c>
    </row>
    <row r="1728" spans="1:14" ht="151.15" customHeight="1" x14ac:dyDescent="0.2">
      <c r="A1728" s="3">
        <v>1726</v>
      </c>
      <c r="B1728" s="3">
        <v>205005</v>
      </c>
      <c r="C1728" s="4" t="str">
        <f>HYPERLINK("http://optservis.net:5080/photo?tov_code_internet=205005","Увеличить")</f>
        <v>Увеличить</v>
      </c>
      <c r="D1728" s="3" t="s">
        <v>3525</v>
      </c>
      <c r="E1728" s="3"/>
      <c r="F1728" s="3" t="s">
        <v>2328</v>
      </c>
      <c r="G1728" s="3" t="s">
        <v>1479</v>
      </c>
      <c r="H1728" s="3">
        <v>0.5</v>
      </c>
      <c r="I1728" s="3">
        <v>0</v>
      </c>
      <c r="J1728" s="3" t="s">
        <v>18</v>
      </c>
      <c r="K1728" s="5">
        <v>0.06</v>
      </c>
      <c r="L1728" s="6">
        <v>0</v>
      </c>
      <c r="M1728" s="7" t="s">
        <v>2939</v>
      </c>
      <c r="N1728" s="8">
        <f>VLOOKUP(B1728,'[1]новый без картинок'!$A$5:$F$2672,6,0)</f>
        <v>572</v>
      </c>
    </row>
    <row r="1729" spans="1:14" ht="151.15" customHeight="1" x14ac:dyDescent="0.2">
      <c r="A1729" s="3">
        <v>1727</v>
      </c>
      <c r="B1729" s="3">
        <v>188368</v>
      </c>
      <c r="C1729" s="4" t="str">
        <f>HYPERLINK("http://optservis.net:5080/photo?tov_code_internet=188368","Увеличить")</f>
        <v>Увеличить</v>
      </c>
      <c r="D1729" s="3" t="s">
        <v>3525</v>
      </c>
      <c r="E1729" s="3"/>
      <c r="F1729" s="3" t="s">
        <v>3526</v>
      </c>
      <c r="G1729" s="3" t="s">
        <v>1045</v>
      </c>
      <c r="H1729" s="3">
        <v>0.5</v>
      </c>
      <c r="I1729" s="3">
        <v>0</v>
      </c>
      <c r="J1729" s="3" t="s">
        <v>18</v>
      </c>
      <c r="K1729" s="5">
        <v>7.0000000000000007E-2</v>
      </c>
      <c r="L1729" s="6">
        <v>0</v>
      </c>
      <c r="M1729" s="7" t="s">
        <v>3527</v>
      </c>
      <c r="N1729" s="8">
        <f>VLOOKUP(B1729,'[1]новый без картинок'!$A$5:$F$2672,6,0)</f>
        <v>560</v>
      </c>
    </row>
    <row r="1730" spans="1:14" ht="151.15" customHeight="1" x14ac:dyDescent="0.2">
      <c r="A1730" s="3">
        <v>1728</v>
      </c>
      <c r="B1730" s="3">
        <v>199138</v>
      </c>
      <c r="C1730" s="4" t="str">
        <f>HYPERLINK("http://optservis.net:5080/photo?tov_code_internet=199138","Увеличить")</f>
        <v>Увеличить</v>
      </c>
      <c r="D1730" s="3" t="s">
        <v>3528</v>
      </c>
      <c r="E1730" s="3"/>
      <c r="F1730" s="3" t="s">
        <v>3529</v>
      </c>
      <c r="G1730" s="3" t="s">
        <v>1479</v>
      </c>
      <c r="H1730" s="3">
        <v>0.5</v>
      </c>
      <c r="I1730" s="3">
        <v>0</v>
      </c>
      <c r="J1730" s="3" t="s">
        <v>18</v>
      </c>
      <c r="K1730" s="5">
        <v>0.08</v>
      </c>
      <c r="L1730" s="6">
        <v>0</v>
      </c>
      <c r="M1730" s="7" t="s">
        <v>3530</v>
      </c>
      <c r="N1730" s="8">
        <f>VLOOKUP(B1730,'[1]новый без картинок'!$A$5:$F$2672,6,0)</f>
        <v>546</v>
      </c>
    </row>
    <row r="1731" spans="1:14" ht="151.15" customHeight="1" x14ac:dyDescent="0.2">
      <c r="A1731" s="3">
        <v>1729</v>
      </c>
      <c r="B1731" s="3">
        <v>211158</v>
      </c>
      <c r="C1731" s="4" t="str">
        <f>HYPERLINK("http://optservis.net:5080/photo?tov_code_internet=211158","Увеличить")</f>
        <v>Увеличить</v>
      </c>
      <c r="D1731" s="3" t="s">
        <v>3531</v>
      </c>
      <c r="E1731" s="3"/>
      <c r="F1731" s="3" t="s">
        <v>2344</v>
      </c>
      <c r="G1731" s="3" t="s">
        <v>430</v>
      </c>
      <c r="H1731" s="3">
        <v>0.5</v>
      </c>
      <c r="I1731" s="3">
        <v>0</v>
      </c>
      <c r="J1731" s="3" t="s">
        <v>18</v>
      </c>
      <c r="K1731" s="5">
        <v>0.06</v>
      </c>
      <c r="L1731" s="6">
        <v>0</v>
      </c>
      <c r="M1731" s="7" t="s">
        <v>3532</v>
      </c>
      <c r="N1731" s="8">
        <f>VLOOKUP(B1731,'[1]новый без картинок'!$A$5:$F$2672,6,0)</f>
        <v>394</v>
      </c>
    </row>
    <row r="1732" spans="1:14" ht="151.15" customHeight="1" x14ac:dyDescent="0.2">
      <c r="A1732" s="3">
        <v>1730</v>
      </c>
      <c r="B1732" s="3">
        <v>205285</v>
      </c>
      <c r="C1732" s="4" t="str">
        <f>HYPERLINK("http://optservis.net:5080/photo?tov_code_internet=205285","Увеличить")</f>
        <v>Увеличить</v>
      </c>
      <c r="D1732" s="3" t="s">
        <v>3533</v>
      </c>
      <c r="E1732" s="3"/>
      <c r="F1732" s="3" t="s">
        <v>3534</v>
      </c>
      <c r="G1732" s="3" t="s">
        <v>1469</v>
      </c>
      <c r="H1732" s="3">
        <v>0.5</v>
      </c>
      <c r="I1732" s="3">
        <v>0</v>
      </c>
      <c r="J1732" s="3" t="s">
        <v>18</v>
      </c>
      <c r="K1732" s="5">
        <v>7.0000000000000007E-2</v>
      </c>
      <c r="L1732" s="6">
        <v>0</v>
      </c>
      <c r="M1732" s="7" t="s">
        <v>2953</v>
      </c>
      <c r="N1732" s="8">
        <f>VLOOKUP(B1732,'[1]новый без картинок'!$A$5:$F$2672,6,0)</f>
        <v>562</v>
      </c>
    </row>
    <row r="1733" spans="1:14" ht="151.15" customHeight="1" x14ac:dyDescent="0.2">
      <c r="A1733" s="3">
        <v>1731</v>
      </c>
      <c r="B1733" s="3">
        <v>205279</v>
      </c>
      <c r="C1733" s="4" t="str">
        <f>HYPERLINK("http://optservis.net:5080/photo?tov_code_internet=205279","Увеличить")</f>
        <v>Увеличить</v>
      </c>
      <c r="D1733" s="3" t="s">
        <v>3535</v>
      </c>
      <c r="E1733" s="3"/>
      <c r="F1733" s="3" t="s">
        <v>2347</v>
      </c>
      <c r="G1733" s="3" t="s">
        <v>430</v>
      </c>
      <c r="H1733" s="3">
        <v>0.5</v>
      </c>
      <c r="I1733" s="3">
        <v>0</v>
      </c>
      <c r="J1733" s="3" t="s">
        <v>18</v>
      </c>
      <c r="K1733" s="5">
        <v>0.18</v>
      </c>
      <c r="L1733" s="6">
        <v>0</v>
      </c>
      <c r="M1733" s="7" t="s">
        <v>2348</v>
      </c>
      <c r="N1733" s="8">
        <f>VLOOKUP(B1733,'[1]новый без картинок'!$A$5:$F$2672,6,0)</f>
        <v>439</v>
      </c>
    </row>
    <row r="1734" spans="1:14" ht="151.15" customHeight="1" x14ac:dyDescent="0.2">
      <c r="A1734" s="3">
        <v>1732</v>
      </c>
      <c r="B1734" s="3">
        <v>211159</v>
      </c>
      <c r="C1734" s="4" t="str">
        <f>HYPERLINK("http://optservis.net:5080/photo?tov_code_internet=211159","Увеличить")</f>
        <v>Увеличить</v>
      </c>
      <c r="D1734" s="3" t="s">
        <v>3536</v>
      </c>
      <c r="E1734" s="3"/>
      <c r="F1734" s="3" t="s">
        <v>2374</v>
      </c>
      <c r="G1734" s="3" t="s">
        <v>430</v>
      </c>
      <c r="H1734" s="3">
        <v>0.5</v>
      </c>
      <c r="I1734" s="3">
        <v>0</v>
      </c>
      <c r="J1734" s="3" t="s">
        <v>18</v>
      </c>
      <c r="K1734" s="5">
        <v>7.0000000000000007E-2</v>
      </c>
      <c r="L1734" s="6">
        <v>0</v>
      </c>
      <c r="M1734" s="7" t="s">
        <v>3537</v>
      </c>
      <c r="N1734" s="8">
        <f>VLOOKUP(B1734,'[1]новый без картинок'!$A$5:$F$2672,6,0)</f>
        <v>386</v>
      </c>
    </row>
    <row r="1735" spans="1:14" ht="151.15" customHeight="1" x14ac:dyDescent="0.2">
      <c r="A1735" s="3">
        <v>1733</v>
      </c>
      <c r="B1735" s="3">
        <v>209520</v>
      </c>
      <c r="C1735" s="4" t="str">
        <f>HYPERLINK("http://optservis.net:5080/photo?tov_code_internet=209520","Увеличить")</f>
        <v>Увеличить</v>
      </c>
      <c r="D1735" s="3" t="s">
        <v>3538</v>
      </c>
      <c r="E1735" s="3"/>
      <c r="F1735" s="3" t="s">
        <v>3539</v>
      </c>
      <c r="G1735" s="3" t="s">
        <v>1469</v>
      </c>
      <c r="H1735" s="3">
        <v>0.5</v>
      </c>
      <c r="I1735" s="3">
        <v>0</v>
      </c>
      <c r="J1735" s="3" t="s">
        <v>18</v>
      </c>
      <c r="K1735" s="5">
        <v>7.0000000000000007E-2</v>
      </c>
      <c r="L1735" s="6">
        <v>0</v>
      </c>
      <c r="M1735" s="7" t="s">
        <v>2973</v>
      </c>
      <c r="N1735" s="8">
        <f>VLOOKUP(B1735,'[1]новый без картинок'!$A$5:$F$2672,6,0)</f>
        <v>554</v>
      </c>
    </row>
    <row r="1736" spans="1:14" ht="151.15" customHeight="1" x14ac:dyDescent="0.2">
      <c r="A1736" s="3">
        <v>1734</v>
      </c>
      <c r="B1736" s="3">
        <v>209639</v>
      </c>
      <c r="C1736" s="4" t="str">
        <f>HYPERLINK("http://optservis.net:5080/photo?tov_code_internet=209639","Увеличить")</f>
        <v>Увеличить</v>
      </c>
      <c r="D1736" s="3" t="s">
        <v>3538</v>
      </c>
      <c r="E1736" s="3"/>
      <c r="F1736" s="3" t="s">
        <v>2398</v>
      </c>
      <c r="G1736" s="3" t="s">
        <v>1469</v>
      </c>
      <c r="H1736" s="3">
        <v>0.5</v>
      </c>
      <c r="I1736" s="3">
        <v>0</v>
      </c>
      <c r="J1736" s="3" t="s">
        <v>18</v>
      </c>
      <c r="K1736" s="5">
        <v>7.0000000000000007E-2</v>
      </c>
      <c r="L1736" s="6">
        <v>0</v>
      </c>
      <c r="M1736" s="7" t="s">
        <v>2973</v>
      </c>
      <c r="N1736" s="8">
        <f>VLOOKUP(B1736,'[1]новый без картинок'!$A$5:$F$2672,6,0)</f>
        <v>554</v>
      </c>
    </row>
    <row r="1737" spans="1:14" ht="151.15" customHeight="1" x14ac:dyDescent="0.2">
      <c r="A1737" s="3">
        <v>1735</v>
      </c>
      <c r="B1737" s="3">
        <v>209643</v>
      </c>
      <c r="C1737" s="4" t="str">
        <f>HYPERLINK("http://optservis.net:5080/photo?tov_code_internet=209643","Увеличить")</f>
        <v>Увеличить</v>
      </c>
      <c r="D1737" s="3" t="s">
        <v>3540</v>
      </c>
      <c r="E1737" s="3"/>
      <c r="F1737" s="3" t="s">
        <v>2405</v>
      </c>
      <c r="G1737" s="3" t="s">
        <v>1045</v>
      </c>
      <c r="H1737" s="3">
        <v>0.5</v>
      </c>
      <c r="I1737" s="3">
        <v>0</v>
      </c>
      <c r="J1737" s="3" t="s">
        <v>18</v>
      </c>
      <c r="K1737" s="5">
        <v>0.06</v>
      </c>
      <c r="L1737" s="6">
        <v>0</v>
      </c>
      <c r="M1737" s="7" t="s">
        <v>2977</v>
      </c>
      <c r="N1737" s="8">
        <f>VLOOKUP(B1737,'[1]новый без картинок'!$A$5:$F$2672,6,0)</f>
        <v>567</v>
      </c>
    </row>
    <row r="1738" spans="1:14" ht="151.15" customHeight="1" x14ac:dyDescent="0.2">
      <c r="A1738" s="3">
        <v>1736</v>
      </c>
      <c r="B1738" s="3">
        <v>211157</v>
      </c>
      <c r="C1738" s="4" t="str">
        <f>HYPERLINK("http://optservis.net:5080/photo?tov_code_internet=211157","Увеличить")</f>
        <v>Увеличить</v>
      </c>
      <c r="D1738" s="3" t="s">
        <v>3541</v>
      </c>
      <c r="E1738" s="3"/>
      <c r="F1738" s="3" t="s">
        <v>2436</v>
      </c>
      <c r="G1738" s="3" t="s">
        <v>430</v>
      </c>
      <c r="H1738" s="3">
        <v>0.5</v>
      </c>
      <c r="I1738" s="3">
        <v>0</v>
      </c>
      <c r="J1738" s="3" t="s">
        <v>18</v>
      </c>
      <c r="K1738" s="5">
        <v>0.08</v>
      </c>
      <c r="L1738" s="6">
        <v>0</v>
      </c>
      <c r="M1738" s="7" t="s">
        <v>3542</v>
      </c>
      <c r="N1738" s="8">
        <f>VLOOKUP(B1738,'[1]новый без картинок'!$A$5:$F$2672,6,0)</f>
        <v>387</v>
      </c>
    </row>
    <row r="1739" spans="1:14" ht="151.15" customHeight="1" x14ac:dyDescent="0.2">
      <c r="A1739" s="3">
        <v>1737</v>
      </c>
      <c r="B1739" s="3">
        <v>211156</v>
      </c>
      <c r="C1739" s="4" t="str">
        <f>HYPERLINK("http://optservis.net:5080/photo?tov_code_internet=211156","Увеличить")</f>
        <v>Увеличить</v>
      </c>
      <c r="D1739" s="3" t="s">
        <v>3541</v>
      </c>
      <c r="E1739" s="3"/>
      <c r="F1739" s="3" t="s">
        <v>2433</v>
      </c>
      <c r="G1739" s="3" t="s">
        <v>430</v>
      </c>
      <c r="H1739" s="3">
        <v>0.5</v>
      </c>
      <c r="I1739" s="3">
        <v>0</v>
      </c>
      <c r="J1739" s="3" t="s">
        <v>18</v>
      </c>
      <c r="K1739" s="5">
        <v>0.08</v>
      </c>
      <c r="L1739" s="6">
        <v>0</v>
      </c>
      <c r="M1739" s="7" t="s">
        <v>3542</v>
      </c>
      <c r="N1739" s="8">
        <f>VLOOKUP(B1739,'[1]новый без картинок'!$A$5:$F$2672,6,0)</f>
        <v>387</v>
      </c>
    </row>
    <row r="1740" spans="1:14" ht="151.15" customHeight="1" x14ac:dyDescent="0.2">
      <c r="A1740" s="3">
        <v>1738</v>
      </c>
      <c r="B1740" s="3">
        <v>212270</v>
      </c>
      <c r="C1740" s="4" t="str">
        <f>HYPERLINK("http://optservis.net:5080/photo?tov_code_internet=212270","Увеличить")</f>
        <v>Увеличить</v>
      </c>
      <c r="D1740" s="3" t="s">
        <v>3543</v>
      </c>
      <c r="E1740" s="3"/>
      <c r="F1740" s="3" t="s">
        <v>2130</v>
      </c>
      <c r="G1740" s="3" t="s">
        <v>430</v>
      </c>
      <c r="H1740" s="3">
        <v>0.5</v>
      </c>
      <c r="I1740" s="3">
        <v>0</v>
      </c>
      <c r="J1740" s="3" t="s">
        <v>18</v>
      </c>
      <c r="K1740" s="5">
        <v>0.16</v>
      </c>
      <c r="L1740" s="6">
        <v>0</v>
      </c>
      <c r="M1740" s="7" t="s">
        <v>2995</v>
      </c>
      <c r="N1740" s="8">
        <f>VLOOKUP(B1740,'[1]новый без картинок'!$A$5:$F$2672,6,0)</f>
        <v>429</v>
      </c>
    </row>
    <row r="1741" spans="1:14" ht="151.15" customHeight="1" x14ac:dyDescent="0.2">
      <c r="A1741" s="3">
        <v>1739</v>
      </c>
      <c r="B1741" s="3">
        <v>180804</v>
      </c>
      <c r="C1741" s="4" t="str">
        <f>HYPERLINK("http://optservis.net:5080/photo?tov_code_internet=180804","Увеличить")</f>
        <v>Увеличить</v>
      </c>
      <c r="D1741" s="3" t="s">
        <v>3543</v>
      </c>
      <c r="E1741" s="3" t="s">
        <v>3544</v>
      </c>
      <c r="F1741" s="3" t="s">
        <v>2433</v>
      </c>
      <c r="G1741" s="3" t="s">
        <v>430</v>
      </c>
      <c r="H1741" s="3">
        <v>0.5</v>
      </c>
      <c r="I1741" s="3">
        <v>0</v>
      </c>
      <c r="J1741" s="3" t="s">
        <v>18</v>
      </c>
      <c r="K1741" s="5">
        <v>0.19</v>
      </c>
      <c r="L1741" s="6">
        <v>4690654013707</v>
      </c>
      <c r="M1741" s="7" t="s">
        <v>2995</v>
      </c>
      <c r="N1741" s="8">
        <f>VLOOKUP(B1741,'[1]новый без картинок'!$A$5:$F$2672,6,0)</f>
        <v>423</v>
      </c>
    </row>
    <row r="1742" spans="1:14" ht="151.15" customHeight="1" x14ac:dyDescent="0.2">
      <c r="A1742" s="3">
        <v>1740</v>
      </c>
      <c r="B1742" s="3">
        <v>212266</v>
      </c>
      <c r="C1742" s="4" t="str">
        <f>HYPERLINK("http://optservis.net:5080/photo?tov_code_internet=212266","Увеличить")</f>
        <v>Увеличить</v>
      </c>
      <c r="D1742" s="3" t="s">
        <v>3545</v>
      </c>
      <c r="E1742" s="3"/>
      <c r="F1742" s="3" t="s">
        <v>2200</v>
      </c>
      <c r="G1742" s="3" t="s">
        <v>1479</v>
      </c>
      <c r="H1742" s="3">
        <v>0.5</v>
      </c>
      <c r="I1742" s="3">
        <v>0</v>
      </c>
      <c r="J1742" s="3" t="s">
        <v>18</v>
      </c>
      <c r="K1742" s="5">
        <v>0.05</v>
      </c>
      <c r="L1742" s="6">
        <v>0</v>
      </c>
      <c r="M1742" s="7" t="s">
        <v>2998</v>
      </c>
      <c r="N1742" s="8">
        <f>VLOOKUP(B1742,'[1]новый без картинок'!$A$5:$F$2672,6,0)</f>
        <v>575</v>
      </c>
    </row>
    <row r="1743" spans="1:14" ht="151.15" customHeight="1" x14ac:dyDescent="0.2">
      <c r="A1743" s="3">
        <v>1741</v>
      </c>
      <c r="B1743" s="3">
        <v>183192</v>
      </c>
      <c r="C1743" s="4" t="str">
        <f>HYPERLINK("http://optservis.net:5080/photo?tov_code_internet=183192","Увеличить")</f>
        <v>Увеличить</v>
      </c>
      <c r="D1743" s="3" t="s">
        <v>3545</v>
      </c>
      <c r="E1743" s="3"/>
      <c r="F1743" s="3" t="s">
        <v>3546</v>
      </c>
      <c r="G1743" s="3" t="s">
        <v>1479</v>
      </c>
      <c r="H1743" s="3">
        <v>0.5</v>
      </c>
      <c r="I1743" s="3">
        <v>0</v>
      </c>
      <c r="J1743" s="3" t="s">
        <v>18</v>
      </c>
      <c r="K1743" s="5">
        <v>0.08</v>
      </c>
      <c r="L1743" s="6">
        <v>0</v>
      </c>
      <c r="M1743" s="7" t="s">
        <v>3547</v>
      </c>
      <c r="N1743" s="8">
        <f>VLOOKUP(B1743,'[1]новый без картинок'!$A$5:$F$2672,6,0)</f>
        <v>567</v>
      </c>
    </row>
    <row r="1744" spans="1:14" ht="151.15" customHeight="1" x14ac:dyDescent="0.2">
      <c r="A1744" s="3">
        <v>1742</v>
      </c>
      <c r="B1744" s="3">
        <v>199140</v>
      </c>
      <c r="C1744" s="4" t="str">
        <f>HYPERLINK("http://optservis.net:5080/photo?tov_code_internet=199140","Увеличить")</f>
        <v>Увеличить</v>
      </c>
      <c r="D1744" s="3" t="s">
        <v>3548</v>
      </c>
      <c r="E1744" s="3"/>
      <c r="F1744" s="3" t="s">
        <v>3549</v>
      </c>
      <c r="G1744" s="3" t="s">
        <v>1479</v>
      </c>
      <c r="H1744" s="3">
        <v>0.5</v>
      </c>
      <c r="I1744" s="3">
        <v>0</v>
      </c>
      <c r="J1744" s="3" t="s">
        <v>18</v>
      </c>
      <c r="K1744" s="5">
        <v>0.09</v>
      </c>
      <c r="L1744" s="6">
        <v>0</v>
      </c>
      <c r="M1744" s="7" t="s">
        <v>3010</v>
      </c>
      <c r="N1744" s="8">
        <f>VLOOKUP(B1744,'[1]новый без картинок'!$A$5:$F$2672,6,0)</f>
        <v>550</v>
      </c>
    </row>
    <row r="1745" spans="1:14" ht="151.15" customHeight="1" x14ac:dyDescent="0.2">
      <c r="A1745" s="3">
        <v>1743</v>
      </c>
      <c r="B1745" s="3">
        <v>199139</v>
      </c>
      <c r="C1745" s="4" t="str">
        <f>HYPERLINK("http://optservis.net:5080/photo?tov_code_internet=199139","Увеличить")</f>
        <v>Увеличить</v>
      </c>
      <c r="D1745" s="3" t="s">
        <v>3548</v>
      </c>
      <c r="E1745" s="3" t="s">
        <v>3550</v>
      </c>
      <c r="F1745" s="3" t="s">
        <v>3551</v>
      </c>
      <c r="G1745" s="3" t="s">
        <v>1479</v>
      </c>
      <c r="H1745" s="3">
        <v>0.5</v>
      </c>
      <c r="I1745" s="3">
        <v>0</v>
      </c>
      <c r="J1745" s="3" t="s">
        <v>18</v>
      </c>
      <c r="K1745" s="5">
        <v>0.09</v>
      </c>
      <c r="L1745" s="6">
        <v>4690654017255</v>
      </c>
      <c r="M1745" s="7" t="s">
        <v>3010</v>
      </c>
      <c r="N1745" s="8">
        <f>VLOOKUP(B1745,'[1]новый без картинок'!$A$5:$F$2672,6,0)</f>
        <v>550</v>
      </c>
    </row>
    <row r="1746" spans="1:14" ht="151.15" customHeight="1" x14ac:dyDescent="0.2">
      <c r="A1746" s="3">
        <v>1744</v>
      </c>
      <c r="B1746" s="3">
        <v>191840</v>
      </c>
      <c r="C1746" s="4" t="str">
        <f>HYPERLINK("http://optservis.net:5080/photo?tov_code_internet=191840","Увеличить")</f>
        <v>Увеличить</v>
      </c>
      <c r="D1746" s="3" t="s">
        <v>3552</v>
      </c>
      <c r="E1746" s="3"/>
      <c r="F1746" s="3" t="s">
        <v>2480</v>
      </c>
      <c r="G1746" s="3" t="s">
        <v>1469</v>
      </c>
      <c r="H1746" s="3">
        <v>0.5</v>
      </c>
      <c r="I1746" s="3">
        <v>0</v>
      </c>
      <c r="J1746" s="3" t="s">
        <v>18</v>
      </c>
      <c r="K1746" s="5">
        <v>0.08</v>
      </c>
      <c r="L1746" s="6">
        <v>0</v>
      </c>
      <c r="M1746" s="7" t="s">
        <v>3553</v>
      </c>
      <c r="N1746" s="8">
        <f>VLOOKUP(B1746,'[1]новый без картинок'!$A$5:$F$2672,6,0)</f>
        <v>621</v>
      </c>
    </row>
    <row r="1747" spans="1:14" ht="151.15" customHeight="1" x14ac:dyDescent="0.2">
      <c r="A1747" s="3">
        <v>1745</v>
      </c>
      <c r="B1747" s="3">
        <v>208248</v>
      </c>
      <c r="C1747" s="4" t="str">
        <f>HYPERLINK("http://optservis.net:5080/photo?tov_code_internet=208248","Увеличить")</f>
        <v>Увеличить</v>
      </c>
      <c r="D1747" s="3" t="s">
        <v>3552</v>
      </c>
      <c r="E1747" s="3"/>
      <c r="F1747" s="3" t="s">
        <v>3017</v>
      </c>
      <c r="G1747" s="3" t="s">
        <v>1469</v>
      </c>
      <c r="H1747" s="3">
        <v>0.5</v>
      </c>
      <c r="I1747" s="3">
        <v>0</v>
      </c>
      <c r="J1747" s="3" t="s">
        <v>18</v>
      </c>
      <c r="K1747" s="5">
        <v>0.08</v>
      </c>
      <c r="L1747" s="6">
        <v>0</v>
      </c>
      <c r="M1747" s="7" t="s">
        <v>3553</v>
      </c>
      <c r="N1747" s="8">
        <f>VLOOKUP(B1747,'[1]новый без картинок'!$A$5:$F$2672,6,0)</f>
        <v>582</v>
      </c>
    </row>
    <row r="1748" spans="1:14" ht="151.15" customHeight="1" x14ac:dyDescent="0.2">
      <c r="A1748" s="3">
        <v>1746</v>
      </c>
      <c r="B1748" s="3">
        <v>191857</v>
      </c>
      <c r="C1748" s="4" t="str">
        <f>HYPERLINK("http://optservis.net:5080/photo?tov_code_internet=191857","Увеличить")</f>
        <v>Увеличить</v>
      </c>
      <c r="D1748" s="3" t="s">
        <v>3554</v>
      </c>
      <c r="E1748" s="3" t="s">
        <v>3555</v>
      </c>
      <c r="F1748" s="3" t="s">
        <v>2488</v>
      </c>
      <c r="G1748" s="3" t="s">
        <v>1479</v>
      </c>
      <c r="H1748" s="3">
        <v>0.5</v>
      </c>
      <c r="I1748" s="3">
        <v>0</v>
      </c>
      <c r="J1748" s="3" t="s">
        <v>18</v>
      </c>
      <c r="K1748" s="5">
        <v>0.08</v>
      </c>
      <c r="L1748" s="6">
        <v>4690654018085</v>
      </c>
      <c r="M1748" s="7" t="s">
        <v>3023</v>
      </c>
      <c r="N1748" s="8">
        <f>VLOOKUP(B1748,'[1]новый без картинок'!$A$5:$F$2672,6,0)</f>
        <v>601</v>
      </c>
    </row>
    <row r="1749" spans="1:14" ht="151.15" customHeight="1" x14ac:dyDescent="0.2">
      <c r="A1749" s="3">
        <v>1747</v>
      </c>
      <c r="B1749" s="3">
        <v>198596</v>
      </c>
      <c r="C1749" s="4" t="str">
        <f>HYPERLINK("http://optservis.net:5080/photo?tov_code_internet=198596","Увеличить")</f>
        <v>Увеличить</v>
      </c>
      <c r="D1749" s="3" t="s">
        <v>3556</v>
      </c>
      <c r="E1749" s="3"/>
      <c r="F1749" s="3" t="s">
        <v>3021</v>
      </c>
      <c r="G1749" s="3" t="s">
        <v>1479</v>
      </c>
      <c r="H1749" s="3">
        <v>0.5</v>
      </c>
      <c r="I1749" s="3">
        <v>0</v>
      </c>
      <c r="J1749" s="3" t="s">
        <v>18</v>
      </c>
      <c r="K1749" s="5">
        <v>0.09</v>
      </c>
      <c r="L1749" s="6">
        <v>0</v>
      </c>
      <c r="M1749" s="7" t="s">
        <v>3557</v>
      </c>
      <c r="N1749" s="8">
        <f>VLOOKUP(B1749,'[1]новый без картинок'!$A$5:$F$2672,6,0)</f>
        <v>584</v>
      </c>
    </row>
    <row r="1750" spans="1:14" ht="151.15" customHeight="1" x14ac:dyDescent="0.2">
      <c r="A1750" s="3">
        <v>1748</v>
      </c>
      <c r="B1750" s="3">
        <v>211163</v>
      </c>
      <c r="C1750" s="4" t="str">
        <f>HYPERLINK("http://optservis.net:5080/photo?tov_code_internet=211163","Увеличить")</f>
        <v>Увеличить</v>
      </c>
      <c r="D1750" s="3" t="s">
        <v>3558</v>
      </c>
      <c r="E1750" s="3"/>
      <c r="F1750" s="3" t="s">
        <v>2495</v>
      </c>
      <c r="G1750" s="3" t="s">
        <v>430</v>
      </c>
      <c r="H1750" s="3">
        <v>0.5</v>
      </c>
      <c r="I1750" s="3">
        <v>0</v>
      </c>
      <c r="J1750" s="3" t="s">
        <v>18</v>
      </c>
      <c r="K1750" s="5">
        <v>7.0000000000000007E-2</v>
      </c>
      <c r="L1750" s="6">
        <v>0</v>
      </c>
      <c r="M1750" s="7" t="s">
        <v>3559</v>
      </c>
      <c r="N1750" s="8">
        <f>VLOOKUP(B1750,'[1]новый без картинок'!$A$5:$F$2672,6,0)</f>
        <v>419</v>
      </c>
    </row>
    <row r="1751" spans="1:14" ht="151.15" customHeight="1" x14ac:dyDescent="0.2">
      <c r="A1751" s="3">
        <v>1749</v>
      </c>
      <c r="B1751" s="3">
        <v>211605</v>
      </c>
      <c r="C1751" s="4" t="str">
        <f>HYPERLINK("http://optservis.net:5080/photo?tov_code_internet=211605","Увеличить")</f>
        <v>Увеличить</v>
      </c>
      <c r="D1751" s="3" t="s">
        <v>3560</v>
      </c>
      <c r="E1751" s="3"/>
      <c r="F1751" s="3" t="s">
        <v>1896</v>
      </c>
      <c r="G1751" s="3" t="s">
        <v>1469</v>
      </c>
      <c r="H1751" s="3">
        <v>0.5</v>
      </c>
      <c r="I1751" s="3">
        <v>0</v>
      </c>
      <c r="J1751" s="3" t="s">
        <v>18</v>
      </c>
      <c r="K1751" s="5">
        <v>0.08</v>
      </c>
      <c r="L1751" s="6">
        <v>0</v>
      </c>
      <c r="M1751" s="7" t="s">
        <v>3037</v>
      </c>
      <c r="N1751" s="8">
        <f>VLOOKUP(B1751,'[1]новый без картинок'!$A$5:$F$2672,6,0)</f>
        <v>586</v>
      </c>
    </row>
    <row r="1752" spans="1:14" ht="151.15" customHeight="1" x14ac:dyDescent="0.2">
      <c r="A1752" s="3">
        <v>1750</v>
      </c>
      <c r="B1752" s="3">
        <v>198375</v>
      </c>
      <c r="C1752" s="4" t="str">
        <f>HYPERLINK("http://optservis.net:5080/photo?tov_code_internet=198375","Увеличить")</f>
        <v>Увеличить</v>
      </c>
      <c r="D1752" s="3" t="s">
        <v>3560</v>
      </c>
      <c r="E1752" s="3"/>
      <c r="F1752" s="3" t="s">
        <v>3561</v>
      </c>
      <c r="G1752" s="3" t="s">
        <v>1469</v>
      </c>
      <c r="H1752" s="3">
        <v>0.5</v>
      </c>
      <c r="I1752" s="3">
        <v>0</v>
      </c>
      <c r="J1752" s="3" t="s">
        <v>18</v>
      </c>
      <c r="K1752" s="5">
        <v>0.08</v>
      </c>
      <c r="L1752" s="6">
        <v>0</v>
      </c>
      <c r="M1752" s="7" t="s">
        <v>3037</v>
      </c>
      <c r="N1752" s="8">
        <f>VLOOKUP(B1752,'[1]новый без картинок'!$A$5:$F$2672,6,0)</f>
        <v>606</v>
      </c>
    </row>
    <row r="1753" spans="1:14" ht="151.15" customHeight="1" x14ac:dyDescent="0.2">
      <c r="A1753" s="3">
        <v>1751</v>
      </c>
      <c r="B1753" s="3">
        <v>206856</v>
      </c>
      <c r="C1753" s="4" t="str">
        <f>HYPERLINK("http://optservis.net:5080/photo?tov_code_internet=206856","Увеличить")</f>
        <v>Увеличить</v>
      </c>
      <c r="D1753" s="3" t="s">
        <v>3560</v>
      </c>
      <c r="E1753" s="3"/>
      <c r="F1753" s="3" t="s">
        <v>2524</v>
      </c>
      <c r="G1753" s="3" t="s">
        <v>1469</v>
      </c>
      <c r="H1753" s="3">
        <v>0.5</v>
      </c>
      <c r="I1753" s="3">
        <v>0</v>
      </c>
      <c r="J1753" s="3" t="s">
        <v>18</v>
      </c>
      <c r="K1753" s="5">
        <v>7.0000000000000007E-2</v>
      </c>
      <c r="L1753" s="6">
        <v>0</v>
      </c>
      <c r="M1753" s="7" t="s">
        <v>3037</v>
      </c>
      <c r="N1753" s="8">
        <f>VLOOKUP(B1753,'[1]новый без картинок'!$A$5:$F$2672,6,0)</f>
        <v>586</v>
      </c>
    </row>
    <row r="1754" spans="1:14" ht="151.15" customHeight="1" x14ac:dyDescent="0.2">
      <c r="A1754" s="3">
        <v>1752</v>
      </c>
      <c r="B1754" s="3">
        <v>190067</v>
      </c>
      <c r="C1754" s="4" t="str">
        <f>HYPERLINK("http://optservis.net:5080/photo?tov_code_internet=190067","Увеличить")</f>
        <v>Увеличить</v>
      </c>
      <c r="D1754" s="3" t="s">
        <v>3560</v>
      </c>
      <c r="E1754" s="3"/>
      <c r="F1754" s="3" t="s">
        <v>2082</v>
      </c>
      <c r="G1754" s="3" t="s">
        <v>1469</v>
      </c>
      <c r="H1754" s="3">
        <v>0.5</v>
      </c>
      <c r="I1754" s="3">
        <v>0</v>
      </c>
      <c r="J1754" s="3" t="s">
        <v>18</v>
      </c>
      <c r="K1754" s="5">
        <v>0.08</v>
      </c>
      <c r="L1754" s="6">
        <v>0</v>
      </c>
      <c r="M1754" s="7" t="s">
        <v>3553</v>
      </c>
      <c r="N1754" s="8">
        <f>VLOOKUP(B1754,'[1]новый без картинок'!$A$5:$F$2672,6,0)</f>
        <v>620</v>
      </c>
    </row>
    <row r="1755" spans="1:14" ht="151.15" customHeight="1" x14ac:dyDescent="0.2">
      <c r="A1755" s="3">
        <v>1753</v>
      </c>
      <c r="B1755" s="3">
        <v>211606</v>
      </c>
      <c r="C1755" s="4" t="str">
        <f>HYPERLINK("http://optservis.net:5080/photo?tov_code_internet=211606","Увеличить")</f>
        <v>Увеличить</v>
      </c>
      <c r="D1755" s="3" t="s">
        <v>3562</v>
      </c>
      <c r="E1755" s="3"/>
      <c r="F1755" s="3" t="s">
        <v>1874</v>
      </c>
      <c r="G1755" s="3" t="s">
        <v>430</v>
      </c>
      <c r="H1755" s="3">
        <v>0.5</v>
      </c>
      <c r="I1755" s="3">
        <v>0</v>
      </c>
      <c r="J1755" s="3" t="s">
        <v>18</v>
      </c>
      <c r="K1755" s="5">
        <v>0.19</v>
      </c>
      <c r="L1755" s="6">
        <v>0</v>
      </c>
      <c r="M1755" s="7" t="s">
        <v>2484</v>
      </c>
      <c r="N1755" s="8">
        <f>VLOOKUP(B1755,'[1]новый без картинок'!$A$5:$F$2672,6,0)</f>
        <v>454</v>
      </c>
    </row>
    <row r="1756" spans="1:14" ht="151.15" customHeight="1" x14ac:dyDescent="0.2">
      <c r="A1756" s="3">
        <v>1754</v>
      </c>
      <c r="B1756" s="3">
        <v>198369</v>
      </c>
      <c r="C1756" s="4" t="str">
        <f>HYPERLINK("http://optservis.net:5080/photo?tov_code_internet=198369","Увеличить")</f>
        <v>Увеличить</v>
      </c>
      <c r="D1756" s="3" t="s">
        <v>3562</v>
      </c>
      <c r="E1756" s="3" t="s">
        <v>3563</v>
      </c>
      <c r="F1756" s="3" t="s">
        <v>2498</v>
      </c>
      <c r="G1756" s="3" t="s">
        <v>430</v>
      </c>
      <c r="H1756" s="3">
        <v>0.5</v>
      </c>
      <c r="I1756" s="3">
        <v>0</v>
      </c>
      <c r="J1756" s="3" t="s">
        <v>18</v>
      </c>
      <c r="K1756" s="5">
        <v>0.19</v>
      </c>
      <c r="L1756" s="6">
        <v>4690654016142</v>
      </c>
      <c r="M1756" s="7" t="s">
        <v>2484</v>
      </c>
      <c r="N1756" s="8">
        <f>VLOOKUP(B1756,'[1]новый без картинок'!$A$5:$F$2672,6,0)</f>
        <v>484</v>
      </c>
    </row>
    <row r="1757" spans="1:14" ht="151.15" customHeight="1" x14ac:dyDescent="0.2">
      <c r="A1757" s="3">
        <v>1755</v>
      </c>
      <c r="B1757" s="3">
        <v>206854</v>
      </c>
      <c r="C1757" s="4" t="str">
        <f>HYPERLINK("http://optservis.net:5080/photo?tov_code_internet=206854","Увеличить")</f>
        <v>Увеличить</v>
      </c>
      <c r="D1757" s="3" t="s">
        <v>3562</v>
      </c>
      <c r="E1757" s="3" t="s">
        <v>3563</v>
      </c>
      <c r="F1757" s="3" t="s">
        <v>2495</v>
      </c>
      <c r="G1757" s="3" t="s">
        <v>430</v>
      </c>
      <c r="H1757" s="3">
        <v>0.5</v>
      </c>
      <c r="I1757" s="3">
        <v>0</v>
      </c>
      <c r="J1757" s="3" t="s">
        <v>18</v>
      </c>
      <c r="K1757" s="5">
        <v>0.18</v>
      </c>
      <c r="L1757" s="6">
        <v>4690654018436</v>
      </c>
      <c r="M1757" s="7" t="s">
        <v>2484</v>
      </c>
      <c r="N1757" s="8">
        <f>VLOOKUP(B1757,'[1]новый без картинок'!$A$5:$F$2672,6,0)</f>
        <v>454</v>
      </c>
    </row>
    <row r="1758" spans="1:14" ht="151.15" customHeight="1" x14ac:dyDescent="0.2">
      <c r="A1758" s="3">
        <v>1756</v>
      </c>
      <c r="B1758" s="3">
        <v>190070</v>
      </c>
      <c r="C1758" s="4" t="str">
        <f>HYPERLINK("http://optservis.net:5080/photo?tov_code_internet=190070","Увеличить")</f>
        <v>Увеличить</v>
      </c>
      <c r="D1758" s="3" t="s">
        <v>3562</v>
      </c>
      <c r="E1758" s="3" t="s">
        <v>3563</v>
      </c>
      <c r="F1758" s="3" t="s">
        <v>434</v>
      </c>
      <c r="G1758" s="3" t="s">
        <v>430</v>
      </c>
      <c r="H1758" s="3">
        <v>0.5</v>
      </c>
      <c r="I1758" s="3">
        <v>0</v>
      </c>
      <c r="J1758" s="3" t="s">
        <v>18</v>
      </c>
      <c r="K1758" s="5">
        <v>0.19</v>
      </c>
      <c r="L1758" s="6">
        <v>4690654015848</v>
      </c>
      <c r="M1758" s="7" t="s">
        <v>3019</v>
      </c>
      <c r="N1758" s="8">
        <f>VLOOKUP(B1758,'[1]новый без картинок'!$A$5:$F$2672,6,0)</f>
        <v>454</v>
      </c>
    </row>
    <row r="1759" spans="1:14" ht="151.15" customHeight="1" x14ac:dyDescent="0.2">
      <c r="A1759" s="3">
        <v>1757</v>
      </c>
      <c r="B1759" s="3">
        <v>211608</v>
      </c>
      <c r="C1759" s="4" t="str">
        <f>HYPERLINK("http://optservis.net:5080/photo?tov_code_internet=211608","Увеличить")</f>
        <v>Увеличить</v>
      </c>
      <c r="D1759" s="3" t="s">
        <v>3564</v>
      </c>
      <c r="E1759" s="3"/>
      <c r="F1759" s="3" t="s">
        <v>3565</v>
      </c>
      <c r="G1759" s="3" t="s">
        <v>1479</v>
      </c>
      <c r="H1759" s="3">
        <v>0.5</v>
      </c>
      <c r="I1759" s="3">
        <v>0</v>
      </c>
      <c r="J1759" s="3" t="s">
        <v>18</v>
      </c>
      <c r="K1759" s="5">
        <v>7.0000000000000007E-2</v>
      </c>
      <c r="L1759" s="6">
        <v>0</v>
      </c>
      <c r="M1759" s="7" t="s">
        <v>3042</v>
      </c>
      <c r="N1759" s="8">
        <f>VLOOKUP(B1759,'[1]новый без картинок'!$A$5:$F$2672,6,0)</f>
        <v>597</v>
      </c>
    </row>
    <row r="1760" spans="1:14" ht="151.15" customHeight="1" x14ac:dyDescent="0.2">
      <c r="A1760" s="3">
        <v>1758</v>
      </c>
      <c r="B1760" s="3">
        <v>198376</v>
      </c>
      <c r="C1760" s="4" t="str">
        <f>HYPERLINK("http://optservis.net:5080/photo?tov_code_internet=198376","Увеличить")</f>
        <v>Увеличить</v>
      </c>
      <c r="D1760" s="3" t="s">
        <v>3564</v>
      </c>
      <c r="E1760" s="3"/>
      <c r="F1760" s="3" t="s">
        <v>3566</v>
      </c>
      <c r="G1760" s="3" t="s">
        <v>1479</v>
      </c>
      <c r="H1760" s="3">
        <v>0.5</v>
      </c>
      <c r="I1760" s="3">
        <v>0</v>
      </c>
      <c r="J1760" s="3" t="s">
        <v>18</v>
      </c>
      <c r="K1760" s="5">
        <v>0.08</v>
      </c>
      <c r="L1760" s="6">
        <v>0</v>
      </c>
      <c r="M1760" s="7" t="s">
        <v>3044</v>
      </c>
      <c r="N1760" s="8">
        <f>VLOOKUP(B1760,'[1]новый без картинок'!$A$5:$F$2672,6,0)</f>
        <v>620</v>
      </c>
    </row>
    <row r="1761" spans="1:14" ht="151.15" customHeight="1" x14ac:dyDescent="0.2">
      <c r="A1761" s="3">
        <v>1759</v>
      </c>
      <c r="B1761" s="3">
        <v>198597</v>
      </c>
      <c r="C1761" s="4" t="str">
        <f>HYPERLINK("http://optservis.net:5080/photo?tov_code_internet=198597","Увеличить")</f>
        <v>Увеличить</v>
      </c>
      <c r="D1761" s="3" t="s">
        <v>3567</v>
      </c>
      <c r="E1761" s="3" t="s">
        <v>3568</v>
      </c>
      <c r="F1761" s="3" t="s">
        <v>3569</v>
      </c>
      <c r="G1761" s="3" t="s">
        <v>1479</v>
      </c>
      <c r="H1761" s="3">
        <v>0.5</v>
      </c>
      <c r="I1761" s="3">
        <v>0</v>
      </c>
      <c r="J1761" s="3" t="s">
        <v>18</v>
      </c>
      <c r="K1761" s="5">
        <v>0.09</v>
      </c>
      <c r="L1761" s="6">
        <v>4690654020545</v>
      </c>
      <c r="M1761" s="7" t="s">
        <v>3557</v>
      </c>
      <c r="N1761" s="8">
        <f>VLOOKUP(B1761,'[1]новый без картинок'!$A$5:$F$2672,6,0)</f>
        <v>581</v>
      </c>
    </row>
    <row r="1762" spans="1:14" ht="138.6" customHeight="1" x14ac:dyDescent="0.2">
      <c r="A1762" s="3">
        <v>1760</v>
      </c>
      <c r="B1762" s="3">
        <v>151489</v>
      </c>
      <c r="C1762" s="4" t="str">
        <f>HYPERLINK("http://optservis.net:5080/photo?tov_code_internet=151489","Увеличить")</f>
        <v>Увеличить</v>
      </c>
      <c r="D1762" s="3" t="s">
        <v>3570</v>
      </c>
      <c r="E1762" s="3"/>
      <c r="F1762" s="3" t="s">
        <v>87</v>
      </c>
      <c r="G1762" s="3" t="s">
        <v>59</v>
      </c>
      <c r="H1762" s="3">
        <v>0.5</v>
      </c>
      <c r="I1762" s="3">
        <v>0</v>
      </c>
      <c r="J1762" s="3" t="s">
        <v>18</v>
      </c>
      <c r="K1762" s="5">
        <v>0.02</v>
      </c>
      <c r="L1762" s="6">
        <v>0</v>
      </c>
      <c r="M1762" s="7" t="s">
        <v>3074</v>
      </c>
      <c r="N1762" s="8">
        <f>VLOOKUP(B1762,'[1]новый без картинок'!$A$5:$F$2672,6,0)</f>
        <v>545</v>
      </c>
    </row>
    <row r="1763" spans="1:14" ht="151.15" customHeight="1" x14ac:dyDescent="0.2">
      <c r="A1763" s="3">
        <v>1761</v>
      </c>
      <c r="B1763" s="3">
        <v>192020</v>
      </c>
      <c r="C1763" s="4" t="str">
        <f>HYPERLINK("http://optservis.net:5080/photo?tov_code_internet=192020","Увеличить")</f>
        <v>Увеличить</v>
      </c>
      <c r="D1763" s="3" t="s">
        <v>3571</v>
      </c>
      <c r="E1763" s="3" t="s">
        <v>3572</v>
      </c>
      <c r="F1763" s="3" t="s">
        <v>3573</v>
      </c>
      <c r="G1763" s="3" t="s">
        <v>1469</v>
      </c>
      <c r="H1763" s="3">
        <v>0.5</v>
      </c>
      <c r="I1763" s="3">
        <v>0</v>
      </c>
      <c r="J1763" s="3" t="s">
        <v>18</v>
      </c>
      <c r="K1763" s="5">
        <v>0.02</v>
      </c>
      <c r="L1763" s="6">
        <v>4690654016906</v>
      </c>
      <c r="M1763" s="7" t="s">
        <v>3089</v>
      </c>
      <c r="N1763" s="8">
        <f>VLOOKUP(B1763,'[1]новый без картинок'!$A$5:$F$2672,6,0)</f>
        <v>469</v>
      </c>
    </row>
    <row r="1764" spans="1:14" ht="151.15" customHeight="1" x14ac:dyDescent="0.2">
      <c r="A1764" s="3">
        <v>1762</v>
      </c>
      <c r="B1764" s="3">
        <v>192022</v>
      </c>
      <c r="C1764" s="4" t="str">
        <f>HYPERLINK("http://optservis.net:5080/photo?tov_code_internet=192022","Увеличить")</f>
        <v>Увеличить</v>
      </c>
      <c r="D1764" s="3" t="s">
        <v>3574</v>
      </c>
      <c r="E1764" s="3" t="s">
        <v>3336</v>
      </c>
      <c r="F1764" s="3" t="s">
        <v>3575</v>
      </c>
      <c r="G1764" s="3" t="s">
        <v>1479</v>
      </c>
      <c r="H1764" s="3">
        <v>0.5</v>
      </c>
      <c r="I1764" s="3">
        <v>0</v>
      </c>
      <c r="J1764" s="3" t="s">
        <v>18</v>
      </c>
      <c r="K1764" s="5">
        <v>0.01</v>
      </c>
      <c r="L1764" s="6">
        <v>4690654015558</v>
      </c>
      <c r="M1764" s="7" t="s">
        <v>3096</v>
      </c>
      <c r="N1764" s="8">
        <f>VLOOKUP(B1764,'[1]новый без картинок'!$A$5:$F$2672,6,0)</f>
        <v>449</v>
      </c>
    </row>
    <row r="1765" spans="1:14" ht="151.15" customHeight="1" x14ac:dyDescent="0.2">
      <c r="A1765" s="3">
        <v>1763</v>
      </c>
      <c r="B1765" s="3">
        <v>191997</v>
      </c>
      <c r="C1765" s="4" t="str">
        <f>HYPERLINK("http://optservis.net:5080/photo?tov_code_internet=191997","Увеличить")</f>
        <v>Увеличить</v>
      </c>
      <c r="D1765" s="3" t="s">
        <v>3576</v>
      </c>
      <c r="E1765" s="3"/>
      <c r="F1765" s="3" t="s">
        <v>3577</v>
      </c>
      <c r="G1765" s="3" t="s">
        <v>1469</v>
      </c>
      <c r="H1765" s="3">
        <v>0.5</v>
      </c>
      <c r="I1765" s="3">
        <v>0</v>
      </c>
      <c r="J1765" s="3" t="s">
        <v>18</v>
      </c>
      <c r="K1765" s="5">
        <v>0.04</v>
      </c>
      <c r="L1765" s="6">
        <v>0</v>
      </c>
      <c r="M1765" s="7" t="s">
        <v>3107</v>
      </c>
      <c r="N1765" s="8">
        <f>VLOOKUP(B1765,'[1]новый без картинок'!$A$5:$F$2672,6,0)</f>
        <v>467</v>
      </c>
    </row>
    <row r="1766" spans="1:14" ht="151.15" customHeight="1" x14ac:dyDescent="0.2">
      <c r="A1766" s="3">
        <v>1764</v>
      </c>
      <c r="B1766" s="3">
        <v>191998</v>
      </c>
      <c r="C1766" s="4" t="str">
        <f>HYPERLINK("http://optservis.net:5080/photo?tov_code_internet=191998","Увеличить")</f>
        <v>Увеличить</v>
      </c>
      <c r="D1766" s="3" t="s">
        <v>3576</v>
      </c>
      <c r="E1766" s="3"/>
      <c r="F1766" s="3" t="s">
        <v>3578</v>
      </c>
      <c r="G1766" s="3" t="s">
        <v>1469</v>
      </c>
      <c r="H1766" s="3">
        <v>0.5</v>
      </c>
      <c r="I1766" s="3">
        <v>0</v>
      </c>
      <c r="J1766" s="3" t="s">
        <v>18</v>
      </c>
      <c r="K1766" s="5">
        <v>0.04</v>
      </c>
      <c r="L1766" s="6">
        <v>0</v>
      </c>
      <c r="M1766" s="7" t="s">
        <v>3107</v>
      </c>
      <c r="N1766" s="8">
        <f>VLOOKUP(B1766,'[1]новый без картинок'!$A$5:$F$2672,6,0)</f>
        <v>433</v>
      </c>
    </row>
    <row r="1767" spans="1:14" ht="151.15" customHeight="1" x14ac:dyDescent="0.2">
      <c r="A1767" s="3">
        <v>1765</v>
      </c>
      <c r="B1767" s="3">
        <v>192002</v>
      </c>
      <c r="C1767" s="4" t="str">
        <f>HYPERLINK("http://optservis.net:5080/photo?tov_code_internet=192002","Увеличить")</f>
        <v>Увеличить</v>
      </c>
      <c r="D1767" s="3" t="s">
        <v>3579</v>
      </c>
      <c r="E1767" s="3"/>
      <c r="F1767" s="3" t="s">
        <v>3580</v>
      </c>
      <c r="G1767" s="3" t="s">
        <v>1479</v>
      </c>
      <c r="H1767" s="3">
        <v>0.5</v>
      </c>
      <c r="I1767" s="3">
        <v>0</v>
      </c>
      <c r="J1767" s="3" t="s">
        <v>18</v>
      </c>
      <c r="K1767" s="5">
        <v>0.03</v>
      </c>
      <c r="L1767" s="6">
        <v>0</v>
      </c>
      <c r="M1767" s="7" t="s">
        <v>3111</v>
      </c>
      <c r="N1767" s="8">
        <f>VLOOKUP(B1767,'[1]новый без картинок'!$A$5:$F$2672,6,0)</f>
        <v>443</v>
      </c>
    </row>
    <row r="1768" spans="1:14" ht="151.15" customHeight="1" x14ac:dyDescent="0.2">
      <c r="A1768" s="3">
        <v>1766</v>
      </c>
      <c r="B1768" s="3">
        <v>194120</v>
      </c>
      <c r="C1768" s="4" t="str">
        <f>HYPERLINK("http://optservis.net:5080/photo?tov_code_internet=194120","Увеличить")</f>
        <v>Увеличить</v>
      </c>
      <c r="D1768" s="3" t="s">
        <v>3581</v>
      </c>
      <c r="E1768" s="3"/>
      <c r="F1768" s="3" t="s">
        <v>3582</v>
      </c>
      <c r="G1768" s="3" t="s">
        <v>1469</v>
      </c>
      <c r="H1768" s="3">
        <v>0.5</v>
      </c>
      <c r="I1768" s="3">
        <v>0</v>
      </c>
      <c r="J1768" s="3" t="s">
        <v>18</v>
      </c>
      <c r="K1768" s="5">
        <v>0.06</v>
      </c>
      <c r="L1768" s="6">
        <v>0</v>
      </c>
      <c r="M1768" s="7" t="s">
        <v>3139</v>
      </c>
      <c r="N1768" s="8">
        <f>VLOOKUP(B1768,'[1]новый без картинок'!$A$5:$F$2672,6,0)</f>
        <v>572</v>
      </c>
    </row>
    <row r="1769" spans="1:14" ht="151.15" customHeight="1" x14ac:dyDescent="0.2">
      <c r="A1769" s="3">
        <v>1767</v>
      </c>
      <c r="B1769" s="3">
        <v>191759</v>
      </c>
      <c r="C1769" s="4" t="str">
        <f>HYPERLINK("http://optservis.net:5080/photo?tov_code_internet=191759","Увеличить")</f>
        <v>Увеличить</v>
      </c>
      <c r="D1769" s="3" t="s">
        <v>3581</v>
      </c>
      <c r="E1769" s="3"/>
      <c r="F1769" s="3" t="s">
        <v>1977</v>
      </c>
      <c r="G1769" s="3" t="s">
        <v>1469</v>
      </c>
      <c r="H1769" s="3">
        <v>0.5</v>
      </c>
      <c r="I1769" s="3">
        <v>0</v>
      </c>
      <c r="J1769" s="3" t="s">
        <v>18</v>
      </c>
      <c r="K1769" s="5">
        <v>0.06</v>
      </c>
      <c r="L1769" s="6">
        <v>0</v>
      </c>
      <c r="M1769" s="7" t="s">
        <v>3136</v>
      </c>
      <c r="N1769" s="8">
        <f>VLOOKUP(B1769,'[1]новый без картинок'!$A$5:$F$2672,6,0)</f>
        <v>568</v>
      </c>
    </row>
    <row r="1770" spans="1:14" ht="151.15" customHeight="1" x14ac:dyDescent="0.2">
      <c r="A1770" s="3">
        <v>1768</v>
      </c>
      <c r="B1770" s="3">
        <v>208249</v>
      </c>
      <c r="C1770" s="4" t="str">
        <f>HYPERLINK("http://optservis.net:5080/photo?tov_code_internet=208249","Увеличить")</f>
        <v>Увеличить</v>
      </c>
      <c r="D1770" s="3" t="s">
        <v>3581</v>
      </c>
      <c r="E1770" s="3"/>
      <c r="F1770" s="3" t="s">
        <v>1979</v>
      </c>
      <c r="G1770" s="3" t="s">
        <v>1469</v>
      </c>
      <c r="H1770" s="3">
        <v>0.5</v>
      </c>
      <c r="I1770" s="3">
        <v>0</v>
      </c>
      <c r="J1770" s="3" t="s">
        <v>18</v>
      </c>
      <c r="K1770" s="5">
        <v>0.06</v>
      </c>
      <c r="L1770" s="6">
        <v>0</v>
      </c>
      <c r="M1770" s="7" t="s">
        <v>3136</v>
      </c>
      <c r="N1770" s="8">
        <f>VLOOKUP(B1770,'[1]новый без картинок'!$A$5:$F$2672,6,0)</f>
        <v>529</v>
      </c>
    </row>
    <row r="1771" spans="1:14" ht="151.15" customHeight="1" x14ac:dyDescent="0.2">
      <c r="A1771" s="3">
        <v>1769</v>
      </c>
      <c r="B1771" s="3">
        <v>194121</v>
      </c>
      <c r="C1771" s="4" t="str">
        <f>HYPERLINK("http://optservis.net:5080/photo?tov_code_internet=194121","Увеличить")</f>
        <v>Увеличить</v>
      </c>
      <c r="D1771" s="3" t="s">
        <v>3581</v>
      </c>
      <c r="E1771" s="3" t="s">
        <v>3583</v>
      </c>
      <c r="F1771" s="3" t="s">
        <v>3584</v>
      </c>
      <c r="G1771" s="3" t="s">
        <v>1469</v>
      </c>
      <c r="H1771" s="3">
        <v>0.5</v>
      </c>
      <c r="I1771" s="3">
        <v>0</v>
      </c>
      <c r="J1771" s="3" t="s">
        <v>18</v>
      </c>
      <c r="K1771" s="5">
        <v>0.06</v>
      </c>
      <c r="L1771" s="6">
        <v>4690654016210</v>
      </c>
      <c r="M1771" s="7" t="s">
        <v>3139</v>
      </c>
      <c r="N1771" s="8">
        <f>VLOOKUP(B1771,'[1]новый без картинок'!$A$5:$F$2672,6,0)</f>
        <v>538</v>
      </c>
    </row>
    <row r="1772" spans="1:14" ht="151.15" customHeight="1" x14ac:dyDescent="0.2">
      <c r="A1772" s="3">
        <v>1770</v>
      </c>
      <c r="B1772" s="3">
        <v>191758</v>
      </c>
      <c r="C1772" s="4" t="str">
        <f>HYPERLINK("http://optservis.net:5080/photo?tov_code_internet=191758","Увеличить")</f>
        <v>Увеличить</v>
      </c>
      <c r="D1772" s="3" t="s">
        <v>3581</v>
      </c>
      <c r="E1772" s="3" t="s">
        <v>3583</v>
      </c>
      <c r="F1772" s="3" t="s">
        <v>3585</v>
      </c>
      <c r="G1772" s="3" t="s">
        <v>1469</v>
      </c>
      <c r="H1772" s="3">
        <v>0.5</v>
      </c>
      <c r="I1772" s="3">
        <v>0</v>
      </c>
      <c r="J1772" s="3" t="s">
        <v>18</v>
      </c>
      <c r="K1772" s="5">
        <v>0.06</v>
      </c>
      <c r="L1772" s="6">
        <v>4690654018573</v>
      </c>
      <c r="M1772" s="7" t="s">
        <v>3136</v>
      </c>
      <c r="N1772" s="8">
        <f>VLOOKUP(B1772,'[1]новый без картинок'!$A$5:$F$2672,6,0)</f>
        <v>536</v>
      </c>
    </row>
    <row r="1773" spans="1:14" ht="151.15" customHeight="1" x14ac:dyDescent="0.2">
      <c r="A1773" s="3">
        <v>1771</v>
      </c>
      <c r="B1773" s="3">
        <v>194126</v>
      </c>
      <c r="C1773" s="4" t="str">
        <f>HYPERLINK("http://optservis.net:5080/photo?tov_code_internet=194126","Увеличить")</f>
        <v>Увеличить</v>
      </c>
      <c r="D1773" s="3" t="s">
        <v>3586</v>
      </c>
      <c r="E1773" s="3"/>
      <c r="F1773" s="3" t="s">
        <v>3587</v>
      </c>
      <c r="G1773" s="3" t="s">
        <v>1045</v>
      </c>
      <c r="H1773" s="3">
        <v>0.5</v>
      </c>
      <c r="I1773" s="3">
        <v>0</v>
      </c>
      <c r="J1773" s="3" t="s">
        <v>18</v>
      </c>
      <c r="K1773" s="5">
        <v>0.05</v>
      </c>
      <c r="L1773" s="6">
        <v>0</v>
      </c>
      <c r="M1773" s="7" t="s">
        <v>3144</v>
      </c>
      <c r="N1773" s="8">
        <f>VLOOKUP(B1773,'[1]новый без картинок'!$A$5:$F$2672,6,0)</f>
        <v>551</v>
      </c>
    </row>
    <row r="1774" spans="1:14" ht="151.15" customHeight="1" x14ac:dyDescent="0.2">
      <c r="A1774" s="3">
        <v>1772</v>
      </c>
      <c r="B1774" s="3">
        <v>190062</v>
      </c>
      <c r="C1774" s="4" t="str">
        <f>HYPERLINK("http://optservis.net:5080/photo?tov_code_internet=190062","Увеличить")</f>
        <v>Увеличить</v>
      </c>
      <c r="D1774" s="3" t="s">
        <v>3588</v>
      </c>
      <c r="E1774" s="3" t="s">
        <v>3589</v>
      </c>
      <c r="F1774" s="3" t="s">
        <v>2047</v>
      </c>
      <c r="G1774" s="3" t="s">
        <v>430</v>
      </c>
      <c r="H1774" s="3">
        <v>0.5</v>
      </c>
      <c r="I1774" s="3">
        <v>0</v>
      </c>
      <c r="J1774" s="3" t="s">
        <v>18</v>
      </c>
      <c r="K1774" s="5">
        <v>0.16</v>
      </c>
      <c r="L1774" s="6">
        <v>4690654014155</v>
      </c>
      <c r="M1774" s="7" t="s">
        <v>3485</v>
      </c>
      <c r="N1774" s="8">
        <f>VLOOKUP(B1774,'[1]новый без картинок'!$A$5:$F$2672,6,0)</f>
        <v>389</v>
      </c>
    </row>
    <row r="1775" spans="1:14" ht="151.15" customHeight="1" x14ac:dyDescent="0.2">
      <c r="A1775" s="3">
        <v>1773</v>
      </c>
      <c r="B1775" s="3">
        <v>190061</v>
      </c>
      <c r="C1775" s="4" t="str">
        <f>HYPERLINK("http://optservis.net:5080/photo?tov_code_internet=190061","Увеличить")</f>
        <v>Увеличить</v>
      </c>
      <c r="D1775" s="3" t="s">
        <v>3590</v>
      </c>
      <c r="E1775" s="3"/>
      <c r="F1775" s="3" t="s">
        <v>3591</v>
      </c>
      <c r="G1775" s="3" t="s">
        <v>1479</v>
      </c>
      <c r="H1775" s="3">
        <v>0.5</v>
      </c>
      <c r="I1775" s="3">
        <v>0</v>
      </c>
      <c r="J1775" s="3" t="s">
        <v>18</v>
      </c>
      <c r="K1775" s="5">
        <v>0.05</v>
      </c>
      <c r="L1775" s="6">
        <v>0</v>
      </c>
      <c r="M1775" s="7" t="s">
        <v>2849</v>
      </c>
      <c r="N1775" s="8">
        <f>VLOOKUP(B1775,'[1]новый без картинок'!$A$5:$F$2672,6,0)</f>
        <v>534</v>
      </c>
    </row>
    <row r="1776" spans="1:14" ht="151.15" customHeight="1" x14ac:dyDescent="0.2">
      <c r="A1776" s="3">
        <v>1774</v>
      </c>
      <c r="B1776" s="3">
        <v>183325</v>
      </c>
      <c r="C1776" s="4" t="str">
        <f>HYPERLINK("http://optservis.net:5080/photo?tov_code_internet=183325","Увеличить")</f>
        <v>Увеличить</v>
      </c>
      <c r="D1776" s="3" t="s">
        <v>3592</v>
      </c>
      <c r="E1776" s="3" t="s">
        <v>3593</v>
      </c>
      <c r="F1776" s="3" t="s">
        <v>3594</v>
      </c>
      <c r="G1776" s="3" t="s">
        <v>1479</v>
      </c>
      <c r="H1776" s="3">
        <v>0.5</v>
      </c>
      <c r="I1776" s="3">
        <v>0</v>
      </c>
      <c r="J1776" s="3" t="s">
        <v>18</v>
      </c>
      <c r="K1776" s="5">
        <v>0.05</v>
      </c>
      <c r="L1776" s="6">
        <v>4690654015237</v>
      </c>
      <c r="M1776" s="7" t="s">
        <v>3595</v>
      </c>
      <c r="N1776" s="8">
        <f>VLOOKUP(B1776,'[1]новый без картинок'!$A$5:$F$2672,6,0)</f>
        <v>538</v>
      </c>
    </row>
    <row r="1777" spans="1:14" ht="151.15" customHeight="1" x14ac:dyDescent="0.2">
      <c r="A1777" s="3">
        <v>1775</v>
      </c>
      <c r="B1777" s="3">
        <v>183303</v>
      </c>
      <c r="C1777" s="4" t="str">
        <f>HYPERLINK("http://optservis.net:5080/photo?tov_code_internet=183303","Увеличить")</f>
        <v>Увеличить</v>
      </c>
      <c r="D1777" s="3" t="s">
        <v>3596</v>
      </c>
      <c r="E1777" s="3" t="s">
        <v>3597</v>
      </c>
      <c r="F1777" s="3" t="s">
        <v>3598</v>
      </c>
      <c r="G1777" s="3" t="s">
        <v>1479</v>
      </c>
      <c r="H1777" s="3">
        <v>0.5</v>
      </c>
      <c r="I1777" s="3">
        <v>0</v>
      </c>
      <c r="J1777" s="3" t="s">
        <v>18</v>
      </c>
      <c r="K1777" s="5">
        <v>0.05</v>
      </c>
      <c r="L1777" s="6">
        <v>4690654014964</v>
      </c>
      <c r="M1777" s="7" t="s">
        <v>3595</v>
      </c>
      <c r="N1777" s="8">
        <f>VLOOKUP(B1777,'[1]новый без картинок'!$A$5:$F$2672,6,0)</f>
        <v>515</v>
      </c>
    </row>
    <row r="1778" spans="1:14" ht="151.15" customHeight="1" x14ac:dyDescent="0.2">
      <c r="A1778" s="3">
        <v>1776</v>
      </c>
      <c r="B1778" s="3">
        <v>196800</v>
      </c>
      <c r="C1778" s="4" t="str">
        <f>HYPERLINK("http://optservis.net:5080/photo?tov_code_internet=196800","Увеличить")</f>
        <v>Увеличить</v>
      </c>
      <c r="D1778" s="3" t="s">
        <v>3599</v>
      </c>
      <c r="E1778" s="3"/>
      <c r="F1778" s="3" t="s">
        <v>3175</v>
      </c>
      <c r="G1778" s="3" t="s">
        <v>1469</v>
      </c>
      <c r="H1778" s="3">
        <v>0.5</v>
      </c>
      <c r="I1778" s="3">
        <v>0</v>
      </c>
      <c r="J1778" s="3" t="s">
        <v>18</v>
      </c>
      <c r="K1778" s="5">
        <v>7.0000000000000007E-2</v>
      </c>
      <c r="L1778" s="6">
        <v>0</v>
      </c>
      <c r="M1778" s="7" t="s">
        <v>3176</v>
      </c>
      <c r="N1778" s="8">
        <f>VLOOKUP(B1778,'[1]новый без картинок'!$A$5:$F$2672,6,0)</f>
        <v>595</v>
      </c>
    </row>
    <row r="1779" spans="1:14" ht="151.15" customHeight="1" x14ac:dyDescent="0.2">
      <c r="A1779" s="3">
        <v>1777</v>
      </c>
      <c r="B1779" s="3">
        <v>196803</v>
      </c>
      <c r="C1779" s="4" t="str">
        <f>HYPERLINK("http://optservis.net:5080/photo?tov_code_internet=196803","Увеличить")</f>
        <v>Увеличить</v>
      </c>
      <c r="D1779" s="3" t="s">
        <v>3600</v>
      </c>
      <c r="E1779" s="3"/>
      <c r="F1779" s="3" t="s">
        <v>2272</v>
      </c>
      <c r="G1779" s="3" t="s">
        <v>1479</v>
      </c>
      <c r="H1779" s="3">
        <v>0.5</v>
      </c>
      <c r="I1779" s="3">
        <v>0</v>
      </c>
      <c r="J1779" s="3" t="s">
        <v>18</v>
      </c>
      <c r="K1779" s="5">
        <v>0.06</v>
      </c>
      <c r="L1779" s="6">
        <v>0</v>
      </c>
      <c r="M1779" s="7" t="s">
        <v>3178</v>
      </c>
      <c r="N1779" s="8">
        <f>VLOOKUP(B1779,'[1]новый без картинок'!$A$5:$F$2672,6,0)</f>
        <v>575</v>
      </c>
    </row>
    <row r="1780" spans="1:14" ht="138.6" customHeight="1" x14ac:dyDescent="0.2">
      <c r="A1780" s="3">
        <v>1778</v>
      </c>
      <c r="B1780" s="3">
        <v>833698</v>
      </c>
      <c r="C1780" s="4" t="str">
        <f>HYPERLINK("http://optservis.net:5080/photo?tov_code_internet=833698","Увеличить")</f>
        <v>Увеличить</v>
      </c>
      <c r="D1780" s="3" t="s">
        <v>3601</v>
      </c>
      <c r="E1780" s="3" t="s">
        <v>3602</v>
      </c>
      <c r="F1780" s="3" t="s">
        <v>3603</v>
      </c>
      <c r="G1780" s="3" t="s">
        <v>373</v>
      </c>
      <c r="H1780" s="3">
        <v>4</v>
      </c>
      <c r="I1780" s="3">
        <v>4</v>
      </c>
      <c r="J1780" s="3" t="s">
        <v>18</v>
      </c>
      <c r="K1780" s="5">
        <v>0.05</v>
      </c>
      <c r="L1780" s="6">
        <v>4690654996260</v>
      </c>
      <c r="M1780" s="7" t="s">
        <v>3604</v>
      </c>
      <c r="N1780" s="8">
        <f>VLOOKUP(B1780,'[1]новый без картинок'!$A$5:$F$2672,6,0)</f>
        <v>47</v>
      </c>
    </row>
    <row r="1781" spans="1:14" ht="138.6" customHeight="1" x14ac:dyDescent="0.2">
      <c r="A1781" s="3">
        <v>1779</v>
      </c>
      <c r="B1781" s="3">
        <v>883096</v>
      </c>
      <c r="C1781" s="4" t="str">
        <f>HYPERLINK("http://optservis.net:5080/photo?tov_code_internet=883096","Увеличить")</f>
        <v>Увеличить</v>
      </c>
      <c r="D1781" s="3" t="s">
        <v>3601</v>
      </c>
      <c r="E1781" s="3" t="s">
        <v>3602</v>
      </c>
      <c r="F1781" s="3" t="s">
        <v>1321</v>
      </c>
      <c r="G1781" s="3" t="s">
        <v>373</v>
      </c>
      <c r="H1781" s="3">
        <v>4</v>
      </c>
      <c r="I1781" s="3">
        <v>4</v>
      </c>
      <c r="J1781" s="3" t="s">
        <v>18</v>
      </c>
      <c r="K1781" s="5">
        <v>0.05</v>
      </c>
      <c r="L1781" s="6">
        <v>4690654998783</v>
      </c>
      <c r="M1781" s="7" t="s">
        <v>3605</v>
      </c>
      <c r="N1781" s="8">
        <f>VLOOKUP(B1781,'[1]новый без картинок'!$A$5:$F$2672,6,0)</f>
        <v>47</v>
      </c>
    </row>
    <row r="1782" spans="1:14" ht="138.6" customHeight="1" x14ac:dyDescent="0.2">
      <c r="A1782" s="3">
        <v>1780</v>
      </c>
      <c r="B1782" s="3">
        <v>197671</v>
      </c>
      <c r="C1782" s="4" t="str">
        <f>HYPERLINK("http://optservis.net:5080/photo?tov_code_internet=197671","Увеличить")</f>
        <v>Увеличить</v>
      </c>
      <c r="D1782" s="3" t="s">
        <v>3601</v>
      </c>
      <c r="E1782" s="3" t="s">
        <v>3602</v>
      </c>
      <c r="F1782" s="3" t="s">
        <v>3606</v>
      </c>
      <c r="G1782" s="3" t="s">
        <v>373</v>
      </c>
      <c r="H1782" s="3">
        <v>4</v>
      </c>
      <c r="I1782" s="3">
        <v>4</v>
      </c>
      <c r="J1782" s="3" t="s">
        <v>18</v>
      </c>
      <c r="K1782" s="5">
        <v>0.05</v>
      </c>
      <c r="L1782" s="6">
        <v>4690654015213</v>
      </c>
      <c r="M1782" s="7" t="s">
        <v>3605</v>
      </c>
      <c r="N1782" s="8">
        <f>VLOOKUP(B1782,'[1]новый без картинок'!$A$5:$F$2672,6,0)</f>
        <v>47</v>
      </c>
    </row>
    <row r="1783" spans="1:14" ht="138.6" customHeight="1" x14ac:dyDescent="0.2">
      <c r="A1783" s="3">
        <v>1781</v>
      </c>
      <c r="B1783" s="3">
        <v>843780</v>
      </c>
      <c r="C1783" s="4" t="str">
        <f>HYPERLINK("http://optservis.net:5080/photo?tov_code_internet=843780","Увеличить")</f>
        <v>Увеличить</v>
      </c>
      <c r="D1783" s="3" t="s">
        <v>3601</v>
      </c>
      <c r="E1783" s="3" t="s">
        <v>3602</v>
      </c>
      <c r="F1783" s="3" t="s">
        <v>3607</v>
      </c>
      <c r="G1783" s="3" t="s">
        <v>373</v>
      </c>
      <c r="H1783" s="3">
        <v>4</v>
      </c>
      <c r="I1783" s="3">
        <v>4</v>
      </c>
      <c r="J1783" s="3" t="s">
        <v>18</v>
      </c>
      <c r="K1783" s="5">
        <v>0.05</v>
      </c>
      <c r="L1783" s="6">
        <v>4690654996567</v>
      </c>
      <c r="M1783" s="7" t="s">
        <v>3605</v>
      </c>
      <c r="N1783" s="8">
        <f>VLOOKUP(B1783,'[1]новый без картинок'!$A$5:$F$2672,6,0)</f>
        <v>49</v>
      </c>
    </row>
    <row r="1784" spans="1:14" ht="138.6" customHeight="1" x14ac:dyDescent="0.2">
      <c r="A1784" s="3">
        <v>1782</v>
      </c>
      <c r="B1784" s="3">
        <v>833372</v>
      </c>
      <c r="C1784" s="4" t="str">
        <f>HYPERLINK("http://optservis.net:5080/photo?tov_code_internet=833372","Увеличить")</f>
        <v>Увеличить</v>
      </c>
      <c r="D1784" s="3" t="s">
        <v>3601</v>
      </c>
      <c r="E1784" s="3" t="s">
        <v>3602</v>
      </c>
      <c r="F1784" s="3" t="s">
        <v>3608</v>
      </c>
      <c r="G1784" s="3" t="s">
        <v>373</v>
      </c>
      <c r="H1784" s="3">
        <v>4</v>
      </c>
      <c r="I1784" s="3">
        <v>4</v>
      </c>
      <c r="J1784" s="3" t="s">
        <v>18</v>
      </c>
      <c r="K1784" s="5">
        <v>0.05</v>
      </c>
      <c r="L1784" s="6">
        <v>4690654996246</v>
      </c>
      <c r="M1784" s="7" t="s">
        <v>3605</v>
      </c>
      <c r="N1784" s="8">
        <f>VLOOKUP(B1784,'[1]новый без картинок'!$A$5:$F$2672,6,0)</f>
        <v>47</v>
      </c>
    </row>
    <row r="1785" spans="1:14" ht="138.6" customHeight="1" x14ac:dyDescent="0.2">
      <c r="A1785" s="3">
        <v>1783</v>
      </c>
      <c r="B1785" s="3">
        <v>883098</v>
      </c>
      <c r="C1785" s="4" t="str">
        <f>HYPERLINK("http://optservis.net:5080/photo?tov_code_internet=883098","Увеличить")</f>
        <v>Увеличить</v>
      </c>
      <c r="D1785" s="3" t="s">
        <v>3601</v>
      </c>
      <c r="E1785" s="3" t="s">
        <v>3602</v>
      </c>
      <c r="F1785" s="3" t="s">
        <v>165</v>
      </c>
      <c r="G1785" s="3" t="s">
        <v>373</v>
      </c>
      <c r="H1785" s="3">
        <v>4</v>
      </c>
      <c r="I1785" s="3">
        <v>4</v>
      </c>
      <c r="J1785" s="3" t="s">
        <v>18</v>
      </c>
      <c r="K1785" s="5">
        <v>0.04</v>
      </c>
      <c r="L1785" s="6">
        <v>4690654998790</v>
      </c>
      <c r="M1785" s="7" t="s">
        <v>3605</v>
      </c>
      <c r="N1785" s="8">
        <f>VLOOKUP(B1785,'[1]новый без картинок'!$A$5:$F$2672,6,0)</f>
        <v>44</v>
      </c>
    </row>
    <row r="1786" spans="1:14" ht="138.6" customHeight="1" x14ac:dyDescent="0.2">
      <c r="A1786" s="3">
        <v>1784</v>
      </c>
      <c r="B1786" s="3">
        <v>833696</v>
      </c>
      <c r="C1786" s="4" t="str">
        <f>HYPERLINK("http://optservis.net:5080/photo?tov_code_internet=833696","Увеличить")</f>
        <v>Увеличить</v>
      </c>
      <c r="D1786" s="3" t="s">
        <v>3601</v>
      </c>
      <c r="E1786" s="3" t="s">
        <v>3602</v>
      </c>
      <c r="F1786" s="3" t="s">
        <v>3609</v>
      </c>
      <c r="G1786" s="3" t="s">
        <v>373</v>
      </c>
      <c r="H1786" s="3">
        <v>4</v>
      </c>
      <c r="I1786" s="3">
        <v>4</v>
      </c>
      <c r="J1786" s="3" t="s">
        <v>18</v>
      </c>
      <c r="K1786" s="5">
        <v>0.05</v>
      </c>
      <c r="L1786" s="6">
        <v>4690654996253</v>
      </c>
      <c r="M1786" s="7" t="s">
        <v>3605</v>
      </c>
      <c r="N1786" s="8">
        <f>VLOOKUP(B1786,'[1]новый без картинок'!$A$5:$F$2672,6,0)</f>
        <v>47</v>
      </c>
    </row>
    <row r="1787" spans="1:14" ht="138.6" customHeight="1" x14ac:dyDescent="0.2">
      <c r="A1787" s="3">
        <v>1785</v>
      </c>
      <c r="B1787" s="3">
        <v>818958</v>
      </c>
      <c r="C1787" s="4" t="str">
        <f>HYPERLINK("http://optservis.net:5080/photo?tov_code_internet=818958","Увеличить")</f>
        <v>Увеличить</v>
      </c>
      <c r="D1787" s="3" t="s">
        <v>3610</v>
      </c>
      <c r="E1787" s="3" t="s">
        <v>3611</v>
      </c>
      <c r="F1787" s="3" t="s">
        <v>3612</v>
      </c>
      <c r="G1787" s="3" t="s">
        <v>175</v>
      </c>
      <c r="H1787" s="3">
        <v>5</v>
      </c>
      <c r="I1787" s="3">
        <v>5</v>
      </c>
      <c r="J1787" s="3" t="s">
        <v>18</v>
      </c>
      <c r="K1787" s="5">
        <v>0.05</v>
      </c>
      <c r="L1787" s="6">
        <v>4690654995409</v>
      </c>
      <c r="M1787" s="7" t="s">
        <v>3613</v>
      </c>
      <c r="N1787" s="8">
        <f>VLOOKUP(B1787,'[1]новый без картинок'!$A$5:$F$2672,6,0)</f>
        <v>72</v>
      </c>
    </row>
    <row r="1788" spans="1:14" ht="138.6" customHeight="1" x14ac:dyDescent="0.2">
      <c r="A1788" s="3">
        <v>1786</v>
      </c>
      <c r="B1788" s="3">
        <v>818960</v>
      </c>
      <c r="C1788" s="4" t="str">
        <f>HYPERLINK("http://optservis.net:5080/photo?tov_code_internet=818960","Увеличить")</f>
        <v>Увеличить</v>
      </c>
      <c r="D1788" s="3" t="s">
        <v>3610</v>
      </c>
      <c r="E1788" s="3" t="s">
        <v>3611</v>
      </c>
      <c r="F1788" s="3" t="s">
        <v>3614</v>
      </c>
      <c r="G1788" s="3" t="s">
        <v>175</v>
      </c>
      <c r="H1788" s="3">
        <v>5</v>
      </c>
      <c r="I1788" s="3">
        <v>5</v>
      </c>
      <c r="J1788" s="3" t="s">
        <v>18</v>
      </c>
      <c r="K1788" s="5">
        <v>0.05</v>
      </c>
      <c r="L1788" s="6">
        <v>4690654995416</v>
      </c>
      <c r="M1788" s="7" t="s">
        <v>3613</v>
      </c>
      <c r="N1788" s="8">
        <f>VLOOKUP(B1788,'[1]новый без картинок'!$A$5:$F$2672,6,0)</f>
        <v>72</v>
      </c>
    </row>
    <row r="1789" spans="1:14" ht="151.15" customHeight="1" x14ac:dyDescent="0.2">
      <c r="A1789" s="3">
        <v>1787</v>
      </c>
      <c r="B1789" s="3">
        <v>139372</v>
      </c>
      <c r="C1789" s="4" t="str">
        <f>HYPERLINK("http://optservis.net:5080/photo?tov_code_internet=139372","Увеличить")</f>
        <v>Увеличить</v>
      </c>
      <c r="D1789" s="3" t="s">
        <v>3615</v>
      </c>
      <c r="E1789" s="3" t="s">
        <v>3616</v>
      </c>
      <c r="F1789" s="3" t="s">
        <v>68</v>
      </c>
      <c r="G1789" s="3" t="s">
        <v>17</v>
      </c>
      <c r="H1789" s="3">
        <v>2</v>
      </c>
      <c r="I1789" s="3">
        <v>1</v>
      </c>
      <c r="J1789" s="3" t="s">
        <v>18</v>
      </c>
      <c r="K1789" s="5">
        <v>0.02</v>
      </c>
      <c r="L1789" s="6">
        <v>4690654002145</v>
      </c>
      <c r="M1789" s="7" t="s">
        <v>3617</v>
      </c>
      <c r="N1789" s="8">
        <f>VLOOKUP(B1789,'[1]новый без картинок'!$A$5:$F$2672,6,0)</f>
        <v>46</v>
      </c>
    </row>
    <row r="1790" spans="1:14" ht="151.15" customHeight="1" x14ac:dyDescent="0.2">
      <c r="A1790" s="3">
        <v>1788</v>
      </c>
      <c r="B1790" s="3">
        <v>929727</v>
      </c>
      <c r="C1790" s="4" t="str">
        <f>HYPERLINK("http://optservis.net:5080/photo?tov_code_internet=929727","Увеличить")</f>
        <v>Увеличить</v>
      </c>
      <c r="D1790" s="3" t="s">
        <v>3615</v>
      </c>
      <c r="E1790" s="3" t="s">
        <v>3616</v>
      </c>
      <c r="F1790" s="3" t="s">
        <v>3618</v>
      </c>
      <c r="G1790" s="3" t="s">
        <v>17</v>
      </c>
      <c r="H1790" s="3">
        <v>2</v>
      </c>
      <c r="I1790" s="3">
        <v>1</v>
      </c>
      <c r="J1790" s="3" t="s">
        <v>18</v>
      </c>
      <c r="K1790" s="5">
        <v>0.02</v>
      </c>
      <c r="L1790" s="6">
        <v>4640020773001</v>
      </c>
      <c r="M1790" s="7" t="s">
        <v>3619</v>
      </c>
      <c r="N1790" s="8">
        <f>VLOOKUP(B1790,'[1]новый без картинок'!$A$5:$F$2672,6,0)</f>
        <v>52</v>
      </c>
    </row>
    <row r="1791" spans="1:14" ht="151.15" customHeight="1" x14ac:dyDescent="0.2">
      <c r="A1791" s="3">
        <v>1789</v>
      </c>
      <c r="B1791" s="3">
        <v>918973</v>
      </c>
      <c r="C1791" s="4" t="str">
        <f>HYPERLINK("http://optservis.net:5080/photo?tov_code_internet=918973","Увеличить")</f>
        <v>Увеличить</v>
      </c>
      <c r="D1791" s="3" t="s">
        <v>3615</v>
      </c>
      <c r="E1791" s="3" t="s">
        <v>3616</v>
      </c>
      <c r="F1791" s="3" t="s">
        <v>20</v>
      </c>
      <c r="G1791" s="3" t="s">
        <v>17</v>
      </c>
      <c r="H1791" s="3">
        <v>2</v>
      </c>
      <c r="I1791" s="3">
        <v>1</v>
      </c>
      <c r="J1791" s="3" t="s">
        <v>18</v>
      </c>
      <c r="K1791" s="5">
        <v>0.02</v>
      </c>
      <c r="L1791" s="6">
        <v>4640020772141</v>
      </c>
      <c r="M1791" s="7" t="s">
        <v>3617</v>
      </c>
      <c r="N1791" s="8">
        <f>VLOOKUP(B1791,'[1]новый без картинок'!$A$5:$F$2672,6,0)</f>
        <v>46</v>
      </c>
    </row>
    <row r="1792" spans="1:14" ht="146.65" customHeight="1" x14ac:dyDescent="0.2">
      <c r="A1792" s="3">
        <v>1790</v>
      </c>
      <c r="B1792" s="3">
        <v>920084</v>
      </c>
      <c r="C1792" s="4" t="str">
        <f>HYPERLINK("http://optservis.net:5080/photo?tov_code_internet=920084","Увеличить")</f>
        <v>Увеличить</v>
      </c>
      <c r="D1792" s="3" t="s">
        <v>3620</v>
      </c>
      <c r="E1792" s="3" t="s">
        <v>3621</v>
      </c>
      <c r="F1792" s="3" t="s">
        <v>3622</v>
      </c>
      <c r="G1792" s="3" t="s">
        <v>17</v>
      </c>
      <c r="H1792" s="3">
        <v>1</v>
      </c>
      <c r="I1792" s="3">
        <v>1</v>
      </c>
      <c r="J1792" s="3" t="s">
        <v>18</v>
      </c>
      <c r="K1792" s="5">
        <v>0.36</v>
      </c>
      <c r="L1792" s="6">
        <v>4640020772813</v>
      </c>
      <c r="M1792" s="7" t="s">
        <v>3623</v>
      </c>
      <c r="N1792" s="8">
        <f>VLOOKUP(B1792,'[1]новый без картинок'!$A$5:$F$2672,6,0)</f>
        <v>857</v>
      </c>
    </row>
    <row r="1793" spans="1:14" ht="138.6" customHeight="1" x14ac:dyDescent="0.2">
      <c r="A1793" s="3">
        <v>1791</v>
      </c>
      <c r="B1793" s="3">
        <v>923716</v>
      </c>
      <c r="C1793" s="4" t="str">
        <f>HYPERLINK("http://optservis.net:5080/photo?tov_code_internet=923716","Увеличить")</f>
        <v>Увеличить</v>
      </c>
      <c r="D1793" s="3" t="s">
        <v>3624</v>
      </c>
      <c r="E1793" s="3" t="s">
        <v>3625</v>
      </c>
      <c r="F1793" s="3" t="s">
        <v>731</v>
      </c>
      <c r="G1793" s="3" t="s">
        <v>665</v>
      </c>
      <c r="H1793" s="3">
        <v>2</v>
      </c>
      <c r="I1793" s="3">
        <v>1</v>
      </c>
      <c r="J1793" s="3" t="s">
        <v>18</v>
      </c>
      <c r="K1793" s="5">
        <v>0.02</v>
      </c>
      <c r="L1793" s="6">
        <v>4640020772417</v>
      </c>
      <c r="M1793" s="7" t="s">
        <v>3626</v>
      </c>
      <c r="N1793" s="8">
        <f>VLOOKUP(B1793,'[1]новый без картинок'!$A$5:$F$2672,6,0)</f>
        <v>66</v>
      </c>
    </row>
    <row r="1794" spans="1:14" ht="146.65" customHeight="1" x14ac:dyDescent="0.2">
      <c r="A1794" s="3">
        <v>1792</v>
      </c>
      <c r="B1794" s="3">
        <v>944219</v>
      </c>
      <c r="C1794" s="4" t="str">
        <f>HYPERLINK("http://optservis.net:5080/photo?tov_code_internet=944219","Увеличить")</f>
        <v>Увеличить</v>
      </c>
      <c r="D1794" s="3" t="s">
        <v>3627</v>
      </c>
      <c r="E1794" s="3" t="s">
        <v>3628</v>
      </c>
      <c r="F1794" s="3" t="s">
        <v>71</v>
      </c>
      <c r="G1794" s="3" t="s">
        <v>17</v>
      </c>
      <c r="H1794" s="3">
        <v>1</v>
      </c>
      <c r="I1794" s="3">
        <v>1</v>
      </c>
      <c r="J1794" s="3" t="s">
        <v>18</v>
      </c>
      <c r="K1794" s="5">
        <v>0.08</v>
      </c>
      <c r="L1794" s="6">
        <v>4640020775838</v>
      </c>
      <c r="M1794" s="7" t="s">
        <v>3629</v>
      </c>
      <c r="N1794" s="8">
        <f>VLOOKUP(B1794,'[1]новый без картинок'!$A$5:$F$2672,6,0)</f>
        <v>176</v>
      </c>
    </row>
    <row r="1795" spans="1:14" ht="146.65" customHeight="1" x14ac:dyDescent="0.2">
      <c r="A1795" s="3">
        <v>1793</v>
      </c>
      <c r="B1795" s="3">
        <v>950564</v>
      </c>
      <c r="C1795" s="4" t="str">
        <f>HYPERLINK("http://optservis.net:5080/photo?tov_code_internet=950564","Увеличить")</f>
        <v>Увеличить</v>
      </c>
      <c r="D1795" s="3" t="s">
        <v>3630</v>
      </c>
      <c r="E1795" s="3" t="s">
        <v>3631</v>
      </c>
      <c r="F1795" s="3" t="s">
        <v>71</v>
      </c>
      <c r="G1795" s="3" t="s">
        <v>17</v>
      </c>
      <c r="H1795" s="3">
        <v>1</v>
      </c>
      <c r="I1795" s="3">
        <v>1</v>
      </c>
      <c r="J1795" s="3" t="s">
        <v>18</v>
      </c>
      <c r="K1795" s="5">
        <v>0.15</v>
      </c>
      <c r="L1795" s="6">
        <v>4640020775845</v>
      </c>
      <c r="M1795" s="7" t="s">
        <v>3632</v>
      </c>
      <c r="N1795" s="8">
        <f>VLOOKUP(B1795,'[1]новый без картинок'!$A$5:$F$2672,6,0)</f>
        <v>200</v>
      </c>
    </row>
    <row r="1796" spans="1:14" ht="151.15" customHeight="1" x14ac:dyDescent="0.2">
      <c r="A1796" s="3">
        <v>1794</v>
      </c>
      <c r="B1796" s="3">
        <v>203264</v>
      </c>
      <c r="C1796" s="4" t="str">
        <f>HYPERLINK("http://optservis.net:5080/photo?tov_code_internet=203264","Увеличить")</f>
        <v>Увеличить</v>
      </c>
      <c r="D1796" s="3" t="s">
        <v>3633</v>
      </c>
      <c r="E1796" s="3" t="s">
        <v>3634</v>
      </c>
      <c r="F1796" s="3" t="s">
        <v>491</v>
      </c>
      <c r="G1796" s="3" t="s">
        <v>17</v>
      </c>
      <c r="H1796" s="3">
        <v>2</v>
      </c>
      <c r="I1796" s="3">
        <v>1</v>
      </c>
      <c r="J1796" s="3" t="s">
        <v>18</v>
      </c>
      <c r="K1796" s="5">
        <v>0.02</v>
      </c>
      <c r="L1796" s="6">
        <v>4690654016449</v>
      </c>
      <c r="M1796" s="7" t="s">
        <v>3635</v>
      </c>
      <c r="N1796" s="8">
        <f>VLOOKUP(B1796,'[1]новый без картинок'!$A$5:$F$2672,6,0)</f>
        <v>49</v>
      </c>
    </row>
    <row r="1797" spans="1:14" ht="151.15" customHeight="1" x14ac:dyDescent="0.2">
      <c r="A1797" s="3">
        <v>1795</v>
      </c>
      <c r="B1797" s="3">
        <v>203286</v>
      </c>
      <c r="C1797" s="4" t="str">
        <f>HYPERLINK("http://optservis.net:5080/photo?tov_code_internet=203286","Увеличить")</f>
        <v>Увеличить</v>
      </c>
      <c r="D1797" s="3" t="s">
        <v>3633</v>
      </c>
      <c r="E1797" s="3" t="s">
        <v>3634</v>
      </c>
      <c r="F1797" s="3" t="s">
        <v>3636</v>
      </c>
      <c r="G1797" s="3" t="s">
        <v>17</v>
      </c>
      <c r="H1797" s="3">
        <v>2</v>
      </c>
      <c r="I1797" s="3">
        <v>1</v>
      </c>
      <c r="J1797" s="3" t="s">
        <v>18</v>
      </c>
      <c r="K1797" s="5">
        <v>0.02</v>
      </c>
      <c r="L1797" s="6">
        <v>4690654017743</v>
      </c>
      <c r="M1797" s="7" t="s">
        <v>3637</v>
      </c>
      <c r="N1797" s="8">
        <f>VLOOKUP(B1797,'[1]новый без картинок'!$A$5:$F$2672,6,0)</f>
        <v>53</v>
      </c>
    </row>
    <row r="1798" spans="1:14" ht="151.15" customHeight="1" x14ac:dyDescent="0.2">
      <c r="A1798" s="3">
        <v>1796</v>
      </c>
      <c r="B1798" s="3">
        <v>986118</v>
      </c>
      <c r="C1798" s="4" t="str">
        <f>HYPERLINK("http://optservis.net:5080/photo?tov_code_internet=986118","Увеличить")</f>
        <v>Увеличить</v>
      </c>
      <c r="D1798" s="3" t="s">
        <v>3633</v>
      </c>
      <c r="E1798" s="3" t="s">
        <v>3634</v>
      </c>
      <c r="F1798" s="3" t="s">
        <v>3638</v>
      </c>
      <c r="G1798" s="3" t="s">
        <v>17</v>
      </c>
      <c r="H1798" s="3">
        <v>2</v>
      </c>
      <c r="I1798" s="3">
        <v>1</v>
      </c>
      <c r="J1798" s="3" t="s">
        <v>18</v>
      </c>
      <c r="K1798" s="5">
        <v>0.02</v>
      </c>
      <c r="L1798" s="6">
        <v>4690654005955</v>
      </c>
      <c r="M1798" s="7" t="s">
        <v>3639</v>
      </c>
      <c r="N1798" s="8">
        <f>VLOOKUP(B1798,'[1]новый без картинок'!$A$5:$F$2672,6,0)</f>
        <v>51</v>
      </c>
    </row>
    <row r="1799" spans="1:14" ht="151.15" customHeight="1" x14ac:dyDescent="0.2">
      <c r="A1799" s="3">
        <v>1797</v>
      </c>
      <c r="B1799" s="3">
        <v>944220</v>
      </c>
      <c r="C1799" s="4" t="str">
        <f>HYPERLINK("http://optservis.net:5080/photo?tov_code_internet=944220","Увеличить")</f>
        <v>Увеличить</v>
      </c>
      <c r="D1799" s="3" t="s">
        <v>3633</v>
      </c>
      <c r="E1799" s="3" t="s">
        <v>3634</v>
      </c>
      <c r="F1799" s="3" t="s">
        <v>71</v>
      </c>
      <c r="G1799" s="3" t="s">
        <v>17</v>
      </c>
      <c r="H1799" s="3">
        <v>2</v>
      </c>
      <c r="I1799" s="3">
        <v>1</v>
      </c>
      <c r="J1799" s="3" t="s">
        <v>18</v>
      </c>
      <c r="K1799" s="5">
        <v>0.02</v>
      </c>
      <c r="L1799" s="6">
        <v>4640020774763</v>
      </c>
      <c r="M1799" s="7" t="s">
        <v>3640</v>
      </c>
      <c r="N1799" s="8">
        <f>VLOOKUP(B1799,'[1]новый без картинок'!$A$5:$F$2672,6,0)</f>
        <v>47</v>
      </c>
    </row>
    <row r="1800" spans="1:14" ht="151.15" customHeight="1" x14ac:dyDescent="0.2">
      <c r="A1800" s="3">
        <v>1798</v>
      </c>
      <c r="B1800" s="3">
        <v>189657</v>
      </c>
      <c r="C1800" s="4" t="str">
        <f>HYPERLINK("http://optservis.net:5080/photo?tov_code_internet=189657","Увеличить")</f>
        <v>Увеличить</v>
      </c>
      <c r="D1800" s="3" t="s">
        <v>3633</v>
      </c>
      <c r="E1800" s="3" t="s">
        <v>3634</v>
      </c>
      <c r="F1800" s="3" t="s">
        <v>3641</v>
      </c>
      <c r="G1800" s="3" t="s">
        <v>17</v>
      </c>
      <c r="H1800" s="3">
        <v>2</v>
      </c>
      <c r="I1800" s="3">
        <v>1</v>
      </c>
      <c r="J1800" s="3" t="s">
        <v>18</v>
      </c>
      <c r="K1800" s="5">
        <v>0.03</v>
      </c>
      <c r="L1800" s="6">
        <v>4690654013400</v>
      </c>
      <c r="M1800" s="7" t="s">
        <v>3637</v>
      </c>
      <c r="N1800" s="8">
        <f>VLOOKUP(B1800,'[1]новый без картинок'!$A$5:$F$2672,6,0)</f>
        <v>51</v>
      </c>
    </row>
    <row r="1801" spans="1:14" ht="151.15" customHeight="1" x14ac:dyDescent="0.2">
      <c r="A1801" s="3">
        <v>1799</v>
      </c>
      <c r="B1801" s="3">
        <v>944221</v>
      </c>
      <c r="C1801" s="4" t="str">
        <f>HYPERLINK("http://optservis.net:5080/photo?tov_code_internet=944221","Увеличить")</f>
        <v>Увеличить</v>
      </c>
      <c r="D1801" s="3" t="s">
        <v>3642</v>
      </c>
      <c r="E1801" s="3" t="s">
        <v>3643</v>
      </c>
      <c r="F1801" s="3" t="s">
        <v>3644</v>
      </c>
      <c r="G1801" s="3" t="s">
        <v>17</v>
      </c>
      <c r="H1801" s="3">
        <v>2</v>
      </c>
      <c r="I1801" s="3">
        <v>1</v>
      </c>
      <c r="J1801" s="3" t="s">
        <v>18</v>
      </c>
      <c r="K1801" s="5">
        <v>0.02</v>
      </c>
      <c r="L1801" s="6">
        <v>4640020774770</v>
      </c>
      <c r="M1801" s="7" t="s">
        <v>3645</v>
      </c>
      <c r="N1801" s="8">
        <f>VLOOKUP(B1801,'[1]новый без картинок'!$A$5:$F$2672,6,0)</f>
        <v>55</v>
      </c>
    </row>
    <row r="1802" spans="1:14" ht="138.6" customHeight="1" x14ac:dyDescent="0.2">
      <c r="A1802" s="3">
        <v>1800</v>
      </c>
      <c r="B1802" s="3">
        <v>944223</v>
      </c>
      <c r="C1802" s="4" t="str">
        <f>HYPERLINK("http://optservis.net:5080/photo?tov_code_internet=944223","Увеличить")</f>
        <v>Увеличить</v>
      </c>
      <c r="D1802" s="3" t="s">
        <v>3646</v>
      </c>
      <c r="E1802" s="3" t="s">
        <v>3647</v>
      </c>
      <c r="F1802" s="3" t="s">
        <v>33</v>
      </c>
      <c r="G1802" s="3" t="s">
        <v>31</v>
      </c>
      <c r="H1802" s="3">
        <v>2</v>
      </c>
      <c r="I1802" s="3">
        <v>1</v>
      </c>
      <c r="J1802" s="3" t="s">
        <v>18</v>
      </c>
      <c r="K1802" s="5">
        <v>0.02</v>
      </c>
      <c r="L1802" s="6">
        <v>4640020774824</v>
      </c>
      <c r="M1802" s="7" t="s">
        <v>3648</v>
      </c>
      <c r="N1802" s="8">
        <f>VLOOKUP(B1802,'[1]новый без картинок'!$A$5:$F$2672,6,0)</f>
        <v>83</v>
      </c>
    </row>
    <row r="1803" spans="1:14" ht="138.6" customHeight="1" x14ac:dyDescent="0.2">
      <c r="A1803" s="3">
        <v>1801</v>
      </c>
      <c r="B1803" s="3">
        <v>974182</v>
      </c>
      <c r="C1803" s="4" t="str">
        <f>HYPERLINK("http://optservis.net:5080/photo?tov_code_internet=974182","Увеличить")</f>
        <v>Увеличить</v>
      </c>
      <c r="D1803" s="3" t="s">
        <v>3646</v>
      </c>
      <c r="E1803" s="3" t="s">
        <v>3647</v>
      </c>
      <c r="F1803" s="3" t="s">
        <v>34</v>
      </c>
      <c r="G1803" s="3" t="s">
        <v>31</v>
      </c>
      <c r="H1803" s="3">
        <v>2</v>
      </c>
      <c r="I1803" s="3">
        <v>1</v>
      </c>
      <c r="J1803" s="3" t="s">
        <v>18</v>
      </c>
      <c r="K1803" s="5">
        <v>0.02</v>
      </c>
      <c r="L1803" s="6">
        <v>4640020777474</v>
      </c>
      <c r="M1803" s="7" t="s">
        <v>3648</v>
      </c>
      <c r="N1803" s="8">
        <f>VLOOKUP(B1803,'[1]новый без картинок'!$A$5:$F$2672,6,0)</f>
        <v>94</v>
      </c>
    </row>
    <row r="1804" spans="1:14" ht="138.6" customHeight="1" x14ac:dyDescent="0.2">
      <c r="A1804" s="3">
        <v>1802</v>
      </c>
      <c r="B1804" s="3">
        <v>974181</v>
      </c>
      <c r="C1804" s="4" t="str">
        <f>HYPERLINK("http://optservis.net:5080/photo?tov_code_internet=974181","Увеличить")</f>
        <v>Увеличить</v>
      </c>
      <c r="D1804" s="3" t="s">
        <v>3646</v>
      </c>
      <c r="E1804" s="3" t="s">
        <v>3647</v>
      </c>
      <c r="F1804" s="3" t="s">
        <v>3649</v>
      </c>
      <c r="G1804" s="3" t="s">
        <v>31</v>
      </c>
      <c r="H1804" s="3">
        <v>2</v>
      </c>
      <c r="I1804" s="3">
        <v>1</v>
      </c>
      <c r="J1804" s="3" t="s">
        <v>18</v>
      </c>
      <c r="K1804" s="5">
        <v>0.02</v>
      </c>
      <c r="L1804" s="6">
        <v>4640020777481</v>
      </c>
      <c r="M1804" s="7" t="s">
        <v>3650</v>
      </c>
      <c r="N1804" s="8">
        <f>VLOOKUP(B1804,'[1]новый без картинок'!$A$5:$F$2672,6,0)</f>
        <v>85</v>
      </c>
    </row>
    <row r="1805" spans="1:14" ht="151.15" customHeight="1" x14ac:dyDescent="0.2">
      <c r="A1805" s="3">
        <v>1803</v>
      </c>
      <c r="B1805" s="3">
        <v>945188</v>
      </c>
      <c r="C1805" s="4" t="str">
        <f>HYPERLINK("http://optservis.net:5080/photo?tov_code_internet=945188","Увеличить")</f>
        <v>Увеличить</v>
      </c>
      <c r="D1805" s="3" t="s">
        <v>3651</v>
      </c>
      <c r="E1805" s="3" t="s">
        <v>3652</v>
      </c>
      <c r="F1805" s="3" t="s">
        <v>71</v>
      </c>
      <c r="G1805" s="3" t="s">
        <v>17</v>
      </c>
      <c r="H1805" s="3">
        <v>2</v>
      </c>
      <c r="I1805" s="3">
        <v>1</v>
      </c>
      <c r="J1805" s="3" t="s">
        <v>18</v>
      </c>
      <c r="K1805" s="5">
        <v>0.03</v>
      </c>
      <c r="L1805" s="6">
        <v>4640020774527</v>
      </c>
      <c r="M1805" s="7" t="s">
        <v>3653</v>
      </c>
      <c r="N1805" s="8">
        <f>VLOOKUP(B1805,'[1]новый без картинок'!$A$5:$F$2672,6,0)</f>
        <v>57</v>
      </c>
    </row>
    <row r="1806" spans="1:14" ht="138.6" customHeight="1" x14ac:dyDescent="0.2">
      <c r="A1806" s="3">
        <v>1804</v>
      </c>
      <c r="B1806" s="3">
        <v>986840</v>
      </c>
      <c r="C1806" s="4" t="str">
        <f>HYPERLINK("http://optservis.net:5080/photo?tov_code_internet=986840","Увеличить")</f>
        <v>Увеличить</v>
      </c>
      <c r="D1806" s="3" t="s">
        <v>3654</v>
      </c>
      <c r="E1806" s="3" t="s">
        <v>3655</v>
      </c>
      <c r="F1806" s="3" t="s">
        <v>71</v>
      </c>
      <c r="G1806" s="3" t="s">
        <v>17</v>
      </c>
      <c r="H1806" s="3">
        <v>1</v>
      </c>
      <c r="I1806" s="3">
        <v>1</v>
      </c>
      <c r="J1806" s="3" t="s">
        <v>18</v>
      </c>
      <c r="K1806" s="5">
        <v>0.3</v>
      </c>
      <c r="L1806" s="6">
        <v>4640020778778</v>
      </c>
      <c r="M1806" s="7" t="s">
        <v>3656</v>
      </c>
      <c r="N1806" s="8">
        <f>VLOOKUP(B1806,'[1]новый без картинок'!$A$5:$F$2672,6,0)</f>
        <v>265</v>
      </c>
    </row>
    <row r="1807" spans="1:14" ht="138.6" customHeight="1" x14ac:dyDescent="0.2">
      <c r="A1807" s="3">
        <v>1805</v>
      </c>
      <c r="B1807" s="3">
        <v>182940</v>
      </c>
      <c r="C1807" s="4" t="str">
        <f>HYPERLINK("http://optservis.net:5080/photo?tov_code_internet=182940","Увеличить")</f>
        <v>Увеличить</v>
      </c>
      <c r="D1807" s="3" t="s">
        <v>3657</v>
      </c>
      <c r="E1807" s="3" t="s">
        <v>3658</v>
      </c>
      <c r="F1807" s="3" t="s">
        <v>493</v>
      </c>
      <c r="G1807" s="3" t="s">
        <v>17</v>
      </c>
      <c r="H1807" s="3">
        <v>1</v>
      </c>
      <c r="I1807" s="3">
        <v>1</v>
      </c>
      <c r="J1807" s="3" t="s">
        <v>18</v>
      </c>
      <c r="K1807" s="5">
        <v>0.26</v>
      </c>
      <c r="L1807" s="6">
        <v>4690654012298</v>
      </c>
      <c r="M1807" s="7" t="s">
        <v>3659</v>
      </c>
      <c r="N1807" s="8">
        <f>VLOOKUP(B1807,'[1]новый без картинок'!$A$5:$F$2672,6,0)</f>
        <v>131</v>
      </c>
    </row>
    <row r="1808" spans="1:14" ht="138.6" customHeight="1" x14ac:dyDescent="0.2">
      <c r="A1808" s="3">
        <v>1806</v>
      </c>
      <c r="B1808" s="3">
        <v>954622</v>
      </c>
      <c r="C1808" s="4" t="str">
        <f>HYPERLINK("http://optservis.net:5080/photo?tov_code_internet=954622","Увеличить")</f>
        <v>Увеличить</v>
      </c>
      <c r="D1808" s="3" t="s">
        <v>3657</v>
      </c>
      <c r="E1808" s="3" t="s">
        <v>3658</v>
      </c>
      <c r="F1808" s="3" t="s">
        <v>3660</v>
      </c>
      <c r="G1808" s="3" t="s">
        <v>17</v>
      </c>
      <c r="H1808" s="3">
        <v>1</v>
      </c>
      <c r="I1808" s="3">
        <v>1</v>
      </c>
      <c r="J1808" s="3" t="s">
        <v>18</v>
      </c>
      <c r="K1808" s="5">
        <v>0.26</v>
      </c>
      <c r="L1808" s="6">
        <v>4640020775357</v>
      </c>
      <c r="M1808" s="7" t="s">
        <v>3661</v>
      </c>
      <c r="N1808" s="8">
        <f>VLOOKUP(B1808,'[1]новый без картинок'!$A$5:$F$2672,6,0)</f>
        <v>126</v>
      </c>
    </row>
    <row r="1809" spans="1:14" ht="138.6" customHeight="1" x14ac:dyDescent="0.2">
      <c r="A1809" s="3">
        <v>1807</v>
      </c>
      <c r="B1809" s="3">
        <v>954623</v>
      </c>
      <c r="C1809" s="4" t="str">
        <f>HYPERLINK("http://optservis.net:5080/photo?tov_code_internet=954623","Увеличить")</f>
        <v>Увеличить</v>
      </c>
      <c r="D1809" s="3" t="s">
        <v>3657</v>
      </c>
      <c r="E1809" s="3" t="s">
        <v>3658</v>
      </c>
      <c r="F1809" s="3" t="s">
        <v>3662</v>
      </c>
      <c r="G1809" s="3" t="s">
        <v>17</v>
      </c>
      <c r="H1809" s="3">
        <v>1</v>
      </c>
      <c r="I1809" s="3">
        <v>1</v>
      </c>
      <c r="J1809" s="3" t="s">
        <v>18</v>
      </c>
      <c r="K1809" s="5">
        <v>0.25</v>
      </c>
      <c r="L1809" s="6">
        <v>4640020775371</v>
      </c>
      <c r="M1809" s="7" t="s">
        <v>3663</v>
      </c>
      <c r="N1809" s="8">
        <f>VLOOKUP(B1809,'[1]новый без картинок'!$A$5:$F$2672,6,0)</f>
        <v>137</v>
      </c>
    </row>
    <row r="1810" spans="1:14" ht="138.6" customHeight="1" x14ac:dyDescent="0.2">
      <c r="A1810" s="3">
        <v>1808</v>
      </c>
      <c r="B1810" s="3">
        <v>954624</v>
      </c>
      <c r="C1810" s="4" t="str">
        <f>HYPERLINK("http://optservis.net:5080/photo?tov_code_internet=954624","Увеличить")</f>
        <v>Увеличить</v>
      </c>
      <c r="D1810" s="3" t="s">
        <v>3657</v>
      </c>
      <c r="E1810" s="3" t="s">
        <v>3658</v>
      </c>
      <c r="F1810" s="3" t="s">
        <v>3664</v>
      </c>
      <c r="G1810" s="3" t="s">
        <v>17</v>
      </c>
      <c r="H1810" s="3">
        <v>1</v>
      </c>
      <c r="I1810" s="3">
        <v>1</v>
      </c>
      <c r="J1810" s="3" t="s">
        <v>18</v>
      </c>
      <c r="K1810" s="5">
        <v>0.26</v>
      </c>
      <c r="L1810" s="6">
        <v>4640020775364</v>
      </c>
      <c r="M1810" s="7" t="s">
        <v>3663</v>
      </c>
      <c r="N1810" s="8">
        <f>VLOOKUP(B1810,'[1]новый без картинок'!$A$5:$F$2672,6,0)</f>
        <v>122</v>
      </c>
    </row>
    <row r="1811" spans="1:14" ht="151.15" customHeight="1" x14ac:dyDescent="0.2">
      <c r="A1811" s="3">
        <v>1809</v>
      </c>
      <c r="B1811" s="3">
        <v>986740</v>
      </c>
      <c r="C1811" s="4" t="str">
        <f>HYPERLINK("http://optservis.net:5080/photo?tov_code_internet=986740","Увеличить")</f>
        <v>Увеличить</v>
      </c>
      <c r="D1811" s="3" t="s">
        <v>3665</v>
      </c>
      <c r="E1811" s="3" t="s">
        <v>3666</v>
      </c>
      <c r="F1811" s="3" t="s">
        <v>3667</v>
      </c>
      <c r="G1811" s="3" t="s">
        <v>59</v>
      </c>
      <c r="H1811" s="3">
        <v>0.5</v>
      </c>
      <c r="I1811" s="3">
        <v>0</v>
      </c>
      <c r="J1811" s="3" t="s">
        <v>18</v>
      </c>
      <c r="K1811" s="5">
        <v>0.04</v>
      </c>
      <c r="L1811" s="6">
        <v>4640020778754</v>
      </c>
      <c r="M1811" s="7" t="s">
        <v>3668</v>
      </c>
      <c r="N1811" s="8">
        <f>VLOOKUP(B1811,'[1]новый без картинок'!$A$5:$F$2672,6,0)</f>
        <v>641</v>
      </c>
    </row>
    <row r="1812" spans="1:14" ht="151.15" customHeight="1" x14ac:dyDescent="0.2">
      <c r="A1812" s="3">
        <v>1810</v>
      </c>
      <c r="B1812" s="3">
        <v>980328</v>
      </c>
      <c r="C1812" s="4" t="str">
        <f>HYPERLINK("http://optservis.net:5080/photo?tov_code_internet=980328","Увеличить")</f>
        <v>Увеличить</v>
      </c>
      <c r="D1812" s="3" t="s">
        <v>3669</v>
      </c>
      <c r="E1812" s="3" t="s">
        <v>3670</v>
      </c>
      <c r="F1812" s="3" t="s">
        <v>3671</v>
      </c>
      <c r="G1812" s="3" t="s">
        <v>17</v>
      </c>
      <c r="H1812" s="3">
        <v>1</v>
      </c>
      <c r="I1812" s="3">
        <v>1</v>
      </c>
      <c r="J1812" s="3" t="s">
        <v>18</v>
      </c>
      <c r="K1812" s="5">
        <v>0.09</v>
      </c>
      <c r="L1812" s="6">
        <v>4640020777740</v>
      </c>
      <c r="M1812" s="7" t="s">
        <v>3672</v>
      </c>
      <c r="N1812" s="8">
        <f>VLOOKUP(B1812,'[1]новый без картинок'!$A$5:$F$2672,6,0)</f>
        <v>216</v>
      </c>
    </row>
    <row r="1813" spans="1:14" ht="151.15" customHeight="1" x14ac:dyDescent="0.2">
      <c r="A1813" s="3">
        <v>1811</v>
      </c>
      <c r="B1813" s="3">
        <v>980329</v>
      </c>
      <c r="C1813" s="4" t="str">
        <f>HYPERLINK("http://optservis.net:5080/photo?tov_code_internet=980329","Увеличить")</f>
        <v>Увеличить</v>
      </c>
      <c r="D1813" s="3" t="s">
        <v>3673</v>
      </c>
      <c r="E1813" s="3" t="s">
        <v>3674</v>
      </c>
      <c r="F1813" s="3" t="s">
        <v>3671</v>
      </c>
      <c r="G1813" s="3" t="s">
        <v>17</v>
      </c>
      <c r="H1813" s="3">
        <v>1</v>
      </c>
      <c r="I1813" s="3">
        <v>1</v>
      </c>
      <c r="J1813" s="3" t="s">
        <v>18</v>
      </c>
      <c r="K1813" s="5">
        <v>0.17</v>
      </c>
      <c r="L1813" s="6">
        <v>4640020777757</v>
      </c>
      <c r="M1813" s="7" t="s">
        <v>3675</v>
      </c>
      <c r="N1813" s="8">
        <f>VLOOKUP(B1813,'[1]новый без картинок'!$A$5:$F$2672,6,0)</f>
        <v>234</v>
      </c>
    </row>
    <row r="1814" spans="1:14" ht="149.44999999999999" customHeight="1" x14ac:dyDescent="0.2">
      <c r="A1814" s="3">
        <v>1812</v>
      </c>
      <c r="B1814" s="3">
        <v>146483</v>
      </c>
      <c r="C1814" s="4" t="str">
        <f>HYPERLINK("http://optservis.net:5080/photo?tov_code_internet=146483","Увеличить")</f>
        <v>Увеличить</v>
      </c>
      <c r="D1814" s="3" t="s">
        <v>3676</v>
      </c>
      <c r="E1814" s="3" t="s">
        <v>3677</v>
      </c>
      <c r="F1814" s="3" t="s">
        <v>71</v>
      </c>
      <c r="G1814" s="3" t="s">
        <v>17</v>
      </c>
      <c r="H1814" s="3">
        <v>1</v>
      </c>
      <c r="I1814" s="3">
        <v>1</v>
      </c>
      <c r="J1814" s="3" t="s">
        <v>18</v>
      </c>
      <c r="K1814" s="5">
        <v>0.22</v>
      </c>
      <c r="L1814" s="6">
        <v>4690654004323</v>
      </c>
      <c r="M1814" s="7" t="s">
        <v>3678</v>
      </c>
      <c r="N1814" s="8">
        <f>VLOOKUP(B1814,'[1]новый без картинок'!$A$5:$F$2672,6,0)</f>
        <v>216</v>
      </c>
    </row>
    <row r="1815" spans="1:14" ht="138.6" customHeight="1" x14ac:dyDescent="0.2">
      <c r="A1815" s="3">
        <v>1813</v>
      </c>
      <c r="B1815" s="3">
        <v>146486</v>
      </c>
      <c r="C1815" s="4" t="str">
        <f>HYPERLINK("http://optservis.net:5080/photo?tov_code_internet=146486","Увеличить")</f>
        <v>Увеличить</v>
      </c>
      <c r="D1815" s="3" t="s">
        <v>3679</v>
      </c>
      <c r="E1815" s="3" t="s">
        <v>3680</v>
      </c>
      <c r="F1815" s="3" t="s">
        <v>71</v>
      </c>
      <c r="G1815" s="3" t="s">
        <v>17</v>
      </c>
      <c r="H1815" s="3">
        <v>1</v>
      </c>
      <c r="I1815" s="3">
        <v>1</v>
      </c>
      <c r="J1815" s="3" t="s">
        <v>18</v>
      </c>
      <c r="K1815" s="5">
        <v>0.34</v>
      </c>
      <c r="L1815" s="6">
        <v>4690654004316</v>
      </c>
      <c r="M1815" s="7" t="s">
        <v>3656</v>
      </c>
      <c r="N1815" s="8">
        <f>VLOOKUP(B1815,'[1]новый без картинок'!$A$5:$F$2672,6,0)</f>
        <v>276</v>
      </c>
    </row>
    <row r="1816" spans="1:14" ht="138.6" customHeight="1" x14ac:dyDescent="0.2">
      <c r="A1816" s="3">
        <v>1814</v>
      </c>
      <c r="B1816" s="3">
        <v>155094</v>
      </c>
      <c r="C1816" s="4" t="str">
        <f>HYPERLINK("http://optservis.net:5080/photo?tov_code_internet=155094","Увеличить")</f>
        <v>Увеличить</v>
      </c>
      <c r="D1816" s="3" t="s">
        <v>3681</v>
      </c>
      <c r="E1816" s="3" t="s">
        <v>3682</v>
      </c>
      <c r="F1816" s="3" t="s">
        <v>71</v>
      </c>
      <c r="G1816" s="3" t="s">
        <v>17</v>
      </c>
      <c r="H1816" s="3">
        <v>2</v>
      </c>
      <c r="I1816" s="3">
        <v>1</v>
      </c>
      <c r="J1816" s="3" t="s">
        <v>18</v>
      </c>
      <c r="K1816" s="5">
        <v>0.03</v>
      </c>
      <c r="L1816" s="6">
        <v>4690654006235</v>
      </c>
      <c r="M1816" s="7" t="s">
        <v>3683</v>
      </c>
      <c r="N1816" s="8">
        <f>VLOOKUP(B1816,'[1]новый без картинок'!$A$5:$F$2672,6,0)</f>
        <v>33</v>
      </c>
    </row>
    <row r="1817" spans="1:14" ht="151.15" customHeight="1" x14ac:dyDescent="0.2">
      <c r="A1817" s="3">
        <v>1815</v>
      </c>
      <c r="B1817" s="3">
        <v>186493</v>
      </c>
      <c r="C1817" s="4" t="str">
        <f>HYPERLINK("http://optservis.net:5080/photo?tov_code_internet=186493","Увеличить")</f>
        <v>Увеличить</v>
      </c>
      <c r="D1817" s="3" t="s">
        <v>3684</v>
      </c>
      <c r="E1817" s="3" t="s">
        <v>3685</v>
      </c>
      <c r="F1817" s="3" t="s">
        <v>3686</v>
      </c>
      <c r="G1817" s="3" t="s">
        <v>788</v>
      </c>
      <c r="H1817" s="3">
        <v>1</v>
      </c>
      <c r="I1817" s="3">
        <v>1</v>
      </c>
      <c r="J1817" s="3" t="s">
        <v>18</v>
      </c>
      <c r="K1817" s="5">
        <v>0</v>
      </c>
      <c r="L1817" s="6">
        <v>0</v>
      </c>
      <c r="M1817" s="7" t="s">
        <v>3687</v>
      </c>
      <c r="N1817" s="8">
        <f>VLOOKUP(B1817,'[1]новый без картинок'!$A$5:$F$2672,6,0)</f>
        <v>157</v>
      </c>
    </row>
    <row r="1818" spans="1:14" ht="151.15" customHeight="1" x14ac:dyDescent="0.2">
      <c r="A1818" s="3">
        <v>1816</v>
      </c>
      <c r="B1818" s="3">
        <v>180141</v>
      </c>
      <c r="C1818" s="4" t="str">
        <f>HYPERLINK("http://optservis.net:5080/photo?tov_code_internet=180141","Увеличить")</f>
        <v>Увеличить</v>
      </c>
      <c r="D1818" s="3" t="s">
        <v>3684</v>
      </c>
      <c r="E1818" s="3" t="s">
        <v>3685</v>
      </c>
      <c r="F1818" s="3" t="s">
        <v>1155</v>
      </c>
      <c r="G1818" s="3" t="s">
        <v>788</v>
      </c>
      <c r="H1818" s="3">
        <v>1</v>
      </c>
      <c r="I1818" s="3">
        <v>1</v>
      </c>
      <c r="J1818" s="3" t="s">
        <v>18</v>
      </c>
      <c r="K1818" s="5">
        <v>0.2</v>
      </c>
      <c r="L1818" s="6">
        <v>4690654011154</v>
      </c>
      <c r="M1818" s="7" t="s">
        <v>3688</v>
      </c>
      <c r="N1818" s="8">
        <f>VLOOKUP(B1818,'[1]новый без картинок'!$A$5:$F$2672,6,0)</f>
        <v>157</v>
      </c>
    </row>
    <row r="1819" spans="1:14" ht="151.15" customHeight="1" x14ac:dyDescent="0.2">
      <c r="A1819" s="3">
        <v>1817</v>
      </c>
      <c r="B1819" s="3">
        <v>180140</v>
      </c>
      <c r="C1819" s="4" t="str">
        <f>HYPERLINK("http://optservis.net:5080/photo?tov_code_internet=180140","Увеличить")</f>
        <v>Увеличить</v>
      </c>
      <c r="D1819" s="3" t="s">
        <v>3684</v>
      </c>
      <c r="E1819" s="3" t="s">
        <v>3685</v>
      </c>
      <c r="F1819" s="3" t="s">
        <v>68</v>
      </c>
      <c r="G1819" s="3" t="s">
        <v>788</v>
      </c>
      <c r="H1819" s="3">
        <v>1</v>
      </c>
      <c r="I1819" s="3">
        <v>1</v>
      </c>
      <c r="J1819" s="3" t="s">
        <v>18</v>
      </c>
      <c r="K1819" s="5">
        <v>0.2</v>
      </c>
      <c r="L1819" s="6">
        <v>4690654011161</v>
      </c>
      <c r="M1819" s="7" t="s">
        <v>3688</v>
      </c>
      <c r="N1819" s="8">
        <f>VLOOKUP(B1819,'[1]новый без картинок'!$A$5:$F$2672,6,0)</f>
        <v>157</v>
      </c>
    </row>
    <row r="1820" spans="1:14" ht="151.15" customHeight="1" x14ac:dyDescent="0.2">
      <c r="A1820" s="3">
        <v>1818</v>
      </c>
      <c r="B1820" s="3">
        <v>186499</v>
      </c>
      <c r="C1820" s="4" t="str">
        <f>HYPERLINK("http://optservis.net:5080/photo?tov_code_internet=186499","Увеличить")</f>
        <v>Увеличить</v>
      </c>
      <c r="D1820" s="3" t="s">
        <v>3684</v>
      </c>
      <c r="E1820" s="3" t="s">
        <v>3685</v>
      </c>
      <c r="F1820" s="3" t="s">
        <v>1114</v>
      </c>
      <c r="G1820" s="3" t="s">
        <v>788</v>
      </c>
      <c r="H1820" s="3">
        <v>1</v>
      </c>
      <c r="I1820" s="3">
        <v>1</v>
      </c>
      <c r="J1820" s="3" t="s">
        <v>18</v>
      </c>
      <c r="K1820" s="5">
        <v>0</v>
      </c>
      <c r="L1820" s="6">
        <v>0</v>
      </c>
      <c r="M1820" s="7" t="s">
        <v>3687</v>
      </c>
      <c r="N1820" s="8">
        <f>VLOOKUP(B1820,'[1]новый без картинок'!$A$5:$F$2672,6,0)</f>
        <v>157</v>
      </c>
    </row>
    <row r="1821" spans="1:14" ht="151.15" customHeight="1" x14ac:dyDescent="0.2">
      <c r="A1821" s="3">
        <v>1819</v>
      </c>
      <c r="B1821" s="3">
        <v>180139</v>
      </c>
      <c r="C1821" s="4" t="str">
        <f>HYPERLINK("http://optservis.net:5080/photo?tov_code_internet=180139","Увеличить")</f>
        <v>Увеличить</v>
      </c>
      <c r="D1821" s="3" t="s">
        <v>3684</v>
      </c>
      <c r="E1821" s="3" t="s">
        <v>3685</v>
      </c>
      <c r="F1821" s="3" t="s">
        <v>863</v>
      </c>
      <c r="G1821" s="3" t="s">
        <v>788</v>
      </c>
      <c r="H1821" s="3">
        <v>1</v>
      </c>
      <c r="I1821" s="3">
        <v>1</v>
      </c>
      <c r="J1821" s="3" t="s">
        <v>18</v>
      </c>
      <c r="K1821" s="5">
        <v>0.2</v>
      </c>
      <c r="L1821" s="6">
        <v>4690654011178</v>
      </c>
      <c r="M1821" s="7" t="s">
        <v>3688</v>
      </c>
      <c r="N1821" s="8">
        <f>VLOOKUP(B1821,'[1]новый без картинок'!$A$5:$F$2672,6,0)</f>
        <v>157</v>
      </c>
    </row>
    <row r="1822" spans="1:14" ht="151.15" customHeight="1" x14ac:dyDescent="0.2">
      <c r="A1822" s="3">
        <v>1820</v>
      </c>
      <c r="B1822" s="3">
        <v>186503</v>
      </c>
      <c r="C1822" s="4" t="str">
        <f>HYPERLINK("http://optservis.net:5080/photo?tov_code_internet=186503","Увеличить")</f>
        <v>Увеличить</v>
      </c>
      <c r="D1822" s="3" t="s">
        <v>3684</v>
      </c>
      <c r="E1822" s="3" t="s">
        <v>3685</v>
      </c>
      <c r="F1822" s="3" t="s">
        <v>3689</v>
      </c>
      <c r="G1822" s="3" t="s">
        <v>788</v>
      </c>
      <c r="H1822" s="3">
        <v>1</v>
      </c>
      <c r="I1822" s="3">
        <v>1</v>
      </c>
      <c r="J1822" s="3" t="s">
        <v>18</v>
      </c>
      <c r="K1822" s="5">
        <v>0</v>
      </c>
      <c r="L1822" s="6">
        <v>0</v>
      </c>
      <c r="M1822" s="7" t="s">
        <v>3687</v>
      </c>
      <c r="N1822" s="8">
        <f>VLOOKUP(B1822,'[1]новый без картинок'!$A$5:$F$2672,6,0)</f>
        <v>157</v>
      </c>
    </row>
    <row r="1823" spans="1:14" ht="151.15" customHeight="1" x14ac:dyDescent="0.2">
      <c r="A1823" s="3">
        <v>1821</v>
      </c>
      <c r="B1823" s="3">
        <v>186446</v>
      </c>
      <c r="C1823" s="4" t="str">
        <f>HYPERLINK("http://optservis.net:5080/photo?tov_code_internet=186446","Увеличить")</f>
        <v>Увеличить</v>
      </c>
      <c r="D1823" s="3" t="s">
        <v>3684</v>
      </c>
      <c r="E1823" s="3" t="s">
        <v>3685</v>
      </c>
      <c r="F1823" s="3" t="s">
        <v>844</v>
      </c>
      <c r="G1823" s="3" t="s">
        <v>788</v>
      </c>
      <c r="H1823" s="3">
        <v>1</v>
      </c>
      <c r="I1823" s="3">
        <v>1</v>
      </c>
      <c r="J1823" s="3" t="s">
        <v>18</v>
      </c>
      <c r="K1823" s="5">
        <v>0</v>
      </c>
      <c r="L1823" s="6">
        <v>0</v>
      </c>
      <c r="M1823" s="7" t="s">
        <v>3687</v>
      </c>
      <c r="N1823" s="8">
        <f>VLOOKUP(B1823,'[1]новый без картинок'!$A$5:$F$2672,6,0)</f>
        <v>157</v>
      </c>
    </row>
    <row r="1824" spans="1:14" ht="151.15" customHeight="1" x14ac:dyDescent="0.2">
      <c r="A1824" s="3">
        <v>1822</v>
      </c>
      <c r="B1824" s="3">
        <v>186466</v>
      </c>
      <c r="C1824" s="4" t="str">
        <f>HYPERLINK("http://optservis.net:5080/photo?tov_code_internet=186466","Увеличить")</f>
        <v>Увеличить</v>
      </c>
      <c r="D1824" s="3" t="s">
        <v>3684</v>
      </c>
      <c r="E1824" s="3" t="s">
        <v>3685</v>
      </c>
      <c r="F1824" s="3" t="s">
        <v>1138</v>
      </c>
      <c r="G1824" s="3" t="s">
        <v>788</v>
      </c>
      <c r="H1824" s="3">
        <v>1</v>
      </c>
      <c r="I1824" s="3">
        <v>1</v>
      </c>
      <c r="J1824" s="3" t="s">
        <v>18</v>
      </c>
      <c r="K1824" s="5">
        <v>0.21</v>
      </c>
      <c r="L1824" s="6">
        <v>4690654017316</v>
      </c>
      <c r="M1824" s="7" t="s">
        <v>3688</v>
      </c>
      <c r="N1824" s="8">
        <f>VLOOKUP(B1824,'[1]новый без картинок'!$A$5:$F$2672,6,0)</f>
        <v>157</v>
      </c>
    </row>
    <row r="1825" spans="1:14" ht="151.15" customHeight="1" x14ac:dyDescent="0.2">
      <c r="A1825" s="3">
        <v>1823</v>
      </c>
      <c r="B1825" s="3">
        <v>179861</v>
      </c>
      <c r="C1825" s="4" t="str">
        <f>HYPERLINK("http://optservis.net:5080/photo?tov_code_internet=179861","Увеличить")</f>
        <v>Увеличить</v>
      </c>
      <c r="D1825" s="3" t="s">
        <v>3684</v>
      </c>
      <c r="E1825" s="3" t="s">
        <v>3685</v>
      </c>
      <c r="F1825" s="3" t="s">
        <v>20</v>
      </c>
      <c r="G1825" s="3" t="s">
        <v>788</v>
      </c>
      <c r="H1825" s="3">
        <v>1</v>
      </c>
      <c r="I1825" s="3">
        <v>1</v>
      </c>
      <c r="J1825" s="3" t="s">
        <v>18</v>
      </c>
      <c r="K1825" s="5">
        <v>0.2</v>
      </c>
      <c r="L1825" s="6">
        <v>4690654011185</v>
      </c>
      <c r="M1825" s="7" t="s">
        <v>3688</v>
      </c>
      <c r="N1825" s="8">
        <f>VLOOKUP(B1825,'[1]новый без картинок'!$A$5:$F$2672,6,0)</f>
        <v>157</v>
      </c>
    </row>
    <row r="1826" spans="1:14" ht="149.44999999999999" customHeight="1" x14ac:dyDescent="0.2">
      <c r="A1826" s="3">
        <v>1824</v>
      </c>
      <c r="B1826" s="3">
        <v>186497</v>
      </c>
      <c r="C1826" s="4" t="str">
        <f>HYPERLINK("http://optservis.net:5080/photo?tov_code_internet=186497","Увеличить")</f>
        <v>Увеличить</v>
      </c>
      <c r="D1826" s="3" t="s">
        <v>3690</v>
      </c>
      <c r="E1826" s="3"/>
      <c r="F1826" s="3" t="s">
        <v>3686</v>
      </c>
      <c r="G1826" s="3" t="s">
        <v>788</v>
      </c>
      <c r="H1826" s="3">
        <v>0.5</v>
      </c>
      <c r="I1826" s="3">
        <v>0</v>
      </c>
      <c r="J1826" s="3" t="s">
        <v>18</v>
      </c>
      <c r="K1826" s="5">
        <v>0</v>
      </c>
      <c r="L1826" s="6">
        <v>0</v>
      </c>
      <c r="M1826" s="7" t="s">
        <v>3691</v>
      </c>
      <c r="N1826" s="8">
        <f>VLOOKUP(B1826,'[1]новый без картинок'!$A$5:$F$2672,6,0)</f>
        <v>186</v>
      </c>
    </row>
    <row r="1827" spans="1:14" ht="149.44999999999999" customHeight="1" x14ac:dyDescent="0.2">
      <c r="A1827" s="3">
        <v>1825</v>
      </c>
      <c r="B1827" s="3">
        <v>182760</v>
      </c>
      <c r="C1827" s="4" t="str">
        <f>HYPERLINK("http://optservis.net:5080/photo?tov_code_internet=182760","Увеличить")</f>
        <v>Увеличить</v>
      </c>
      <c r="D1827" s="3" t="s">
        <v>3690</v>
      </c>
      <c r="E1827" s="3"/>
      <c r="F1827" s="3" t="s">
        <v>1155</v>
      </c>
      <c r="G1827" s="3" t="s">
        <v>788</v>
      </c>
      <c r="H1827" s="3">
        <v>0.5</v>
      </c>
      <c r="I1827" s="3">
        <v>0</v>
      </c>
      <c r="J1827" s="3" t="s">
        <v>18</v>
      </c>
      <c r="K1827" s="5">
        <v>0.11</v>
      </c>
      <c r="L1827" s="6">
        <v>0</v>
      </c>
      <c r="M1827" s="7" t="s">
        <v>3692</v>
      </c>
      <c r="N1827" s="8">
        <f>VLOOKUP(B1827,'[1]новый без картинок'!$A$5:$F$2672,6,0)</f>
        <v>186</v>
      </c>
    </row>
    <row r="1828" spans="1:14" ht="149.44999999999999" customHeight="1" x14ac:dyDescent="0.2">
      <c r="A1828" s="3">
        <v>1826</v>
      </c>
      <c r="B1828" s="3">
        <v>182768</v>
      </c>
      <c r="C1828" s="4" t="str">
        <f>HYPERLINK("http://optservis.net:5080/photo?tov_code_internet=182768","Увеличить")</f>
        <v>Увеличить</v>
      </c>
      <c r="D1828" s="3" t="s">
        <v>3690</v>
      </c>
      <c r="E1828" s="3"/>
      <c r="F1828" s="3" t="s">
        <v>68</v>
      </c>
      <c r="G1828" s="3" t="s">
        <v>788</v>
      </c>
      <c r="H1828" s="3">
        <v>0.5</v>
      </c>
      <c r="I1828" s="3">
        <v>0</v>
      </c>
      <c r="J1828" s="3" t="s">
        <v>18</v>
      </c>
      <c r="K1828" s="5">
        <v>0.11</v>
      </c>
      <c r="L1828" s="6">
        <v>0</v>
      </c>
      <c r="M1828" s="7" t="s">
        <v>3692</v>
      </c>
      <c r="N1828" s="8">
        <f>VLOOKUP(B1828,'[1]новый без картинок'!$A$5:$F$2672,6,0)</f>
        <v>186</v>
      </c>
    </row>
    <row r="1829" spans="1:14" ht="149.44999999999999" customHeight="1" x14ac:dyDescent="0.2">
      <c r="A1829" s="3">
        <v>1827</v>
      </c>
      <c r="B1829" s="3">
        <v>186500</v>
      </c>
      <c r="C1829" s="4" t="str">
        <f>HYPERLINK("http://optservis.net:5080/photo?tov_code_internet=186500","Увеличить")</f>
        <v>Увеличить</v>
      </c>
      <c r="D1829" s="3" t="s">
        <v>3690</v>
      </c>
      <c r="E1829" s="3"/>
      <c r="F1829" s="3" t="s">
        <v>1114</v>
      </c>
      <c r="G1829" s="3" t="s">
        <v>788</v>
      </c>
      <c r="H1829" s="3">
        <v>0.5</v>
      </c>
      <c r="I1829" s="3">
        <v>0</v>
      </c>
      <c r="J1829" s="3" t="s">
        <v>18</v>
      </c>
      <c r="K1829" s="5">
        <v>0</v>
      </c>
      <c r="L1829" s="6">
        <v>0</v>
      </c>
      <c r="M1829" s="7" t="s">
        <v>3691</v>
      </c>
      <c r="N1829" s="8">
        <f>VLOOKUP(B1829,'[1]новый без картинок'!$A$5:$F$2672,6,0)</f>
        <v>186</v>
      </c>
    </row>
    <row r="1830" spans="1:14" ht="149.44999999999999" customHeight="1" x14ac:dyDescent="0.2">
      <c r="A1830" s="3">
        <v>1828</v>
      </c>
      <c r="B1830" s="3">
        <v>182769</v>
      </c>
      <c r="C1830" s="4" t="str">
        <f>HYPERLINK("http://optservis.net:5080/photo?tov_code_internet=182769","Увеличить")</f>
        <v>Увеличить</v>
      </c>
      <c r="D1830" s="3" t="s">
        <v>3690</v>
      </c>
      <c r="E1830" s="3"/>
      <c r="F1830" s="3" t="s">
        <v>863</v>
      </c>
      <c r="G1830" s="3" t="s">
        <v>788</v>
      </c>
      <c r="H1830" s="3">
        <v>0.5</v>
      </c>
      <c r="I1830" s="3">
        <v>0</v>
      </c>
      <c r="J1830" s="3" t="s">
        <v>18</v>
      </c>
      <c r="K1830" s="5">
        <v>0.12</v>
      </c>
      <c r="L1830" s="6">
        <v>0</v>
      </c>
      <c r="M1830" s="7" t="s">
        <v>3692</v>
      </c>
      <c r="N1830" s="8">
        <f>VLOOKUP(B1830,'[1]новый без картинок'!$A$5:$F$2672,6,0)</f>
        <v>186</v>
      </c>
    </row>
    <row r="1831" spans="1:14" ht="149.44999999999999" customHeight="1" x14ac:dyDescent="0.2">
      <c r="A1831" s="3">
        <v>1829</v>
      </c>
      <c r="B1831" s="3">
        <v>186505</v>
      </c>
      <c r="C1831" s="4" t="str">
        <f>HYPERLINK("http://optservis.net:5080/photo?tov_code_internet=186505","Увеличить")</f>
        <v>Увеличить</v>
      </c>
      <c r="D1831" s="3" t="s">
        <v>3690</v>
      </c>
      <c r="E1831" s="3"/>
      <c r="F1831" s="3" t="s">
        <v>3689</v>
      </c>
      <c r="G1831" s="3" t="s">
        <v>788</v>
      </c>
      <c r="H1831" s="3">
        <v>0.5</v>
      </c>
      <c r="I1831" s="3">
        <v>0</v>
      </c>
      <c r="J1831" s="3" t="s">
        <v>18</v>
      </c>
      <c r="K1831" s="5">
        <v>0</v>
      </c>
      <c r="L1831" s="6">
        <v>0</v>
      </c>
      <c r="M1831" s="7" t="s">
        <v>3691</v>
      </c>
      <c r="N1831" s="8">
        <f>VLOOKUP(B1831,'[1]новый без картинок'!$A$5:$F$2672,6,0)</f>
        <v>186</v>
      </c>
    </row>
    <row r="1832" spans="1:14" ht="149.44999999999999" customHeight="1" x14ac:dyDescent="0.2">
      <c r="A1832" s="3">
        <v>1830</v>
      </c>
      <c r="B1832" s="3">
        <v>186507</v>
      </c>
      <c r="C1832" s="4" t="str">
        <f>HYPERLINK("http://optservis.net:5080/photo?tov_code_internet=186507","Увеличить")</f>
        <v>Увеличить</v>
      </c>
      <c r="D1832" s="3" t="s">
        <v>3690</v>
      </c>
      <c r="E1832" s="3"/>
      <c r="F1832" s="3" t="s">
        <v>844</v>
      </c>
      <c r="G1832" s="3" t="s">
        <v>788</v>
      </c>
      <c r="H1832" s="3">
        <v>0.5</v>
      </c>
      <c r="I1832" s="3">
        <v>0</v>
      </c>
      <c r="J1832" s="3" t="s">
        <v>18</v>
      </c>
      <c r="K1832" s="5">
        <v>0</v>
      </c>
      <c r="L1832" s="6">
        <v>0</v>
      </c>
      <c r="M1832" s="7" t="s">
        <v>3691</v>
      </c>
      <c r="N1832" s="8">
        <f>VLOOKUP(B1832,'[1]новый без картинок'!$A$5:$F$2672,6,0)</f>
        <v>186</v>
      </c>
    </row>
    <row r="1833" spans="1:14" ht="149.44999999999999" customHeight="1" x14ac:dyDescent="0.2">
      <c r="A1833" s="3">
        <v>1831</v>
      </c>
      <c r="B1833" s="3">
        <v>187394</v>
      </c>
      <c r="C1833" s="4" t="str">
        <f>HYPERLINK("http://optservis.net:5080/photo?tov_code_internet=187394","Увеличить")</f>
        <v>Увеличить</v>
      </c>
      <c r="D1833" s="3" t="s">
        <v>3690</v>
      </c>
      <c r="E1833" s="3"/>
      <c r="F1833" s="3" t="s">
        <v>1138</v>
      </c>
      <c r="G1833" s="3" t="s">
        <v>788</v>
      </c>
      <c r="H1833" s="3">
        <v>0.5</v>
      </c>
      <c r="I1833" s="3">
        <v>0</v>
      </c>
      <c r="J1833" s="3" t="s">
        <v>18</v>
      </c>
      <c r="K1833" s="5">
        <v>0.12</v>
      </c>
      <c r="L1833" s="6">
        <v>0</v>
      </c>
      <c r="M1833" s="7" t="s">
        <v>3691</v>
      </c>
      <c r="N1833" s="8">
        <f>VLOOKUP(B1833,'[1]новый без картинок'!$A$5:$F$2672,6,0)</f>
        <v>186</v>
      </c>
    </row>
    <row r="1834" spans="1:14" ht="151.15" customHeight="1" x14ac:dyDescent="0.2">
      <c r="A1834" s="3">
        <v>1832</v>
      </c>
      <c r="B1834" s="3">
        <v>180136</v>
      </c>
      <c r="C1834" s="4" t="str">
        <f>HYPERLINK("http://optservis.net:5080/photo?tov_code_internet=180136","Увеличить")</f>
        <v>Увеличить</v>
      </c>
      <c r="D1834" s="3" t="s">
        <v>3690</v>
      </c>
      <c r="E1834" s="3"/>
      <c r="F1834" s="3" t="s">
        <v>20</v>
      </c>
      <c r="G1834" s="3" t="s">
        <v>788</v>
      </c>
      <c r="H1834" s="3">
        <v>0.5</v>
      </c>
      <c r="I1834" s="3">
        <v>0</v>
      </c>
      <c r="J1834" s="3" t="s">
        <v>18</v>
      </c>
      <c r="K1834" s="5">
        <v>0.11</v>
      </c>
      <c r="L1834" s="6">
        <v>0</v>
      </c>
      <c r="M1834" s="7" t="s">
        <v>3692</v>
      </c>
      <c r="N1834" s="8">
        <f>VLOOKUP(B1834,'[1]новый без картинок'!$A$5:$F$2672,6,0)</f>
        <v>186</v>
      </c>
    </row>
    <row r="1835" spans="1:14" ht="151.15" customHeight="1" x14ac:dyDescent="0.2">
      <c r="A1835" s="3">
        <v>1833</v>
      </c>
      <c r="B1835" s="3">
        <v>958945</v>
      </c>
      <c r="C1835" s="4" t="str">
        <f>HYPERLINK("http://optservis.net:5080/photo?tov_code_internet=958945","Увеличить")</f>
        <v>Увеличить</v>
      </c>
      <c r="D1835" s="3" t="s">
        <v>3693</v>
      </c>
      <c r="E1835" s="3" t="s">
        <v>3694</v>
      </c>
      <c r="F1835" s="3" t="s">
        <v>3660</v>
      </c>
      <c r="G1835" s="3" t="s">
        <v>17</v>
      </c>
      <c r="H1835" s="3">
        <v>1</v>
      </c>
      <c r="I1835" s="3">
        <v>1</v>
      </c>
      <c r="J1835" s="3" t="s">
        <v>18</v>
      </c>
      <c r="K1835" s="5">
        <v>0.37</v>
      </c>
      <c r="L1835" s="6">
        <v>4640020776026</v>
      </c>
      <c r="M1835" s="7" t="s">
        <v>3695</v>
      </c>
      <c r="N1835" s="8">
        <f>VLOOKUP(B1835,'[1]новый без картинок'!$A$5:$F$2672,6,0)</f>
        <v>382</v>
      </c>
    </row>
    <row r="1836" spans="1:14" ht="151.15" customHeight="1" x14ac:dyDescent="0.2">
      <c r="A1836" s="3">
        <v>1834</v>
      </c>
      <c r="B1836" s="3">
        <v>958946</v>
      </c>
      <c r="C1836" s="4" t="str">
        <f>HYPERLINK("http://optservis.net:5080/photo?tov_code_internet=958946","Увеличить")</f>
        <v>Увеличить</v>
      </c>
      <c r="D1836" s="3" t="s">
        <v>3693</v>
      </c>
      <c r="E1836" s="3" t="s">
        <v>3694</v>
      </c>
      <c r="F1836" s="3" t="s">
        <v>3664</v>
      </c>
      <c r="G1836" s="3" t="s">
        <v>17</v>
      </c>
      <c r="H1836" s="3">
        <v>1</v>
      </c>
      <c r="I1836" s="3">
        <v>1</v>
      </c>
      <c r="J1836" s="3" t="s">
        <v>18</v>
      </c>
      <c r="K1836" s="5">
        <v>0.37</v>
      </c>
      <c r="L1836" s="6">
        <v>4640020776361</v>
      </c>
      <c r="M1836" s="7" t="s">
        <v>3696</v>
      </c>
      <c r="N1836" s="8">
        <f>VLOOKUP(B1836,'[1]новый без картинок'!$A$5:$F$2672,6,0)</f>
        <v>382</v>
      </c>
    </row>
    <row r="1837" spans="1:14" ht="138.6" customHeight="1" x14ac:dyDescent="0.2">
      <c r="A1837" s="3">
        <v>1835</v>
      </c>
      <c r="B1837" s="3">
        <v>163509</v>
      </c>
      <c r="C1837" s="4" t="str">
        <f>HYPERLINK("http://optservis.net:5080/photo?tov_code_internet=163509","Увеличить")</f>
        <v>Увеличить</v>
      </c>
      <c r="D1837" s="3" t="s">
        <v>3697</v>
      </c>
      <c r="E1837" s="3" t="s">
        <v>3698</v>
      </c>
      <c r="F1837" s="3" t="s">
        <v>71</v>
      </c>
      <c r="G1837" s="3" t="s">
        <v>17</v>
      </c>
      <c r="H1837" s="3">
        <v>1</v>
      </c>
      <c r="I1837" s="3">
        <v>1</v>
      </c>
      <c r="J1837" s="3" t="s">
        <v>18</v>
      </c>
      <c r="K1837" s="5">
        <v>0.02</v>
      </c>
      <c r="L1837" s="6">
        <v>4690654006983</v>
      </c>
      <c r="M1837" s="7" t="s">
        <v>3699</v>
      </c>
      <c r="N1837" s="8">
        <f>VLOOKUP(B1837,'[1]новый без картинок'!$A$5:$F$2672,6,0)</f>
        <v>148</v>
      </c>
    </row>
    <row r="1838" spans="1:14" ht="153" customHeight="1" x14ac:dyDescent="0.2">
      <c r="A1838" s="3">
        <v>1836</v>
      </c>
      <c r="B1838" s="3">
        <v>187585</v>
      </c>
      <c r="C1838" s="4" t="str">
        <f>HYPERLINK("http://optservis.net:5080/photo?tov_code_internet=187585","Увеличить")</f>
        <v>Увеличить</v>
      </c>
      <c r="D1838" s="3" t="s">
        <v>3700</v>
      </c>
      <c r="E1838" s="3" t="s">
        <v>3701</v>
      </c>
      <c r="F1838" s="3" t="s">
        <v>493</v>
      </c>
      <c r="G1838" s="3" t="s">
        <v>17</v>
      </c>
      <c r="H1838" s="3">
        <v>1</v>
      </c>
      <c r="I1838" s="3">
        <v>1</v>
      </c>
      <c r="J1838" s="3" t="s">
        <v>18</v>
      </c>
      <c r="K1838" s="5">
        <v>0.08</v>
      </c>
      <c r="L1838" s="6">
        <v>4690654014216</v>
      </c>
      <c r="M1838" s="7" t="s">
        <v>3702</v>
      </c>
      <c r="N1838" s="8">
        <f>VLOOKUP(B1838,'[1]новый без картинок'!$A$5:$F$2672,6,0)</f>
        <v>73</v>
      </c>
    </row>
    <row r="1839" spans="1:14" ht="153" customHeight="1" x14ac:dyDescent="0.2">
      <c r="A1839" s="3">
        <v>1837</v>
      </c>
      <c r="B1839" s="3">
        <v>187584</v>
      </c>
      <c r="C1839" s="4" t="str">
        <f>HYPERLINK("http://optservis.net:5080/photo?tov_code_internet=187584","Увеличить")</f>
        <v>Увеличить</v>
      </c>
      <c r="D1839" s="3" t="s">
        <v>3700</v>
      </c>
      <c r="E1839" s="3" t="s">
        <v>3701</v>
      </c>
      <c r="F1839" s="3" t="s">
        <v>71</v>
      </c>
      <c r="G1839" s="3" t="s">
        <v>17</v>
      </c>
      <c r="H1839" s="3">
        <v>1</v>
      </c>
      <c r="I1839" s="3">
        <v>1</v>
      </c>
      <c r="J1839" s="3" t="s">
        <v>18</v>
      </c>
      <c r="K1839" s="5">
        <v>0.08</v>
      </c>
      <c r="L1839" s="6">
        <v>4690654014223</v>
      </c>
      <c r="M1839" s="7" t="s">
        <v>3703</v>
      </c>
      <c r="N1839" s="8">
        <f>VLOOKUP(B1839,'[1]новый без картинок'!$A$5:$F$2672,6,0)</f>
        <v>69</v>
      </c>
    </row>
    <row r="1840" spans="1:14" ht="151.15" customHeight="1" x14ac:dyDescent="0.2">
      <c r="A1840" s="3">
        <v>1838</v>
      </c>
      <c r="B1840" s="3">
        <v>969694</v>
      </c>
      <c r="C1840" s="4" t="str">
        <f>HYPERLINK("http://optservis.net:5080/photo?tov_code_internet=969694","Увеличить")</f>
        <v>Увеличить</v>
      </c>
      <c r="D1840" s="3" t="s">
        <v>3704</v>
      </c>
      <c r="E1840" s="3" t="s">
        <v>3705</v>
      </c>
      <c r="F1840" s="3" t="s">
        <v>3644</v>
      </c>
      <c r="G1840" s="3" t="s">
        <v>17</v>
      </c>
      <c r="H1840" s="3">
        <v>1</v>
      </c>
      <c r="I1840" s="3">
        <v>1</v>
      </c>
      <c r="J1840" s="3" t="s">
        <v>18</v>
      </c>
      <c r="K1840" s="5">
        <v>0.55000000000000004</v>
      </c>
      <c r="L1840" s="6">
        <v>4640020777382</v>
      </c>
      <c r="M1840" s="7" t="s">
        <v>3706</v>
      </c>
      <c r="N1840" s="8">
        <f>VLOOKUP(B1840,'[1]новый без картинок'!$A$5:$F$2672,6,0)</f>
        <v>402</v>
      </c>
    </row>
    <row r="1841" spans="1:14" ht="138.6" customHeight="1" x14ac:dyDescent="0.2">
      <c r="A1841" s="3">
        <v>1839</v>
      </c>
      <c r="B1841" s="3">
        <v>986116</v>
      </c>
      <c r="C1841" s="4" t="str">
        <f>HYPERLINK("http://optservis.net:5080/photo?tov_code_internet=986116","Увеличить")</f>
        <v>Увеличить</v>
      </c>
      <c r="D1841" s="3" t="s">
        <v>3707</v>
      </c>
      <c r="E1841" s="3" t="s">
        <v>3708</v>
      </c>
      <c r="F1841" s="3" t="s">
        <v>3644</v>
      </c>
      <c r="G1841" s="3" t="s">
        <v>17</v>
      </c>
      <c r="H1841" s="3">
        <v>1</v>
      </c>
      <c r="I1841" s="3">
        <v>1</v>
      </c>
      <c r="J1841" s="3" t="s">
        <v>18</v>
      </c>
      <c r="K1841" s="5">
        <v>0.32</v>
      </c>
      <c r="L1841" s="6">
        <v>4640020778808</v>
      </c>
      <c r="M1841" s="7" t="s">
        <v>3709</v>
      </c>
      <c r="N1841" s="8">
        <f>VLOOKUP(B1841,'[1]новый без картинок'!$A$5:$F$2672,6,0)</f>
        <v>241</v>
      </c>
    </row>
    <row r="1842" spans="1:14" ht="138.6" customHeight="1" x14ac:dyDescent="0.2">
      <c r="A1842" s="3">
        <v>1840</v>
      </c>
      <c r="B1842" s="3">
        <v>951758</v>
      </c>
      <c r="C1842" s="4" t="str">
        <f>HYPERLINK("http://optservis.net:5080/photo?tov_code_internet=951758","Увеличить")</f>
        <v>Увеличить</v>
      </c>
      <c r="D1842" s="3" t="s">
        <v>3707</v>
      </c>
      <c r="E1842" s="3" t="s">
        <v>3708</v>
      </c>
      <c r="F1842" s="3" t="s">
        <v>3664</v>
      </c>
      <c r="G1842" s="3" t="s">
        <v>17</v>
      </c>
      <c r="H1842" s="3">
        <v>1</v>
      </c>
      <c r="I1842" s="3">
        <v>1</v>
      </c>
      <c r="J1842" s="3" t="s">
        <v>18</v>
      </c>
      <c r="K1842" s="5">
        <v>0.32</v>
      </c>
      <c r="L1842" s="6">
        <v>4640020776194</v>
      </c>
      <c r="M1842" s="7" t="s">
        <v>3710</v>
      </c>
      <c r="N1842" s="8">
        <f>VLOOKUP(B1842,'[1]новый без картинок'!$A$5:$F$2672,6,0)</f>
        <v>209</v>
      </c>
    </row>
    <row r="1843" spans="1:14" ht="146.65" customHeight="1" x14ac:dyDescent="0.2">
      <c r="A1843" s="3">
        <v>1841</v>
      </c>
      <c r="B1843" s="3">
        <v>931690</v>
      </c>
      <c r="C1843" s="4" t="str">
        <f>HYPERLINK("http://optservis.net:5080/photo?tov_code_internet=931690","Увеличить")</f>
        <v>Увеличить</v>
      </c>
      <c r="D1843" s="3" t="s">
        <v>3711</v>
      </c>
      <c r="E1843" s="3" t="s">
        <v>3712</v>
      </c>
      <c r="F1843" s="3" t="s">
        <v>20</v>
      </c>
      <c r="G1843" s="3" t="s">
        <v>17</v>
      </c>
      <c r="H1843" s="3">
        <v>1</v>
      </c>
      <c r="I1843" s="3">
        <v>1</v>
      </c>
      <c r="J1843" s="3" t="s">
        <v>18</v>
      </c>
      <c r="K1843" s="5">
        <v>0.06</v>
      </c>
      <c r="L1843" s="6">
        <v>4690654015930</v>
      </c>
      <c r="M1843" s="7" t="s">
        <v>3713</v>
      </c>
      <c r="N1843" s="8">
        <f>VLOOKUP(B1843,'[1]новый без картинок'!$A$5:$F$2672,6,0)</f>
        <v>446</v>
      </c>
    </row>
    <row r="1844" spans="1:14" ht="146.65" customHeight="1" x14ac:dyDescent="0.2">
      <c r="A1844" s="3">
        <v>1842</v>
      </c>
      <c r="B1844" s="3">
        <v>957558</v>
      </c>
      <c r="C1844" s="4" t="str">
        <f>HYPERLINK("http://optservis.net:5080/photo?tov_code_internet=957558","Увеличить")</f>
        <v>Увеличить</v>
      </c>
      <c r="D1844" s="3" t="s">
        <v>3714</v>
      </c>
      <c r="E1844" s="3"/>
      <c r="F1844" s="3" t="s">
        <v>20</v>
      </c>
      <c r="G1844" s="3" t="s">
        <v>17</v>
      </c>
      <c r="H1844" s="3">
        <v>1</v>
      </c>
      <c r="I1844" s="3">
        <v>1</v>
      </c>
      <c r="J1844" s="3" t="s">
        <v>18</v>
      </c>
      <c r="K1844" s="5">
        <v>7.0000000000000007E-2</v>
      </c>
      <c r="L1844" s="6">
        <v>0</v>
      </c>
      <c r="M1844" s="7" t="s">
        <v>3715</v>
      </c>
      <c r="N1844" s="8">
        <f>VLOOKUP(B1844,'[1]новый без картинок'!$A$5:$F$2672,6,0)</f>
        <v>482</v>
      </c>
    </row>
    <row r="1845" spans="1:14" ht="146.65" customHeight="1" x14ac:dyDescent="0.2">
      <c r="A1845" s="3">
        <v>1843</v>
      </c>
      <c r="B1845" s="3">
        <v>931691</v>
      </c>
      <c r="C1845" s="4" t="str">
        <f>HYPERLINK("http://optservis.net:5080/photo?tov_code_internet=931691","Увеличить")</f>
        <v>Увеличить</v>
      </c>
      <c r="D1845" s="3" t="s">
        <v>3716</v>
      </c>
      <c r="E1845" s="3"/>
      <c r="F1845" s="3" t="s">
        <v>20</v>
      </c>
      <c r="G1845" s="3" t="s">
        <v>17</v>
      </c>
      <c r="H1845" s="3">
        <v>1</v>
      </c>
      <c r="I1845" s="3">
        <v>1</v>
      </c>
      <c r="J1845" s="3" t="s">
        <v>18</v>
      </c>
      <c r="K1845" s="5">
        <v>0.08</v>
      </c>
      <c r="L1845" s="6">
        <v>0</v>
      </c>
      <c r="M1845" s="7" t="s">
        <v>3717</v>
      </c>
      <c r="N1845" s="8">
        <f>VLOOKUP(B1845,'[1]новый без картинок'!$A$5:$F$2672,6,0)</f>
        <v>385</v>
      </c>
    </row>
    <row r="1846" spans="1:14" ht="146.65" customHeight="1" x14ac:dyDescent="0.2">
      <c r="A1846" s="3">
        <v>1844</v>
      </c>
      <c r="B1846" s="3">
        <v>957559</v>
      </c>
      <c r="C1846" s="4" t="str">
        <f>HYPERLINK("http://optservis.net:5080/photo?tov_code_internet=957559","Увеличить")</f>
        <v>Увеличить</v>
      </c>
      <c r="D1846" s="3" t="s">
        <v>3718</v>
      </c>
      <c r="E1846" s="3"/>
      <c r="F1846" s="3" t="s">
        <v>20</v>
      </c>
      <c r="G1846" s="3" t="s">
        <v>17</v>
      </c>
      <c r="H1846" s="3">
        <v>1</v>
      </c>
      <c r="I1846" s="3">
        <v>1</v>
      </c>
      <c r="J1846" s="3" t="s">
        <v>18</v>
      </c>
      <c r="K1846" s="5">
        <v>0.09</v>
      </c>
      <c r="L1846" s="6">
        <v>0</v>
      </c>
      <c r="M1846" s="7" t="s">
        <v>3719</v>
      </c>
      <c r="N1846" s="8">
        <f>VLOOKUP(B1846,'[1]новый без картинок'!$A$5:$F$2672,6,0)</f>
        <v>420</v>
      </c>
    </row>
    <row r="1847" spans="1:14" ht="146.65" customHeight="1" x14ac:dyDescent="0.2">
      <c r="A1847" s="3">
        <v>1845</v>
      </c>
      <c r="B1847" s="3">
        <v>931692</v>
      </c>
      <c r="C1847" s="4" t="str">
        <f>HYPERLINK("http://optservis.net:5080/photo?tov_code_internet=931692","Увеличить")</f>
        <v>Увеличить</v>
      </c>
      <c r="D1847" s="3" t="s">
        <v>3720</v>
      </c>
      <c r="E1847" s="3"/>
      <c r="F1847" s="3" t="s">
        <v>20</v>
      </c>
      <c r="G1847" s="3" t="s">
        <v>17</v>
      </c>
      <c r="H1847" s="3">
        <v>1</v>
      </c>
      <c r="I1847" s="3">
        <v>1</v>
      </c>
      <c r="J1847" s="3" t="s">
        <v>18</v>
      </c>
      <c r="K1847" s="5">
        <v>0.08</v>
      </c>
      <c r="L1847" s="6">
        <v>0</v>
      </c>
      <c r="M1847" s="7" t="s">
        <v>3721</v>
      </c>
      <c r="N1847" s="8">
        <f>VLOOKUP(B1847,'[1]новый без картинок'!$A$5:$F$2672,6,0)</f>
        <v>516</v>
      </c>
    </row>
    <row r="1848" spans="1:14" ht="146.65" customHeight="1" x14ac:dyDescent="0.2">
      <c r="A1848" s="3">
        <v>1846</v>
      </c>
      <c r="B1848" s="3">
        <v>957560</v>
      </c>
      <c r="C1848" s="4" t="str">
        <f>HYPERLINK("http://optservis.net:5080/photo?tov_code_internet=957560","Увеличить")</f>
        <v>Увеличить</v>
      </c>
      <c r="D1848" s="3" t="s">
        <v>3722</v>
      </c>
      <c r="E1848" s="3" t="s">
        <v>3723</v>
      </c>
      <c r="F1848" s="3" t="s">
        <v>20</v>
      </c>
      <c r="G1848" s="3" t="s">
        <v>17</v>
      </c>
      <c r="H1848" s="3">
        <v>0.5</v>
      </c>
      <c r="I1848" s="3">
        <v>0</v>
      </c>
      <c r="J1848" s="3" t="s">
        <v>18</v>
      </c>
      <c r="K1848" s="5">
        <v>0.06</v>
      </c>
      <c r="L1848" s="6">
        <v>4690654003555</v>
      </c>
      <c r="M1848" s="7" t="s">
        <v>3724</v>
      </c>
      <c r="N1848" s="8">
        <f>VLOOKUP(B1848,'[1]новый без картинок'!$A$5:$F$2672,6,0)</f>
        <v>541</v>
      </c>
    </row>
    <row r="1849" spans="1:14" ht="146.65" customHeight="1" x14ac:dyDescent="0.2">
      <c r="A1849" s="3">
        <v>1847</v>
      </c>
      <c r="B1849" s="3">
        <v>931693</v>
      </c>
      <c r="C1849" s="4" t="str">
        <f>HYPERLINK("http://optservis.net:5080/photo?tov_code_internet=931693","Увеличить")</f>
        <v>Увеличить</v>
      </c>
      <c r="D1849" s="3" t="s">
        <v>3725</v>
      </c>
      <c r="E1849" s="3"/>
      <c r="F1849" s="3" t="s">
        <v>20</v>
      </c>
      <c r="G1849" s="3" t="s">
        <v>17</v>
      </c>
      <c r="H1849" s="3">
        <v>1</v>
      </c>
      <c r="I1849" s="3">
        <v>1</v>
      </c>
      <c r="J1849" s="3" t="s">
        <v>18</v>
      </c>
      <c r="K1849" s="5">
        <v>0.1</v>
      </c>
      <c r="L1849" s="6">
        <v>0</v>
      </c>
      <c r="M1849" s="7" t="s">
        <v>3726</v>
      </c>
      <c r="N1849" s="8">
        <f>VLOOKUP(B1849,'[1]новый без картинок'!$A$5:$F$2672,6,0)</f>
        <v>455</v>
      </c>
    </row>
    <row r="1850" spans="1:14" ht="146.65" customHeight="1" x14ac:dyDescent="0.2">
      <c r="A1850" s="3">
        <v>1848</v>
      </c>
      <c r="B1850" s="3">
        <v>957561</v>
      </c>
      <c r="C1850" s="4" t="str">
        <f>HYPERLINK("http://optservis.net:5080/photo?tov_code_internet=957561","Увеличить")</f>
        <v>Увеличить</v>
      </c>
      <c r="D1850" s="3" t="s">
        <v>3727</v>
      </c>
      <c r="E1850" s="3"/>
      <c r="F1850" s="3" t="s">
        <v>20</v>
      </c>
      <c r="G1850" s="3" t="s">
        <v>17</v>
      </c>
      <c r="H1850" s="3">
        <v>1</v>
      </c>
      <c r="I1850" s="3">
        <v>1</v>
      </c>
      <c r="J1850" s="3" t="s">
        <v>18</v>
      </c>
      <c r="K1850" s="5">
        <v>0.11</v>
      </c>
      <c r="L1850" s="6">
        <v>0</v>
      </c>
      <c r="M1850" s="7" t="s">
        <v>3728</v>
      </c>
      <c r="N1850" s="8">
        <f>VLOOKUP(B1850,'[1]новый без картинок'!$A$5:$F$2672,6,0)</f>
        <v>478</v>
      </c>
    </row>
    <row r="1851" spans="1:14" ht="149.44999999999999" customHeight="1" x14ac:dyDescent="0.2">
      <c r="A1851" s="3">
        <v>1849</v>
      </c>
      <c r="B1851" s="3">
        <v>876210</v>
      </c>
      <c r="C1851" s="4" t="str">
        <f>HYPERLINK("http://optservis.net:5080/photo?tov_code_internet=876210","Увеличить")</f>
        <v>Увеличить</v>
      </c>
      <c r="D1851" s="3" t="s">
        <v>3729</v>
      </c>
      <c r="E1851" s="3" t="s">
        <v>3730</v>
      </c>
      <c r="F1851" s="3" t="s">
        <v>165</v>
      </c>
      <c r="G1851" s="3" t="s">
        <v>17</v>
      </c>
      <c r="H1851" s="3">
        <v>1</v>
      </c>
      <c r="I1851" s="3">
        <v>1</v>
      </c>
      <c r="J1851" s="3" t="s">
        <v>18</v>
      </c>
      <c r="K1851" s="5">
        <v>0.06</v>
      </c>
      <c r="L1851" s="6">
        <v>4690654998691</v>
      </c>
      <c r="M1851" s="7" t="s">
        <v>3731</v>
      </c>
      <c r="N1851" s="8">
        <f>VLOOKUP(B1851,'[1]новый без картинок'!$A$5:$F$2672,6,0)</f>
        <v>107</v>
      </c>
    </row>
    <row r="1852" spans="1:14" ht="151.15" customHeight="1" x14ac:dyDescent="0.2">
      <c r="A1852" s="3">
        <v>1850</v>
      </c>
      <c r="B1852" s="3">
        <v>981929</v>
      </c>
      <c r="C1852" s="4" t="str">
        <f>HYPERLINK("http://optservis.net:5080/photo?tov_code_internet=981929","Увеличить")</f>
        <v>Увеличить</v>
      </c>
      <c r="D1852" s="3" t="s">
        <v>3732</v>
      </c>
      <c r="E1852" s="3" t="s">
        <v>3733</v>
      </c>
      <c r="F1852" s="3" t="s">
        <v>3734</v>
      </c>
      <c r="G1852" s="3" t="s">
        <v>17</v>
      </c>
      <c r="H1852" s="3">
        <v>1</v>
      </c>
      <c r="I1852" s="3">
        <v>1</v>
      </c>
      <c r="J1852" s="3" t="s">
        <v>18</v>
      </c>
      <c r="K1852" s="5">
        <v>0.06</v>
      </c>
      <c r="L1852" s="6">
        <v>4640020777795</v>
      </c>
      <c r="M1852" s="7" t="s">
        <v>3735</v>
      </c>
      <c r="N1852" s="8">
        <f>VLOOKUP(B1852,'[1]новый без картинок'!$A$5:$F$2672,6,0)</f>
        <v>239</v>
      </c>
    </row>
    <row r="1853" spans="1:14" ht="151.15" customHeight="1" x14ac:dyDescent="0.2">
      <c r="A1853" s="3">
        <v>1851</v>
      </c>
      <c r="B1853" s="3">
        <v>981930</v>
      </c>
      <c r="C1853" s="4" t="str">
        <f>HYPERLINK("http://optservis.net:5080/photo?tov_code_internet=981930","Увеличить")</f>
        <v>Увеличить</v>
      </c>
      <c r="D1853" s="3" t="s">
        <v>3732</v>
      </c>
      <c r="E1853" s="3" t="s">
        <v>3733</v>
      </c>
      <c r="F1853" s="3" t="s">
        <v>3736</v>
      </c>
      <c r="G1853" s="3" t="s">
        <v>17</v>
      </c>
      <c r="H1853" s="3">
        <v>1</v>
      </c>
      <c r="I1853" s="3">
        <v>1</v>
      </c>
      <c r="J1853" s="3" t="s">
        <v>18</v>
      </c>
      <c r="K1853" s="5">
        <v>0.06</v>
      </c>
      <c r="L1853" s="6">
        <v>4640020777801</v>
      </c>
      <c r="M1853" s="7" t="s">
        <v>3737</v>
      </c>
      <c r="N1853" s="8">
        <f>VLOOKUP(B1853,'[1]новый без картинок'!$A$5:$F$2672,6,0)</f>
        <v>112</v>
      </c>
    </row>
    <row r="1854" spans="1:14" ht="151.15" customHeight="1" x14ac:dyDescent="0.2">
      <c r="A1854" s="3">
        <v>1852</v>
      </c>
      <c r="B1854" s="3">
        <v>981931</v>
      </c>
      <c r="C1854" s="4" t="str">
        <f>HYPERLINK("http://optservis.net:5080/photo?tov_code_internet=981931","Увеличить")</f>
        <v>Увеличить</v>
      </c>
      <c r="D1854" s="3" t="s">
        <v>3732</v>
      </c>
      <c r="E1854" s="3" t="s">
        <v>3733</v>
      </c>
      <c r="F1854" s="3" t="s">
        <v>3738</v>
      </c>
      <c r="G1854" s="3" t="s">
        <v>17</v>
      </c>
      <c r="H1854" s="3">
        <v>1</v>
      </c>
      <c r="I1854" s="3">
        <v>1</v>
      </c>
      <c r="J1854" s="3" t="s">
        <v>18</v>
      </c>
      <c r="K1854" s="5">
        <v>0.06</v>
      </c>
      <c r="L1854" s="6">
        <v>4640020777818</v>
      </c>
      <c r="M1854" s="7" t="s">
        <v>3739</v>
      </c>
      <c r="N1854" s="8">
        <f>VLOOKUP(B1854,'[1]новый без картинок'!$A$5:$F$2672,6,0)</f>
        <v>235</v>
      </c>
    </row>
    <row r="1855" spans="1:14" ht="151.15" customHeight="1" x14ac:dyDescent="0.2">
      <c r="A1855" s="3">
        <v>1853</v>
      </c>
      <c r="B1855" s="3">
        <v>981932</v>
      </c>
      <c r="C1855" s="4" t="str">
        <f>HYPERLINK("http://optservis.net:5080/photo?tov_code_internet=981932","Увеличить")</f>
        <v>Увеличить</v>
      </c>
      <c r="D1855" s="3" t="s">
        <v>3732</v>
      </c>
      <c r="E1855" s="3" t="s">
        <v>3733</v>
      </c>
      <c r="F1855" s="3" t="s">
        <v>141</v>
      </c>
      <c r="G1855" s="3" t="s">
        <v>17</v>
      </c>
      <c r="H1855" s="3">
        <v>1</v>
      </c>
      <c r="I1855" s="3">
        <v>1</v>
      </c>
      <c r="J1855" s="3" t="s">
        <v>18</v>
      </c>
      <c r="K1855" s="5">
        <v>0.06</v>
      </c>
      <c r="L1855" s="6">
        <v>4640020777825</v>
      </c>
      <c r="M1855" s="7" t="s">
        <v>3740</v>
      </c>
      <c r="N1855" s="8">
        <f>VLOOKUP(B1855,'[1]новый без картинок'!$A$5:$F$2672,6,0)</f>
        <v>109</v>
      </c>
    </row>
    <row r="1856" spans="1:14" ht="151.15" customHeight="1" x14ac:dyDescent="0.2">
      <c r="A1856" s="3">
        <v>1854</v>
      </c>
      <c r="B1856" s="3">
        <v>981933</v>
      </c>
      <c r="C1856" s="4" t="str">
        <f>HYPERLINK("http://optservis.net:5080/photo?tov_code_internet=981933","Увеличить")</f>
        <v>Увеличить</v>
      </c>
      <c r="D1856" s="3" t="s">
        <v>3732</v>
      </c>
      <c r="E1856" s="3" t="s">
        <v>3733</v>
      </c>
      <c r="F1856" s="3" t="s">
        <v>3741</v>
      </c>
      <c r="G1856" s="3" t="s">
        <v>17</v>
      </c>
      <c r="H1856" s="3">
        <v>1</v>
      </c>
      <c r="I1856" s="3">
        <v>1</v>
      </c>
      <c r="J1856" s="3" t="s">
        <v>18</v>
      </c>
      <c r="K1856" s="5">
        <v>0.06</v>
      </c>
      <c r="L1856" s="6">
        <v>4640020777832</v>
      </c>
      <c r="M1856" s="7" t="s">
        <v>3737</v>
      </c>
      <c r="N1856" s="8">
        <f>VLOOKUP(B1856,'[1]новый без картинок'!$A$5:$F$2672,6,0)</f>
        <v>130</v>
      </c>
    </row>
    <row r="1857" spans="1:14" ht="151.15" customHeight="1" x14ac:dyDescent="0.2">
      <c r="A1857" s="3">
        <v>1855</v>
      </c>
      <c r="B1857" s="3">
        <v>981934</v>
      </c>
      <c r="C1857" s="4" t="str">
        <f>HYPERLINK("http://optservis.net:5080/photo?tov_code_internet=981934","Увеличить")</f>
        <v>Увеличить</v>
      </c>
      <c r="D1857" s="3" t="s">
        <v>3732</v>
      </c>
      <c r="E1857" s="3" t="s">
        <v>3733</v>
      </c>
      <c r="F1857" s="3" t="s">
        <v>3742</v>
      </c>
      <c r="G1857" s="3" t="s">
        <v>17</v>
      </c>
      <c r="H1857" s="3">
        <v>1</v>
      </c>
      <c r="I1857" s="3">
        <v>1</v>
      </c>
      <c r="J1857" s="3" t="s">
        <v>18</v>
      </c>
      <c r="K1857" s="5">
        <v>0.06</v>
      </c>
      <c r="L1857" s="6">
        <v>4640020777849</v>
      </c>
      <c r="M1857" s="7" t="s">
        <v>3743</v>
      </c>
      <c r="N1857" s="8">
        <f>VLOOKUP(B1857,'[1]новый без картинок'!$A$5:$F$2672,6,0)</f>
        <v>235</v>
      </c>
    </row>
    <row r="1858" spans="1:14" ht="151.15" customHeight="1" x14ac:dyDescent="0.2">
      <c r="A1858" s="3">
        <v>1856</v>
      </c>
      <c r="B1858" s="3">
        <v>981935</v>
      </c>
      <c r="C1858" s="4" t="str">
        <f>HYPERLINK("http://optservis.net:5080/photo?tov_code_internet=981935","Увеличить")</f>
        <v>Увеличить</v>
      </c>
      <c r="D1858" s="3" t="s">
        <v>3732</v>
      </c>
      <c r="E1858" s="3" t="s">
        <v>3733</v>
      </c>
      <c r="F1858" s="3" t="s">
        <v>165</v>
      </c>
      <c r="G1858" s="3" t="s">
        <v>17</v>
      </c>
      <c r="H1858" s="3">
        <v>1</v>
      </c>
      <c r="I1858" s="3">
        <v>1</v>
      </c>
      <c r="J1858" s="3" t="s">
        <v>18</v>
      </c>
      <c r="K1858" s="5">
        <v>0.06</v>
      </c>
      <c r="L1858" s="6">
        <v>4640020777856</v>
      </c>
      <c r="M1858" s="7" t="s">
        <v>3731</v>
      </c>
      <c r="N1858" s="8">
        <f>VLOOKUP(B1858,'[1]новый без картинок'!$A$5:$F$2672,6,0)</f>
        <v>108</v>
      </c>
    </row>
    <row r="1859" spans="1:14" ht="151.15" customHeight="1" x14ac:dyDescent="0.2">
      <c r="A1859" s="3">
        <v>1857</v>
      </c>
      <c r="B1859" s="3">
        <v>883690</v>
      </c>
      <c r="C1859" s="4" t="str">
        <f>HYPERLINK("http://optservis.net:5080/photo?tov_code_internet=883690","Увеличить")</f>
        <v>Увеличить</v>
      </c>
      <c r="D1859" s="3" t="s">
        <v>3744</v>
      </c>
      <c r="E1859" s="3" t="s">
        <v>3745</v>
      </c>
      <c r="F1859" s="3" t="s">
        <v>3746</v>
      </c>
      <c r="G1859" s="3" t="s">
        <v>31</v>
      </c>
      <c r="H1859" s="3">
        <v>1</v>
      </c>
      <c r="I1859" s="3">
        <v>1</v>
      </c>
      <c r="J1859" s="3" t="s">
        <v>18</v>
      </c>
      <c r="K1859" s="5">
        <v>0.05</v>
      </c>
      <c r="L1859" s="6">
        <v>4690654999421</v>
      </c>
      <c r="M1859" s="7" t="s">
        <v>3747</v>
      </c>
      <c r="N1859" s="8">
        <f>VLOOKUP(B1859,'[1]новый без картинок'!$A$5:$F$2672,6,0)</f>
        <v>317</v>
      </c>
    </row>
    <row r="1860" spans="1:14" ht="151.15" customHeight="1" x14ac:dyDescent="0.2">
      <c r="A1860" s="3">
        <v>1858</v>
      </c>
      <c r="B1860" s="3">
        <v>926442</v>
      </c>
      <c r="C1860" s="4" t="str">
        <f>HYPERLINK("http://optservis.net:5080/photo?tov_code_internet=926442","Увеличить")</f>
        <v>Увеличить</v>
      </c>
      <c r="D1860" s="3" t="s">
        <v>3744</v>
      </c>
      <c r="E1860" s="3" t="s">
        <v>3745</v>
      </c>
      <c r="F1860" s="3" t="s">
        <v>3748</v>
      </c>
      <c r="G1860" s="3" t="s">
        <v>31</v>
      </c>
      <c r="H1860" s="3">
        <v>1</v>
      </c>
      <c r="I1860" s="3">
        <v>1</v>
      </c>
      <c r="J1860" s="3" t="s">
        <v>18</v>
      </c>
      <c r="K1860" s="5">
        <v>0.05</v>
      </c>
      <c r="L1860" s="6">
        <v>4640020776453</v>
      </c>
      <c r="M1860" s="7" t="s">
        <v>3749</v>
      </c>
      <c r="N1860" s="8">
        <f>VLOOKUP(B1860,'[1]новый без картинок'!$A$5:$F$2672,6,0)</f>
        <v>325</v>
      </c>
    </row>
    <row r="1861" spans="1:14" ht="151.15" customHeight="1" x14ac:dyDescent="0.2">
      <c r="A1861" s="3">
        <v>1859</v>
      </c>
      <c r="B1861" s="3">
        <v>964680</v>
      </c>
      <c r="C1861" s="4" t="str">
        <f>HYPERLINK("http://optservis.net:5080/photo?tov_code_internet=964680","Увеличить")</f>
        <v>Увеличить</v>
      </c>
      <c r="D1861" s="3" t="s">
        <v>3744</v>
      </c>
      <c r="E1861" s="3" t="s">
        <v>3745</v>
      </c>
      <c r="F1861" s="3" t="s">
        <v>3750</v>
      </c>
      <c r="G1861" s="3" t="s">
        <v>31</v>
      </c>
      <c r="H1861" s="3">
        <v>1</v>
      </c>
      <c r="I1861" s="3">
        <v>1</v>
      </c>
      <c r="J1861" s="3" t="s">
        <v>18</v>
      </c>
      <c r="K1861" s="5">
        <v>0.05</v>
      </c>
      <c r="L1861" s="6">
        <v>4640020774022</v>
      </c>
      <c r="M1861" s="7" t="s">
        <v>3751</v>
      </c>
      <c r="N1861" s="8">
        <f>VLOOKUP(B1861,'[1]новый без картинок'!$A$5:$F$2672,6,0)</f>
        <v>308</v>
      </c>
    </row>
    <row r="1862" spans="1:14" ht="151.15" customHeight="1" x14ac:dyDescent="0.2">
      <c r="A1862" s="3">
        <v>1860</v>
      </c>
      <c r="B1862" s="3">
        <v>876204</v>
      </c>
      <c r="C1862" s="4" t="str">
        <f>HYPERLINK("http://optservis.net:5080/photo?tov_code_internet=876204","Увеличить")</f>
        <v>Увеличить</v>
      </c>
      <c r="D1862" s="3" t="s">
        <v>3744</v>
      </c>
      <c r="E1862" s="3" t="s">
        <v>3745</v>
      </c>
      <c r="F1862" s="3" t="s">
        <v>3752</v>
      </c>
      <c r="G1862" s="3" t="s">
        <v>31</v>
      </c>
      <c r="H1862" s="3">
        <v>1</v>
      </c>
      <c r="I1862" s="3">
        <v>1</v>
      </c>
      <c r="J1862" s="3" t="s">
        <v>18</v>
      </c>
      <c r="K1862" s="5">
        <v>0.05</v>
      </c>
      <c r="L1862" s="6">
        <v>4690654999117</v>
      </c>
      <c r="M1862" s="7" t="s">
        <v>3747</v>
      </c>
      <c r="N1862" s="8">
        <f>VLOOKUP(B1862,'[1]новый без картинок'!$A$5:$F$2672,6,0)</f>
        <v>319</v>
      </c>
    </row>
    <row r="1863" spans="1:14" ht="151.15" customHeight="1" x14ac:dyDescent="0.2">
      <c r="A1863" s="3">
        <v>1861</v>
      </c>
      <c r="B1863" s="3">
        <v>870502</v>
      </c>
      <c r="C1863" s="4" t="str">
        <f>HYPERLINK("http://optservis.net:5080/photo?tov_code_internet=870502","Увеличить")</f>
        <v>Увеличить</v>
      </c>
      <c r="D1863" s="3" t="s">
        <v>3744</v>
      </c>
      <c r="E1863" s="3" t="s">
        <v>3745</v>
      </c>
      <c r="F1863" s="3" t="s">
        <v>3753</v>
      </c>
      <c r="G1863" s="3" t="s">
        <v>31</v>
      </c>
      <c r="H1863" s="3">
        <v>1</v>
      </c>
      <c r="I1863" s="3">
        <v>1</v>
      </c>
      <c r="J1863" s="3" t="s">
        <v>18</v>
      </c>
      <c r="K1863" s="5">
        <v>0.06</v>
      </c>
      <c r="L1863" s="6">
        <v>4690654998004</v>
      </c>
      <c r="M1863" s="7" t="s">
        <v>3754</v>
      </c>
      <c r="N1863" s="8">
        <f>VLOOKUP(B1863,'[1]новый без картинок'!$A$5:$F$2672,6,0)</f>
        <v>317</v>
      </c>
    </row>
    <row r="1864" spans="1:14" ht="138.6" customHeight="1" x14ac:dyDescent="0.2">
      <c r="A1864" s="3">
        <v>1862</v>
      </c>
      <c r="B1864" s="3">
        <v>876206</v>
      </c>
      <c r="C1864" s="4" t="str">
        <f>HYPERLINK("http://optservis.net:5080/photo?tov_code_internet=876206","Увеличить")</f>
        <v>Увеличить</v>
      </c>
      <c r="D1864" s="3" t="s">
        <v>3755</v>
      </c>
      <c r="E1864" s="3" t="s">
        <v>3756</v>
      </c>
      <c r="F1864" s="3" t="s">
        <v>3757</v>
      </c>
      <c r="G1864" s="3" t="s">
        <v>31</v>
      </c>
      <c r="H1864" s="3">
        <v>1</v>
      </c>
      <c r="I1864" s="3">
        <v>1</v>
      </c>
      <c r="J1864" s="3" t="s">
        <v>18</v>
      </c>
      <c r="K1864" s="5">
        <v>0.08</v>
      </c>
      <c r="L1864" s="6">
        <v>4690654999124</v>
      </c>
      <c r="M1864" s="7" t="s">
        <v>3758</v>
      </c>
      <c r="N1864" s="8">
        <f>VLOOKUP(B1864,'[1]новый без картинок'!$A$5:$F$2672,6,0)</f>
        <v>358</v>
      </c>
    </row>
    <row r="1865" spans="1:14" ht="138.6" customHeight="1" x14ac:dyDescent="0.2">
      <c r="A1865" s="3">
        <v>1863</v>
      </c>
      <c r="B1865" s="3">
        <v>964679</v>
      </c>
      <c r="C1865" s="4" t="str">
        <f>HYPERLINK("http://optservis.net:5080/photo?tov_code_internet=964679","Увеличить")</f>
        <v>Увеличить</v>
      </c>
      <c r="D1865" s="3" t="s">
        <v>3755</v>
      </c>
      <c r="E1865" s="3" t="s">
        <v>3756</v>
      </c>
      <c r="F1865" s="3" t="s">
        <v>3759</v>
      </c>
      <c r="G1865" s="3" t="s">
        <v>31</v>
      </c>
      <c r="H1865" s="3">
        <v>1</v>
      </c>
      <c r="I1865" s="3">
        <v>1</v>
      </c>
      <c r="J1865" s="3" t="s">
        <v>18</v>
      </c>
      <c r="K1865" s="5">
        <v>0.08</v>
      </c>
      <c r="L1865" s="6">
        <v>4640020772844</v>
      </c>
      <c r="M1865" s="7" t="s">
        <v>3760</v>
      </c>
      <c r="N1865" s="8">
        <f>VLOOKUP(B1865,'[1]новый без картинок'!$A$5:$F$2672,6,0)</f>
        <v>293</v>
      </c>
    </row>
    <row r="1866" spans="1:14" ht="138.6" customHeight="1" x14ac:dyDescent="0.2">
      <c r="A1866" s="3">
        <v>1864</v>
      </c>
      <c r="B1866" s="3">
        <v>985270</v>
      </c>
      <c r="C1866" s="4" t="str">
        <f>HYPERLINK("http://optservis.net:5080/photo?tov_code_internet=985270","Увеличить")</f>
        <v>Увеличить</v>
      </c>
      <c r="D1866" s="3" t="s">
        <v>3755</v>
      </c>
      <c r="E1866" s="3" t="s">
        <v>3756</v>
      </c>
      <c r="F1866" s="3" t="s">
        <v>34</v>
      </c>
      <c r="G1866" s="3" t="s">
        <v>31</v>
      </c>
      <c r="H1866" s="3">
        <v>1</v>
      </c>
      <c r="I1866" s="3">
        <v>1</v>
      </c>
      <c r="J1866" s="3" t="s">
        <v>18</v>
      </c>
      <c r="K1866" s="5">
        <v>7.0000000000000007E-2</v>
      </c>
      <c r="L1866" s="6">
        <v>4640020778419</v>
      </c>
      <c r="M1866" s="7" t="s">
        <v>3761</v>
      </c>
      <c r="N1866" s="8">
        <f>VLOOKUP(B1866,'[1]новый без картинок'!$A$5:$F$2672,6,0)</f>
        <v>347</v>
      </c>
    </row>
    <row r="1867" spans="1:14" ht="138.6" customHeight="1" x14ac:dyDescent="0.2">
      <c r="A1867" s="3">
        <v>1865</v>
      </c>
      <c r="B1867" s="3">
        <v>870504</v>
      </c>
      <c r="C1867" s="4" t="str">
        <f>HYPERLINK("http://optservis.net:5080/photo?tov_code_internet=870504","Увеличить")</f>
        <v>Увеличить</v>
      </c>
      <c r="D1867" s="3" t="s">
        <v>3755</v>
      </c>
      <c r="E1867" s="3" t="s">
        <v>3756</v>
      </c>
      <c r="F1867" s="3" t="s">
        <v>3752</v>
      </c>
      <c r="G1867" s="3" t="s">
        <v>31</v>
      </c>
      <c r="H1867" s="3">
        <v>1</v>
      </c>
      <c r="I1867" s="3">
        <v>1</v>
      </c>
      <c r="J1867" s="3" t="s">
        <v>18</v>
      </c>
      <c r="K1867" s="5">
        <v>7.0000000000000007E-2</v>
      </c>
      <c r="L1867" s="6">
        <v>4690654998011</v>
      </c>
      <c r="M1867" s="7" t="s">
        <v>3762</v>
      </c>
      <c r="N1867" s="8">
        <f>VLOOKUP(B1867,'[1]новый без картинок'!$A$5:$F$2672,6,0)</f>
        <v>354</v>
      </c>
    </row>
    <row r="1868" spans="1:14" ht="138.6" customHeight="1" x14ac:dyDescent="0.2">
      <c r="A1868" s="3">
        <v>1866</v>
      </c>
      <c r="B1868" s="3">
        <v>894754</v>
      </c>
      <c r="C1868" s="4" t="str">
        <f>HYPERLINK("http://optservis.net:5080/photo?tov_code_internet=894754","Увеличить")</f>
        <v>Увеличить</v>
      </c>
      <c r="D1868" s="3" t="s">
        <v>3755</v>
      </c>
      <c r="E1868" s="3" t="s">
        <v>3756</v>
      </c>
      <c r="F1868" s="3" t="s">
        <v>3763</v>
      </c>
      <c r="G1868" s="3" t="s">
        <v>31</v>
      </c>
      <c r="H1868" s="3">
        <v>1</v>
      </c>
      <c r="I1868" s="3">
        <v>1</v>
      </c>
      <c r="J1868" s="3" t="s">
        <v>18</v>
      </c>
      <c r="K1868" s="5">
        <v>7.0000000000000007E-2</v>
      </c>
      <c r="L1868" s="6">
        <v>4690654999896</v>
      </c>
      <c r="M1868" s="7" t="s">
        <v>3762</v>
      </c>
      <c r="N1868" s="8">
        <f>VLOOKUP(B1868,'[1]новый без картинок'!$A$5:$F$2672,6,0)</f>
        <v>352</v>
      </c>
    </row>
    <row r="1869" spans="1:14" ht="151.15" customHeight="1" x14ac:dyDescent="0.2">
      <c r="A1869" s="3">
        <v>1867</v>
      </c>
      <c r="B1869" s="3">
        <v>924084</v>
      </c>
      <c r="C1869" s="4" t="str">
        <f>HYPERLINK("http://optservis.net:5080/photo?tov_code_internet=924084","Увеличить")</f>
        <v>Увеличить</v>
      </c>
      <c r="D1869" s="3" t="s">
        <v>3764</v>
      </c>
      <c r="E1869" s="3" t="s">
        <v>3765</v>
      </c>
      <c r="F1869" s="3" t="s">
        <v>71</v>
      </c>
      <c r="G1869" s="3" t="s">
        <v>17</v>
      </c>
      <c r="H1869" s="3">
        <v>1</v>
      </c>
      <c r="I1869" s="3">
        <v>1</v>
      </c>
      <c r="J1869" s="3" t="s">
        <v>18</v>
      </c>
      <c r="K1869" s="5">
        <v>0.05</v>
      </c>
      <c r="L1869" s="6">
        <v>4640020772820</v>
      </c>
      <c r="M1869" s="7" t="s">
        <v>3766</v>
      </c>
      <c r="N1869" s="8">
        <f>VLOOKUP(B1869,'[1]новый без картинок'!$A$5:$F$2672,6,0)</f>
        <v>348</v>
      </c>
    </row>
    <row r="1870" spans="1:14" ht="151.15" customHeight="1" x14ac:dyDescent="0.2">
      <c r="A1870" s="3">
        <v>1868</v>
      </c>
      <c r="B1870" s="3">
        <v>924088</v>
      </c>
      <c r="C1870" s="4" t="str">
        <f>HYPERLINK("http://optservis.net:5080/photo?tov_code_internet=924088","Увеличить")</f>
        <v>Увеличить</v>
      </c>
      <c r="D1870" s="3" t="s">
        <v>3767</v>
      </c>
      <c r="E1870" s="3" t="s">
        <v>3768</v>
      </c>
      <c r="F1870" s="3" t="s">
        <v>71</v>
      </c>
      <c r="G1870" s="3" t="s">
        <v>17</v>
      </c>
      <c r="H1870" s="3">
        <v>1</v>
      </c>
      <c r="I1870" s="3">
        <v>1</v>
      </c>
      <c r="J1870" s="3" t="s">
        <v>18</v>
      </c>
      <c r="K1870" s="5">
        <v>7.0000000000000007E-2</v>
      </c>
      <c r="L1870" s="6">
        <v>4640020772837</v>
      </c>
      <c r="M1870" s="7" t="s">
        <v>3769</v>
      </c>
      <c r="N1870" s="8">
        <f>VLOOKUP(B1870,'[1]новый без картинок'!$A$5:$F$2672,6,0)</f>
        <v>286</v>
      </c>
    </row>
    <row r="1871" spans="1:14" ht="157.5" customHeight="1" x14ac:dyDescent="0.2">
      <c r="A1871" s="3">
        <v>1869</v>
      </c>
      <c r="B1871" s="3">
        <v>186498</v>
      </c>
      <c r="C1871" s="4" t="str">
        <f>HYPERLINK("http://optservis.net:5080/photo?tov_code_internet=186498","Увеличить")</f>
        <v>Увеличить</v>
      </c>
      <c r="D1871" s="3" t="s">
        <v>3770</v>
      </c>
      <c r="E1871" s="3" t="s">
        <v>3771</v>
      </c>
      <c r="F1871" s="3" t="s">
        <v>3686</v>
      </c>
      <c r="G1871" s="3" t="s">
        <v>788</v>
      </c>
      <c r="H1871" s="3">
        <v>1</v>
      </c>
      <c r="I1871" s="3">
        <v>1</v>
      </c>
      <c r="J1871" s="3" t="s">
        <v>18</v>
      </c>
      <c r="K1871" s="5">
        <v>0</v>
      </c>
      <c r="L1871" s="6">
        <v>0</v>
      </c>
      <c r="M1871" s="7" t="s">
        <v>3772</v>
      </c>
      <c r="N1871" s="8">
        <f>VLOOKUP(B1871,'[1]новый без картинок'!$A$5:$F$2672,6,0)</f>
        <v>29</v>
      </c>
    </row>
    <row r="1872" spans="1:14" ht="157.5" customHeight="1" x14ac:dyDescent="0.2">
      <c r="A1872" s="3">
        <v>1870</v>
      </c>
      <c r="B1872" s="3">
        <v>180144</v>
      </c>
      <c r="C1872" s="4" t="str">
        <f>HYPERLINK("http://optservis.net:5080/photo?tov_code_internet=180144","Увеличить")</f>
        <v>Увеличить</v>
      </c>
      <c r="D1872" s="3" t="s">
        <v>3770</v>
      </c>
      <c r="E1872" s="3" t="s">
        <v>3771</v>
      </c>
      <c r="F1872" s="3" t="s">
        <v>1155</v>
      </c>
      <c r="G1872" s="3" t="s">
        <v>788</v>
      </c>
      <c r="H1872" s="3">
        <v>1</v>
      </c>
      <c r="I1872" s="3">
        <v>1</v>
      </c>
      <c r="J1872" s="3" t="s">
        <v>18</v>
      </c>
      <c r="K1872" s="5">
        <v>0.01</v>
      </c>
      <c r="L1872" s="6">
        <v>4690654011239</v>
      </c>
      <c r="M1872" s="7" t="s">
        <v>3772</v>
      </c>
      <c r="N1872" s="8">
        <f>VLOOKUP(B1872,'[1]новый без картинок'!$A$5:$F$2672,6,0)</f>
        <v>29</v>
      </c>
    </row>
    <row r="1873" spans="1:14" ht="157.5" customHeight="1" x14ac:dyDescent="0.2">
      <c r="A1873" s="3">
        <v>1871</v>
      </c>
      <c r="B1873" s="3">
        <v>180143</v>
      </c>
      <c r="C1873" s="4" t="str">
        <f>HYPERLINK("http://optservis.net:5080/photo?tov_code_internet=180143","Увеличить")</f>
        <v>Увеличить</v>
      </c>
      <c r="D1873" s="3" t="s">
        <v>3770</v>
      </c>
      <c r="E1873" s="3" t="s">
        <v>3771</v>
      </c>
      <c r="F1873" s="3" t="s">
        <v>68</v>
      </c>
      <c r="G1873" s="3" t="s">
        <v>788</v>
      </c>
      <c r="H1873" s="3">
        <v>1</v>
      </c>
      <c r="I1873" s="3">
        <v>1</v>
      </c>
      <c r="J1873" s="3" t="s">
        <v>18</v>
      </c>
      <c r="K1873" s="5">
        <v>0.01</v>
      </c>
      <c r="L1873" s="6">
        <v>4690654011246</v>
      </c>
      <c r="M1873" s="7" t="s">
        <v>3772</v>
      </c>
      <c r="N1873" s="8">
        <f>VLOOKUP(B1873,'[1]новый без картинок'!$A$5:$F$2672,6,0)</f>
        <v>29</v>
      </c>
    </row>
    <row r="1874" spans="1:14" ht="157.5" customHeight="1" x14ac:dyDescent="0.2">
      <c r="A1874" s="3">
        <v>1872</v>
      </c>
      <c r="B1874" s="3">
        <v>186502</v>
      </c>
      <c r="C1874" s="4" t="str">
        <f>HYPERLINK("http://optservis.net:5080/photo?tov_code_internet=186502","Увеличить")</f>
        <v>Увеличить</v>
      </c>
      <c r="D1874" s="3" t="s">
        <v>3770</v>
      </c>
      <c r="E1874" s="3" t="s">
        <v>3771</v>
      </c>
      <c r="F1874" s="3" t="s">
        <v>1114</v>
      </c>
      <c r="G1874" s="3" t="s">
        <v>788</v>
      </c>
      <c r="H1874" s="3">
        <v>1</v>
      </c>
      <c r="I1874" s="3">
        <v>1</v>
      </c>
      <c r="J1874" s="3" t="s">
        <v>18</v>
      </c>
      <c r="K1874" s="5">
        <v>0</v>
      </c>
      <c r="L1874" s="6">
        <v>0</v>
      </c>
      <c r="M1874" s="7" t="s">
        <v>3772</v>
      </c>
      <c r="N1874" s="8">
        <f>VLOOKUP(B1874,'[1]новый без картинок'!$A$5:$F$2672,6,0)</f>
        <v>29</v>
      </c>
    </row>
    <row r="1875" spans="1:14" ht="157.5" customHeight="1" x14ac:dyDescent="0.2">
      <c r="A1875" s="3">
        <v>1873</v>
      </c>
      <c r="B1875" s="3">
        <v>180142</v>
      </c>
      <c r="C1875" s="4" t="str">
        <f>HYPERLINK("http://optservis.net:5080/photo?tov_code_internet=180142","Увеличить")</f>
        <v>Увеличить</v>
      </c>
      <c r="D1875" s="3" t="s">
        <v>3770</v>
      </c>
      <c r="E1875" s="3" t="s">
        <v>3771</v>
      </c>
      <c r="F1875" s="3" t="s">
        <v>863</v>
      </c>
      <c r="G1875" s="3" t="s">
        <v>788</v>
      </c>
      <c r="H1875" s="3">
        <v>1</v>
      </c>
      <c r="I1875" s="3">
        <v>1</v>
      </c>
      <c r="J1875" s="3" t="s">
        <v>18</v>
      </c>
      <c r="K1875" s="5">
        <v>0.01</v>
      </c>
      <c r="L1875" s="6">
        <v>4690654011253</v>
      </c>
      <c r="M1875" s="7" t="s">
        <v>3772</v>
      </c>
      <c r="N1875" s="8">
        <f>VLOOKUP(B1875,'[1]новый без картинок'!$A$5:$F$2672,6,0)</f>
        <v>29</v>
      </c>
    </row>
    <row r="1876" spans="1:14" ht="157.5" customHeight="1" x14ac:dyDescent="0.2">
      <c r="A1876" s="3">
        <v>1874</v>
      </c>
      <c r="B1876" s="3">
        <v>186506</v>
      </c>
      <c r="C1876" s="4" t="str">
        <f>HYPERLINK("http://optservis.net:5080/photo?tov_code_internet=186506","Увеличить")</f>
        <v>Увеличить</v>
      </c>
      <c r="D1876" s="3" t="s">
        <v>3770</v>
      </c>
      <c r="E1876" s="3" t="s">
        <v>3771</v>
      </c>
      <c r="F1876" s="3" t="s">
        <v>3689</v>
      </c>
      <c r="G1876" s="3" t="s">
        <v>788</v>
      </c>
      <c r="H1876" s="3">
        <v>1</v>
      </c>
      <c r="I1876" s="3">
        <v>1</v>
      </c>
      <c r="J1876" s="3" t="s">
        <v>18</v>
      </c>
      <c r="K1876" s="5">
        <v>0</v>
      </c>
      <c r="L1876" s="6">
        <v>0</v>
      </c>
      <c r="M1876" s="7" t="s">
        <v>3772</v>
      </c>
      <c r="N1876" s="8">
        <f>VLOOKUP(B1876,'[1]новый без картинок'!$A$5:$F$2672,6,0)</f>
        <v>29</v>
      </c>
    </row>
    <row r="1877" spans="1:14" ht="157.5" customHeight="1" x14ac:dyDescent="0.2">
      <c r="A1877" s="3">
        <v>1875</v>
      </c>
      <c r="B1877" s="3">
        <v>186509</v>
      </c>
      <c r="C1877" s="4" t="str">
        <f>HYPERLINK("http://optservis.net:5080/photo?tov_code_internet=186509","Увеличить")</f>
        <v>Увеличить</v>
      </c>
      <c r="D1877" s="3" t="s">
        <v>3770</v>
      </c>
      <c r="E1877" s="3" t="s">
        <v>3771</v>
      </c>
      <c r="F1877" s="3" t="s">
        <v>844</v>
      </c>
      <c r="G1877" s="3" t="s">
        <v>788</v>
      </c>
      <c r="H1877" s="3">
        <v>1</v>
      </c>
      <c r="I1877" s="3">
        <v>1</v>
      </c>
      <c r="J1877" s="3" t="s">
        <v>18</v>
      </c>
      <c r="K1877" s="5">
        <v>0</v>
      </c>
      <c r="L1877" s="6">
        <v>0</v>
      </c>
      <c r="M1877" s="7" t="s">
        <v>3772</v>
      </c>
      <c r="N1877" s="8">
        <f>VLOOKUP(B1877,'[1]новый без картинок'!$A$5:$F$2672,6,0)</f>
        <v>29</v>
      </c>
    </row>
    <row r="1878" spans="1:14" ht="157.5" customHeight="1" x14ac:dyDescent="0.2">
      <c r="A1878" s="3">
        <v>1876</v>
      </c>
      <c r="B1878" s="3">
        <v>187399</v>
      </c>
      <c r="C1878" s="4" t="str">
        <f>HYPERLINK("http://optservis.net:5080/photo?tov_code_internet=187399","Увеличить")</f>
        <v>Увеличить</v>
      </c>
      <c r="D1878" s="3" t="s">
        <v>3770</v>
      </c>
      <c r="E1878" s="3" t="s">
        <v>3771</v>
      </c>
      <c r="F1878" s="3" t="s">
        <v>1138</v>
      </c>
      <c r="G1878" s="3" t="s">
        <v>788</v>
      </c>
      <c r="H1878" s="3">
        <v>1</v>
      </c>
      <c r="I1878" s="3">
        <v>1</v>
      </c>
      <c r="J1878" s="3" t="s">
        <v>18</v>
      </c>
      <c r="K1878" s="5">
        <v>0.01</v>
      </c>
      <c r="L1878" s="6">
        <v>4690654021139</v>
      </c>
      <c r="M1878" s="7" t="s">
        <v>3772</v>
      </c>
      <c r="N1878" s="8">
        <f>VLOOKUP(B1878,'[1]новый без картинок'!$A$5:$F$2672,6,0)</f>
        <v>29</v>
      </c>
    </row>
    <row r="1879" spans="1:14" ht="157.5" customHeight="1" x14ac:dyDescent="0.2">
      <c r="A1879" s="3">
        <v>1877</v>
      </c>
      <c r="B1879" s="3">
        <v>180135</v>
      </c>
      <c r="C1879" s="4" t="str">
        <f>HYPERLINK("http://optservis.net:5080/photo?tov_code_internet=180135","Увеличить")</f>
        <v>Увеличить</v>
      </c>
      <c r="D1879" s="3" t="s">
        <v>3770</v>
      </c>
      <c r="E1879" s="3" t="s">
        <v>3771</v>
      </c>
      <c r="F1879" s="3" t="s">
        <v>20</v>
      </c>
      <c r="G1879" s="3" t="s">
        <v>788</v>
      </c>
      <c r="H1879" s="3">
        <v>1</v>
      </c>
      <c r="I1879" s="3">
        <v>1</v>
      </c>
      <c r="J1879" s="3" t="s">
        <v>18</v>
      </c>
      <c r="K1879" s="5">
        <v>0.01</v>
      </c>
      <c r="L1879" s="6">
        <v>4690654011260</v>
      </c>
      <c r="M1879" s="7" t="s">
        <v>3772</v>
      </c>
      <c r="N1879" s="8">
        <f>VLOOKUP(B1879,'[1]новый без картинок'!$A$5:$F$2672,6,0)</f>
        <v>29</v>
      </c>
    </row>
    <row r="1880" spans="1:14" ht="151.15" customHeight="1" x14ac:dyDescent="0.2">
      <c r="A1880" s="3">
        <v>1878</v>
      </c>
      <c r="B1880" s="3">
        <v>1180</v>
      </c>
      <c r="C1880" s="4" t="str">
        <f>HYPERLINK("http://optservis.net:5080/photo?tov_code_internet=1180","Увеличить")</f>
        <v>Увеличить</v>
      </c>
      <c r="D1880" s="3" t="s">
        <v>3773</v>
      </c>
      <c r="E1880" s="3" t="s">
        <v>3774</v>
      </c>
      <c r="F1880" s="3" t="s">
        <v>3775</v>
      </c>
      <c r="G1880" s="3" t="s">
        <v>1399</v>
      </c>
      <c r="H1880" s="3">
        <v>1</v>
      </c>
      <c r="I1880" s="3">
        <v>1</v>
      </c>
      <c r="J1880" s="3" t="s">
        <v>18</v>
      </c>
      <c r="K1880" s="5">
        <v>0.01</v>
      </c>
      <c r="L1880" s="6">
        <v>4690654006303</v>
      </c>
      <c r="M1880" s="7" t="s">
        <v>3776</v>
      </c>
      <c r="N1880" s="8">
        <f>VLOOKUP(B1880,'[1]новый без картинок'!$A$5:$F$2672,6,0)</f>
        <v>194</v>
      </c>
    </row>
    <row r="1881" spans="1:14" ht="146.65" customHeight="1" x14ac:dyDescent="0.2">
      <c r="A1881" s="3">
        <v>1879</v>
      </c>
      <c r="B1881" s="3">
        <v>924089</v>
      </c>
      <c r="C1881" s="4" t="str">
        <f>HYPERLINK("http://optservis.net:5080/photo?tov_code_internet=924089","Увеличить")</f>
        <v>Увеличить</v>
      </c>
      <c r="D1881" s="3" t="s">
        <v>3777</v>
      </c>
      <c r="E1881" s="3" t="s">
        <v>3778</v>
      </c>
      <c r="F1881" s="3" t="s">
        <v>71</v>
      </c>
      <c r="G1881" s="3" t="s">
        <v>17</v>
      </c>
      <c r="H1881" s="3">
        <v>1</v>
      </c>
      <c r="I1881" s="3">
        <v>1</v>
      </c>
      <c r="J1881" s="3" t="s">
        <v>18</v>
      </c>
      <c r="K1881" s="5">
        <v>0.01</v>
      </c>
      <c r="L1881" s="6">
        <v>4640020772851</v>
      </c>
      <c r="M1881" s="7" t="s">
        <v>3779</v>
      </c>
      <c r="N1881" s="8">
        <f>VLOOKUP(B1881,'[1]новый без картинок'!$A$5:$F$2672,6,0)</f>
        <v>98</v>
      </c>
    </row>
    <row r="1882" spans="1:14" ht="146.65" customHeight="1" x14ac:dyDescent="0.2">
      <c r="A1882" s="3">
        <v>1880</v>
      </c>
      <c r="B1882" s="3">
        <v>924090</v>
      </c>
      <c r="C1882" s="4" t="str">
        <f>HYPERLINK("http://optservis.net:5080/photo?tov_code_internet=924090","Увеличить")</f>
        <v>Увеличить</v>
      </c>
      <c r="D1882" s="3" t="s">
        <v>3780</v>
      </c>
      <c r="E1882" s="3" t="s">
        <v>3781</v>
      </c>
      <c r="F1882" s="3" t="s">
        <v>71</v>
      </c>
      <c r="G1882" s="3" t="s">
        <v>17</v>
      </c>
      <c r="H1882" s="3">
        <v>1</v>
      </c>
      <c r="I1882" s="3">
        <v>1</v>
      </c>
      <c r="J1882" s="3" t="s">
        <v>18</v>
      </c>
      <c r="K1882" s="5">
        <v>0.03</v>
      </c>
      <c r="L1882" s="6">
        <v>4640020772868</v>
      </c>
      <c r="M1882" s="7" t="s">
        <v>3782</v>
      </c>
      <c r="N1882" s="8">
        <f>VLOOKUP(B1882,'[1]новый без картинок'!$A$5:$F$2672,6,0)</f>
        <v>168</v>
      </c>
    </row>
    <row r="1883" spans="1:14" ht="146.65" customHeight="1" x14ac:dyDescent="0.2">
      <c r="A1883" s="3">
        <v>1881</v>
      </c>
      <c r="B1883" s="3">
        <v>924091</v>
      </c>
      <c r="C1883" s="4" t="str">
        <f>HYPERLINK("http://optservis.net:5080/photo?tov_code_internet=924091","Увеличить")</f>
        <v>Увеличить</v>
      </c>
      <c r="D1883" s="3" t="s">
        <v>3783</v>
      </c>
      <c r="E1883" s="3" t="s">
        <v>3784</v>
      </c>
      <c r="F1883" s="3" t="s">
        <v>71</v>
      </c>
      <c r="G1883" s="3" t="s">
        <v>17</v>
      </c>
      <c r="H1883" s="3">
        <v>1</v>
      </c>
      <c r="I1883" s="3">
        <v>1</v>
      </c>
      <c r="J1883" s="3" t="s">
        <v>18</v>
      </c>
      <c r="K1883" s="5">
        <v>0.02</v>
      </c>
      <c r="L1883" s="6">
        <v>4640020772875</v>
      </c>
      <c r="M1883" s="7" t="s">
        <v>3785</v>
      </c>
      <c r="N1883" s="8">
        <f>VLOOKUP(B1883,'[1]новый без картинок'!$A$5:$F$2672,6,0)</f>
        <v>133</v>
      </c>
    </row>
    <row r="1884" spans="1:14" ht="146.65" customHeight="1" x14ac:dyDescent="0.2">
      <c r="A1884" s="3">
        <v>1882</v>
      </c>
      <c r="B1884" s="3">
        <v>924092</v>
      </c>
      <c r="C1884" s="4" t="str">
        <f>HYPERLINK("http://optservis.net:5080/photo?tov_code_internet=924092","Увеличить")</f>
        <v>Увеличить</v>
      </c>
      <c r="D1884" s="3" t="s">
        <v>3786</v>
      </c>
      <c r="E1884" s="3" t="s">
        <v>3787</v>
      </c>
      <c r="F1884" s="3" t="s">
        <v>71</v>
      </c>
      <c r="G1884" s="3" t="s">
        <v>17</v>
      </c>
      <c r="H1884" s="3">
        <v>1</v>
      </c>
      <c r="I1884" s="3">
        <v>1</v>
      </c>
      <c r="J1884" s="3" t="s">
        <v>18</v>
      </c>
      <c r="K1884" s="5">
        <v>0.05</v>
      </c>
      <c r="L1884" s="6">
        <v>4640020772882</v>
      </c>
      <c r="M1884" s="7" t="s">
        <v>3788</v>
      </c>
      <c r="N1884" s="8">
        <f>VLOOKUP(B1884,'[1]новый без картинок'!$A$5:$F$2672,6,0)</f>
        <v>192</v>
      </c>
    </row>
    <row r="1885" spans="1:14" ht="138.6" customHeight="1" x14ac:dyDescent="0.2">
      <c r="A1885" s="3">
        <v>1883</v>
      </c>
      <c r="B1885" s="3">
        <v>906263</v>
      </c>
      <c r="C1885" s="4" t="str">
        <f>HYPERLINK("http://optservis.net:5080/photo?tov_code_internet=906263","Увеличить")</f>
        <v>Увеличить</v>
      </c>
      <c r="D1885" s="3" t="s">
        <v>3789</v>
      </c>
      <c r="E1885" s="3" t="s">
        <v>3790</v>
      </c>
      <c r="F1885" s="3" t="s">
        <v>3791</v>
      </c>
      <c r="G1885" s="3" t="s">
        <v>788</v>
      </c>
      <c r="H1885" s="3">
        <v>8</v>
      </c>
      <c r="I1885" s="3">
        <v>1</v>
      </c>
      <c r="J1885" s="3" t="s">
        <v>18</v>
      </c>
      <c r="K1885" s="5">
        <v>0.06</v>
      </c>
      <c r="L1885" s="6">
        <v>4640020770444</v>
      </c>
      <c r="M1885" s="7" t="s">
        <v>3792</v>
      </c>
      <c r="N1885" s="8">
        <f>VLOOKUP(B1885,'[1]новый без картинок'!$A$5:$F$2672,6,0)</f>
        <v>29</v>
      </c>
    </row>
    <row r="1886" spans="1:14" ht="138.6" customHeight="1" x14ac:dyDescent="0.2">
      <c r="A1886" s="3">
        <v>1884</v>
      </c>
      <c r="B1886" s="3">
        <v>917981</v>
      </c>
      <c r="C1886" s="4" t="str">
        <f>HYPERLINK("http://optservis.net:5080/photo?tov_code_internet=917981","Увеличить")</f>
        <v>Увеличить</v>
      </c>
      <c r="D1886" s="3" t="s">
        <v>3789</v>
      </c>
      <c r="E1886" s="3" t="s">
        <v>3790</v>
      </c>
      <c r="F1886" s="3" t="s">
        <v>3793</v>
      </c>
      <c r="G1886" s="3" t="s">
        <v>788</v>
      </c>
      <c r="H1886" s="3">
        <v>8</v>
      </c>
      <c r="I1886" s="3">
        <v>1</v>
      </c>
      <c r="J1886" s="3" t="s">
        <v>18</v>
      </c>
      <c r="K1886" s="5">
        <v>7.0000000000000007E-2</v>
      </c>
      <c r="L1886" s="6">
        <v>4640020772028</v>
      </c>
      <c r="M1886" s="7" t="s">
        <v>3794</v>
      </c>
      <c r="N1886" s="8">
        <f>VLOOKUP(B1886,'[1]новый без картинок'!$A$5:$F$2672,6,0)</f>
        <v>29</v>
      </c>
    </row>
    <row r="1887" spans="1:14" ht="138.6" customHeight="1" x14ac:dyDescent="0.2">
      <c r="A1887" s="3">
        <v>1885</v>
      </c>
      <c r="B1887" s="3">
        <v>201299</v>
      </c>
      <c r="C1887" s="4" t="str">
        <f>HYPERLINK("http://optservis.net:5080/photo?tov_code_internet=201299","Увеличить")</f>
        <v>Увеличить</v>
      </c>
      <c r="D1887" s="3" t="s">
        <v>3789</v>
      </c>
      <c r="E1887" s="3" t="s">
        <v>3790</v>
      </c>
      <c r="F1887" s="3" t="s">
        <v>3795</v>
      </c>
      <c r="G1887" s="3" t="s">
        <v>788</v>
      </c>
      <c r="H1887" s="3">
        <v>8</v>
      </c>
      <c r="I1887" s="3">
        <v>1</v>
      </c>
      <c r="J1887" s="3" t="s">
        <v>18</v>
      </c>
      <c r="K1887" s="5">
        <v>0.06</v>
      </c>
      <c r="L1887" s="6">
        <v>4690654015978</v>
      </c>
      <c r="M1887" s="7" t="s">
        <v>3796</v>
      </c>
      <c r="N1887" s="8">
        <f>VLOOKUP(B1887,'[1]новый без картинок'!$A$5:$F$2672,6,0)</f>
        <v>29</v>
      </c>
    </row>
    <row r="1888" spans="1:14" ht="138.6" customHeight="1" x14ac:dyDescent="0.2">
      <c r="A1888" s="3">
        <v>1886</v>
      </c>
      <c r="B1888" s="3">
        <v>922603</v>
      </c>
      <c r="C1888" s="4" t="str">
        <f>HYPERLINK("http://optservis.net:5080/photo?tov_code_internet=922603","Увеличить")</f>
        <v>Увеличить</v>
      </c>
      <c r="D1888" s="3" t="s">
        <v>3789</v>
      </c>
      <c r="E1888" s="3" t="s">
        <v>3790</v>
      </c>
      <c r="F1888" s="3" t="s">
        <v>3797</v>
      </c>
      <c r="G1888" s="3" t="s">
        <v>788</v>
      </c>
      <c r="H1888" s="3">
        <v>8</v>
      </c>
      <c r="I1888" s="3">
        <v>1</v>
      </c>
      <c r="J1888" s="3" t="s">
        <v>18</v>
      </c>
      <c r="K1888" s="5">
        <v>0.06</v>
      </c>
      <c r="L1888" s="6">
        <v>4640020772233</v>
      </c>
      <c r="M1888" s="7" t="s">
        <v>3796</v>
      </c>
      <c r="N1888" s="8">
        <f>VLOOKUP(B1888,'[1]новый без картинок'!$A$5:$F$2672,6,0)</f>
        <v>29</v>
      </c>
    </row>
    <row r="1889" spans="1:14" ht="138.6" customHeight="1" x14ac:dyDescent="0.2">
      <c r="A1889" s="3">
        <v>1887</v>
      </c>
      <c r="B1889" s="3">
        <v>166943</v>
      </c>
      <c r="C1889" s="4" t="str">
        <f>HYPERLINK("http://optservis.net:5080/photo?tov_code_internet=166943","Увеличить")</f>
        <v>Увеличить</v>
      </c>
      <c r="D1889" s="3" t="s">
        <v>3789</v>
      </c>
      <c r="E1889" s="3" t="s">
        <v>3790</v>
      </c>
      <c r="F1889" s="3" t="s">
        <v>3798</v>
      </c>
      <c r="G1889" s="3" t="s">
        <v>788</v>
      </c>
      <c r="H1889" s="3">
        <v>8</v>
      </c>
      <c r="I1889" s="3">
        <v>1</v>
      </c>
      <c r="J1889" s="3" t="s">
        <v>18</v>
      </c>
      <c r="K1889" s="5">
        <v>0</v>
      </c>
      <c r="L1889" s="6">
        <v>0</v>
      </c>
      <c r="M1889" s="7" t="s">
        <v>3796</v>
      </c>
      <c r="N1889" s="8">
        <f>VLOOKUP(B1889,'[1]новый без картинок'!$A$5:$F$2672,6,0)</f>
        <v>29</v>
      </c>
    </row>
    <row r="1890" spans="1:14" ht="138.6" customHeight="1" x14ac:dyDescent="0.2">
      <c r="A1890" s="3">
        <v>1888</v>
      </c>
      <c r="B1890" s="3">
        <v>906262</v>
      </c>
      <c r="C1890" s="4" t="str">
        <f>HYPERLINK("http://optservis.net:5080/photo?tov_code_internet=906262","Увеличить")</f>
        <v>Увеличить</v>
      </c>
      <c r="D1890" s="3" t="s">
        <v>3789</v>
      </c>
      <c r="E1890" s="3" t="s">
        <v>3790</v>
      </c>
      <c r="F1890" s="3" t="s">
        <v>20</v>
      </c>
      <c r="G1890" s="3" t="s">
        <v>788</v>
      </c>
      <c r="H1890" s="3">
        <v>8</v>
      </c>
      <c r="I1890" s="3">
        <v>1</v>
      </c>
      <c r="J1890" s="3" t="s">
        <v>18</v>
      </c>
      <c r="K1890" s="5">
        <v>0.06</v>
      </c>
      <c r="L1890" s="6">
        <v>4640020770451</v>
      </c>
      <c r="M1890" s="7" t="s">
        <v>3799</v>
      </c>
      <c r="N1890" s="8">
        <f>VLOOKUP(B1890,'[1]новый без картинок'!$A$5:$F$2672,6,0)</f>
        <v>29</v>
      </c>
    </row>
    <row r="1891" spans="1:14" ht="138.6" customHeight="1" x14ac:dyDescent="0.2">
      <c r="A1891" s="3">
        <v>1889</v>
      </c>
      <c r="B1891" s="3">
        <v>906264</v>
      </c>
      <c r="C1891" s="4" t="str">
        <f>HYPERLINK("http://optservis.net:5080/photo?tov_code_internet=906264","Увеличить")</f>
        <v>Увеличить</v>
      </c>
      <c r="D1891" s="3" t="s">
        <v>3789</v>
      </c>
      <c r="E1891" s="3" t="s">
        <v>3790</v>
      </c>
      <c r="F1891" s="3" t="s">
        <v>3800</v>
      </c>
      <c r="G1891" s="3" t="s">
        <v>788</v>
      </c>
      <c r="H1891" s="3">
        <v>8</v>
      </c>
      <c r="I1891" s="3">
        <v>1</v>
      </c>
      <c r="J1891" s="3" t="s">
        <v>18</v>
      </c>
      <c r="K1891" s="5">
        <v>0.06</v>
      </c>
      <c r="L1891" s="6">
        <v>4640020770468</v>
      </c>
      <c r="M1891" s="7" t="s">
        <v>3794</v>
      </c>
      <c r="N1891" s="8">
        <f>VLOOKUP(B1891,'[1]новый без картинок'!$A$5:$F$2672,6,0)</f>
        <v>29</v>
      </c>
    </row>
    <row r="1892" spans="1:14" ht="151.15" customHeight="1" x14ac:dyDescent="0.2">
      <c r="A1892" s="3">
        <v>1890</v>
      </c>
      <c r="B1892" s="3">
        <v>953505</v>
      </c>
      <c r="C1892" s="4" t="str">
        <f>HYPERLINK("http://optservis.net:5080/photo?tov_code_internet=953505","Увеличить")</f>
        <v>Увеличить</v>
      </c>
      <c r="D1892" s="3" t="s">
        <v>3801</v>
      </c>
      <c r="E1892" s="3" t="s">
        <v>3802</v>
      </c>
      <c r="F1892" s="3" t="s">
        <v>3803</v>
      </c>
      <c r="G1892" s="3" t="s">
        <v>3804</v>
      </c>
      <c r="H1892" s="3">
        <v>1</v>
      </c>
      <c r="I1892" s="3">
        <v>1</v>
      </c>
      <c r="J1892" s="3" t="s">
        <v>18</v>
      </c>
      <c r="K1892" s="5">
        <v>0.02</v>
      </c>
      <c r="L1892" s="6">
        <v>4640020775579</v>
      </c>
      <c r="M1892" s="7" t="s">
        <v>3805</v>
      </c>
      <c r="N1892" s="8">
        <f>VLOOKUP(B1892,'[1]новый без картинок'!$A$5:$F$2672,6,0)</f>
        <v>369</v>
      </c>
    </row>
    <row r="1893" spans="1:14" ht="151.15" customHeight="1" x14ac:dyDescent="0.2">
      <c r="A1893" s="3">
        <v>1891</v>
      </c>
      <c r="B1893" s="3">
        <v>985620</v>
      </c>
      <c r="C1893" s="4" t="str">
        <f>HYPERLINK("http://optservis.net:5080/photo?tov_code_internet=985620","Увеличить")</f>
        <v>Увеличить</v>
      </c>
      <c r="D1893" s="3" t="s">
        <v>3806</v>
      </c>
      <c r="E1893" s="3" t="s">
        <v>3807</v>
      </c>
      <c r="F1893" s="3" t="s">
        <v>1027</v>
      </c>
      <c r="G1893" s="3" t="s">
        <v>788</v>
      </c>
      <c r="H1893" s="3">
        <v>40</v>
      </c>
      <c r="I1893" s="3">
        <v>1</v>
      </c>
      <c r="J1893" s="3" t="s">
        <v>18</v>
      </c>
      <c r="K1893" s="5">
        <v>0.48</v>
      </c>
      <c r="L1893" s="6">
        <v>4690654020569</v>
      </c>
      <c r="M1893" s="7" t="s">
        <v>3808</v>
      </c>
      <c r="N1893" s="8">
        <f>VLOOKUP(B1893,'[1]новый без картинок'!$A$5:$F$2672,6,0)</f>
        <v>52</v>
      </c>
    </row>
    <row r="1894" spans="1:14" ht="151.15" customHeight="1" x14ac:dyDescent="0.2">
      <c r="A1894" s="3">
        <v>1892</v>
      </c>
      <c r="B1894" s="3">
        <v>973457</v>
      </c>
      <c r="C1894" s="4" t="str">
        <f>HYPERLINK("http://optservis.net:5080/photo?tov_code_internet=973457","Увеличить")</f>
        <v>Увеличить</v>
      </c>
      <c r="D1894" s="3" t="s">
        <v>3806</v>
      </c>
      <c r="E1894" s="3" t="s">
        <v>3807</v>
      </c>
      <c r="F1894" s="3" t="s">
        <v>68</v>
      </c>
      <c r="G1894" s="3" t="s">
        <v>788</v>
      </c>
      <c r="H1894" s="3">
        <v>40</v>
      </c>
      <c r="I1894" s="3">
        <v>1</v>
      </c>
      <c r="J1894" s="3" t="s">
        <v>18</v>
      </c>
      <c r="K1894" s="5">
        <v>0.48</v>
      </c>
      <c r="L1894" s="6">
        <v>4640020777900</v>
      </c>
      <c r="M1894" s="7" t="s">
        <v>3809</v>
      </c>
      <c r="N1894" s="8">
        <f>VLOOKUP(B1894,'[1]новый без картинок'!$A$5:$F$2672,6,0)</f>
        <v>52</v>
      </c>
    </row>
    <row r="1895" spans="1:14" ht="151.15" customHeight="1" x14ac:dyDescent="0.2">
      <c r="A1895" s="3">
        <v>1893</v>
      </c>
      <c r="B1895" s="3">
        <v>985624</v>
      </c>
      <c r="C1895" s="4" t="str">
        <f>HYPERLINK("http://optservis.net:5080/photo?tov_code_internet=985624","Увеличить")</f>
        <v>Увеличить</v>
      </c>
      <c r="D1895" s="3" t="s">
        <v>3806</v>
      </c>
      <c r="E1895" s="3" t="s">
        <v>3807</v>
      </c>
      <c r="F1895" s="3" t="s">
        <v>3793</v>
      </c>
      <c r="G1895" s="3" t="s">
        <v>788</v>
      </c>
      <c r="H1895" s="3">
        <v>40</v>
      </c>
      <c r="I1895" s="3">
        <v>1</v>
      </c>
      <c r="J1895" s="3" t="s">
        <v>18</v>
      </c>
      <c r="K1895" s="5">
        <v>0.48</v>
      </c>
      <c r="L1895" s="6">
        <v>4640020779041</v>
      </c>
      <c r="M1895" s="7" t="s">
        <v>3810</v>
      </c>
      <c r="N1895" s="8">
        <f>VLOOKUP(B1895,'[1]новый без картинок'!$A$5:$F$2672,6,0)</f>
        <v>52</v>
      </c>
    </row>
    <row r="1896" spans="1:14" ht="151.15" customHeight="1" x14ac:dyDescent="0.2">
      <c r="A1896" s="3">
        <v>1894</v>
      </c>
      <c r="B1896" s="3">
        <v>985626</v>
      </c>
      <c r="C1896" s="4" t="str">
        <f>HYPERLINK("http://optservis.net:5080/photo?tov_code_internet=985626","Увеличить")</f>
        <v>Увеличить</v>
      </c>
      <c r="D1896" s="3" t="s">
        <v>3806</v>
      </c>
      <c r="E1896" s="3" t="s">
        <v>3807</v>
      </c>
      <c r="F1896" s="3" t="s">
        <v>3811</v>
      </c>
      <c r="G1896" s="3" t="s">
        <v>788</v>
      </c>
      <c r="H1896" s="3">
        <v>40</v>
      </c>
      <c r="I1896" s="3">
        <v>1</v>
      </c>
      <c r="J1896" s="3" t="s">
        <v>18</v>
      </c>
      <c r="K1896" s="5">
        <v>0.48</v>
      </c>
      <c r="L1896" s="6">
        <v>4640020779058</v>
      </c>
      <c r="M1896" s="7" t="s">
        <v>3809</v>
      </c>
      <c r="N1896" s="8">
        <f>VLOOKUP(B1896,'[1]новый без картинок'!$A$5:$F$2672,6,0)</f>
        <v>52</v>
      </c>
    </row>
    <row r="1897" spans="1:14" ht="151.15" customHeight="1" x14ac:dyDescent="0.2">
      <c r="A1897" s="3">
        <v>1895</v>
      </c>
      <c r="B1897" s="3">
        <v>985639</v>
      </c>
      <c r="C1897" s="4" t="str">
        <f>HYPERLINK("http://optservis.net:5080/photo?tov_code_internet=985639","Увеличить")</f>
        <v>Увеличить</v>
      </c>
      <c r="D1897" s="3" t="s">
        <v>3806</v>
      </c>
      <c r="E1897" s="3" t="s">
        <v>3807</v>
      </c>
      <c r="F1897" s="3" t="s">
        <v>863</v>
      </c>
      <c r="G1897" s="3" t="s">
        <v>788</v>
      </c>
      <c r="H1897" s="3">
        <v>40</v>
      </c>
      <c r="I1897" s="3">
        <v>1</v>
      </c>
      <c r="J1897" s="3" t="s">
        <v>18</v>
      </c>
      <c r="K1897" s="5">
        <v>0.48</v>
      </c>
      <c r="L1897" s="6">
        <v>0</v>
      </c>
      <c r="M1897" s="7" t="s">
        <v>3812</v>
      </c>
      <c r="N1897" s="8">
        <f>VLOOKUP(B1897,'[1]новый без картинок'!$A$5:$F$2672,6,0)</f>
        <v>52</v>
      </c>
    </row>
    <row r="1898" spans="1:14" ht="151.15" customHeight="1" x14ac:dyDescent="0.2">
      <c r="A1898" s="3">
        <v>1896</v>
      </c>
      <c r="B1898" s="3">
        <v>985640</v>
      </c>
      <c r="C1898" s="4" t="str">
        <f>HYPERLINK("http://optservis.net:5080/photo?tov_code_internet=985640","Увеличить")</f>
        <v>Увеличить</v>
      </c>
      <c r="D1898" s="3" t="s">
        <v>3806</v>
      </c>
      <c r="E1898" s="3" t="s">
        <v>3807</v>
      </c>
      <c r="F1898" s="3" t="s">
        <v>3813</v>
      </c>
      <c r="G1898" s="3" t="s">
        <v>788</v>
      </c>
      <c r="H1898" s="3">
        <v>40</v>
      </c>
      <c r="I1898" s="3">
        <v>1</v>
      </c>
      <c r="J1898" s="3" t="s">
        <v>18</v>
      </c>
      <c r="K1898" s="5">
        <v>0.48</v>
      </c>
      <c r="L1898" s="6">
        <v>0</v>
      </c>
      <c r="M1898" s="7" t="s">
        <v>3812</v>
      </c>
      <c r="N1898" s="8">
        <f>VLOOKUP(B1898,'[1]новый без картинок'!$A$5:$F$2672,6,0)</f>
        <v>52</v>
      </c>
    </row>
    <row r="1899" spans="1:14" ht="151.15" customHeight="1" x14ac:dyDescent="0.2">
      <c r="A1899" s="3">
        <v>1897</v>
      </c>
      <c r="B1899" s="3">
        <v>169605</v>
      </c>
      <c r="C1899" s="4" t="str">
        <f>HYPERLINK("http://optservis.net:5080/photo?tov_code_internet=169605","Увеличить")</f>
        <v>Увеличить</v>
      </c>
      <c r="D1899" s="3" t="s">
        <v>3806</v>
      </c>
      <c r="E1899" s="3" t="s">
        <v>3807</v>
      </c>
      <c r="F1899" s="3" t="s">
        <v>3814</v>
      </c>
      <c r="G1899" s="3" t="s">
        <v>788</v>
      </c>
      <c r="H1899" s="3">
        <v>40</v>
      </c>
      <c r="I1899" s="3">
        <v>1</v>
      </c>
      <c r="J1899" s="3" t="s">
        <v>18</v>
      </c>
      <c r="K1899" s="5">
        <v>0.48</v>
      </c>
      <c r="L1899" s="6">
        <v>4690654008567</v>
      </c>
      <c r="M1899" s="7" t="s">
        <v>3809</v>
      </c>
      <c r="N1899" s="8">
        <f>VLOOKUP(B1899,'[1]новый без картинок'!$A$5:$F$2672,6,0)</f>
        <v>52</v>
      </c>
    </row>
    <row r="1900" spans="1:14" ht="151.15" customHeight="1" x14ac:dyDescent="0.2">
      <c r="A1900" s="3">
        <v>1898</v>
      </c>
      <c r="B1900" s="3">
        <v>985641</v>
      </c>
      <c r="C1900" s="4" t="str">
        <f>HYPERLINK("http://optservis.net:5080/photo?tov_code_internet=985641","Увеличить")</f>
        <v>Увеличить</v>
      </c>
      <c r="D1900" s="3" t="s">
        <v>3806</v>
      </c>
      <c r="E1900" s="3" t="s">
        <v>3807</v>
      </c>
      <c r="F1900" s="3" t="s">
        <v>3795</v>
      </c>
      <c r="G1900" s="3" t="s">
        <v>788</v>
      </c>
      <c r="H1900" s="3">
        <v>40</v>
      </c>
      <c r="I1900" s="3">
        <v>1</v>
      </c>
      <c r="J1900" s="3" t="s">
        <v>18</v>
      </c>
      <c r="K1900" s="5">
        <v>0.48</v>
      </c>
      <c r="L1900" s="6">
        <v>4690654000127</v>
      </c>
      <c r="M1900" s="7" t="s">
        <v>3815</v>
      </c>
      <c r="N1900" s="8">
        <f>VLOOKUP(B1900,'[1]новый без картинок'!$A$5:$F$2672,6,0)</f>
        <v>52</v>
      </c>
    </row>
    <row r="1901" spans="1:14" ht="151.15" customHeight="1" x14ac:dyDescent="0.2">
      <c r="A1901" s="3">
        <v>1899</v>
      </c>
      <c r="B1901" s="3">
        <v>173420</v>
      </c>
      <c r="C1901" s="4" t="str">
        <f>HYPERLINK("http://optservis.net:5080/photo?tov_code_internet=173420","Увеличить")</f>
        <v>Увеличить</v>
      </c>
      <c r="D1901" s="3" t="s">
        <v>3806</v>
      </c>
      <c r="E1901" s="3" t="s">
        <v>3807</v>
      </c>
      <c r="F1901" s="3" t="s">
        <v>3816</v>
      </c>
      <c r="G1901" s="3" t="s">
        <v>788</v>
      </c>
      <c r="H1901" s="3">
        <v>40</v>
      </c>
      <c r="I1901" s="3">
        <v>1</v>
      </c>
      <c r="J1901" s="3" t="s">
        <v>18</v>
      </c>
      <c r="K1901" s="5">
        <v>0.48</v>
      </c>
      <c r="L1901" s="6">
        <v>4690654009427</v>
      </c>
      <c r="M1901" s="7" t="s">
        <v>3809</v>
      </c>
      <c r="N1901" s="8">
        <f>VLOOKUP(B1901,'[1]новый без картинок'!$A$5:$F$2672,6,0)</f>
        <v>52</v>
      </c>
    </row>
    <row r="1902" spans="1:14" ht="151.15" customHeight="1" x14ac:dyDescent="0.2">
      <c r="A1902" s="3">
        <v>1900</v>
      </c>
      <c r="B1902" s="3">
        <v>981827</v>
      </c>
      <c r="C1902" s="4" t="str">
        <f>HYPERLINK("http://optservis.net:5080/photo?tov_code_internet=981827","Увеличить")</f>
        <v>Увеличить</v>
      </c>
      <c r="D1902" s="3" t="s">
        <v>3806</v>
      </c>
      <c r="E1902" s="3" t="s">
        <v>3807</v>
      </c>
      <c r="F1902" s="3" t="s">
        <v>20</v>
      </c>
      <c r="G1902" s="3" t="s">
        <v>788</v>
      </c>
      <c r="H1902" s="3">
        <v>40</v>
      </c>
      <c r="I1902" s="3">
        <v>1</v>
      </c>
      <c r="J1902" s="3" t="s">
        <v>18</v>
      </c>
      <c r="K1902" s="5">
        <v>0.48</v>
      </c>
      <c r="L1902" s="6">
        <v>4640020777917</v>
      </c>
      <c r="M1902" s="7" t="s">
        <v>3810</v>
      </c>
      <c r="N1902" s="8">
        <f>VLOOKUP(B1902,'[1]новый без картинок'!$A$5:$F$2672,6,0)</f>
        <v>52</v>
      </c>
    </row>
    <row r="1903" spans="1:14" ht="138.6" customHeight="1" x14ac:dyDescent="0.2">
      <c r="A1903" s="3">
        <v>1901</v>
      </c>
      <c r="B1903" s="3">
        <v>205475</v>
      </c>
      <c r="C1903" s="4" t="str">
        <f>HYPERLINK("http://optservis.net:5080/photo?tov_code_internet=205475","Увеличить")</f>
        <v>Увеличить</v>
      </c>
      <c r="D1903" s="3" t="s">
        <v>3817</v>
      </c>
      <c r="E1903" s="3" t="s">
        <v>3818</v>
      </c>
      <c r="F1903" s="3" t="s">
        <v>3819</v>
      </c>
      <c r="G1903" s="3" t="s">
        <v>3820</v>
      </c>
      <c r="H1903" s="3">
        <v>40</v>
      </c>
      <c r="I1903" s="3">
        <v>1</v>
      </c>
      <c r="J1903" s="3" t="s">
        <v>18</v>
      </c>
      <c r="K1903" s="5">
        <v>0.96</v>
      </c>
      <c r="L1903" s="6">
        <v>4690654011437</v>
      </c>
      <c r="M1903" s="7" t="s">
        <v>3821</v>
      </c>
      <c r="N1903" s="8">
        <f>VLOOKUP(B1903,'[1]новый без картинок'!$A$5:$F$2672,6,0)</f>
        <v>140</v>
      </c>
    </row>
    <row r="1904" spans="1:14" ht="138.6" customHeight="1" x14ac:dyDescent="0.2">
      <c r="A1904" s="3">
        <v>1902</v>
      </c>
      <c r="B1904" s="3">
        <v>178516</v>
      </c>
      <c r="C1904" s="4" t="str">
        <f>HYPERLINK("http://optservis.net:5080/photo?tov_code_internet=178516","Увеличить")</f>
        <v>Увеличить</v>
      </c>
      <c r="D1904" s="3" t="s">
        <v>3817</v>
      </c>
      <c r="E1904" s="3" t="s">
        <v>3818</v>
      </c>
      <c r="F1904" s="3" t="s">
        <v>3822</v>
      </c>
      <c r="G1904" s="3" t="s">
        <v>3823</v>
      </c>
      <c r="H1904" s="3">
        <v>40</v>
      </c>
      <c r="I1904" s="3">
        <v>1</v>
      </c>
      <c r="J1904" s="3" t="s">
        <v>18</v>
      </c>
      <c r="K1904" s="5">
        <v>0.03</v>
      </c>
      <c r="L1904" s="6">
        <v>4690654011444</v>
      </c>
      <c r="M1904" s="7" t="s">
        <v>3824</v>
      </c>
      <c r="N1904" s="8">
        <f>VLOOKUP(B1904,'[1]новый без картинок'!$A$5:$F$2672,6,0)</f>
        <v>152</v>
      </c>
    </row>
    <row r="1905" spans="1:14" ht="138.6" customHeight="1" x14ac:dyDescent="0.2">
      <c r="A1905" s="3">
        <v>1903</v>
      </c>
      <c r="B1905" s="3">
        <v>178511</v>
      </c>
      <c r="C1905" s="4" t="str">
        <f>HYPERLINK("http://optservis.net:5080/photo?tov_code_internet=178511","Увеличить")</f>
        <v>Увеличить</v>
      </c>
      <c r="D1905" s="3" t="s">
        <v>3817</v>
      </c>
      <c r="E1905" s="3" t="s">
        <v>3818</v>
      </c>
      <c r="F1905" s="3" t="s">
        <v>3825</v>
      </c>
      <c r="G1905" s="3" t="s">
        <v>3826</v>
      </c>
      <c r="H1905" s="3">
        <v>40</v>
      </c>
      <c r="I1905" s="3">
        <v>1</v>
      </c>
      <c r="J1905" s="3" t="s">
        <v>18</v>
      </c>
      <c r="K1905" s="5">
        <v>0.03</v>
      </c>
      <c r="L1905" s="6">
        <v>4690654011451</v>
      </c>
      <c r="M1905" s="7" t="s">
        <v>3827</v>
      </c>
      <c r="N1905" s="8">
        <f>VLOOKUP(B1905,'[1]новый без картинок'!$A$5:$F$2672,6,0)</f>
        <v>146</v>
      </c>
    </row>
    <row r="1906" spans="1:14" ht="138.6" customHeight="1" x14ac:dyDescent="0.2">
      <c r="A1906" s="3">
        <v>1904</v>
      </c>
      <c r="B1906" s="3">
        <v>205195</v>
      </c>
      <c r="C1906" s="4" t="str">
        <f>HYPERLINK("http://optservis.net:5080/photo?tov_code_internet=205195","Увеличить")</f>
        <v>Увеличить</v>
      </c>
      <c r="D1906" s="3" t="s">
        <v>3828</v>
      </c>
      <c r="E1906" s="3" t="s">
        <v>3829</v>
      </c>
      <c r="F1906" s="3" t="s">
        <v>3830</v>
      </c>
      <c r="G1906" s="3" t="s">
        <v>3823</v>
      </c>
      <c r="H1906" s="3">
        <v>40</v>
      </c>
      <c r="I1906" s="3">
        <v>1</v>
      </c>
      <c r="J1906" s="3" t="s">
        <v>18</v>
      </c>
      <c r="K1906" s="5">
        <v>0.74</v>
      </c>
      <c r="L1906" s="6">
        <v>4690654017811</v>
      </c>
      <c r="M1906" s="7" t="s">
        <v>3831</v>
      </c>
      <c r="N1906" s="8">
        <f>VLOOKUP(B1906,'[1]новый без картинок'!$A$5:$F$2672,6,0)</f>
        <v>150</v>
      </c>
    </row>
    <row r="1907" spans="1:14" ht="151.15" customHeight="1" x14ac:dyDescent="0.2">
      <c r="A1907" s="3">
        <v>1905</v>
      </c>
      <c r="B1907" s="3">
        <v>148348</v>
      </c>
      <c r="C1907" s="4" t="str">
        <f>HYPERLINK("http://optservis.net:5080/photo?tov_code_internet=148348","Увеличить")</f>
        <v>Увеличить</v>
      </c>
      <c r="D1907" s="3" t="s">
        <v>3832</v>
      </c>
      <c r="E1907" s="3" t="s">
        <v>3833</v>
      </c>
      <c r="F1907" s="3" t="s">
        <v>3834</v>
      </c>
      <c r="G1907" s="3" t="s">
        <v>3823</v>
      </c>
      <c r="H1907" s="3">
        <v>20</v>
      </c>
      <c r="I1907" s="3">
        <v>1</v>
      </c>
      <c r="J1907" s="3" t="s">
        <v>18</v>
      </c>
      <c r="K1907" s="5">
        <v>0.85</v>
      </c>
      <c r="L1907" s="6">
        <v>4690654004569</v>
      </c>
      <c r="M1907" s="7" t="s">
        <v>3835</v>
      </c>
      <c r="N1907" s="8">
        <f>VLOOKUP(B1907,'[1]новый без картинок'!$A$5:$F$2672,6,0)</f>
        <v>96</v>
      </c>
    </row>
    <row r="1908" spans="1:14" ht="151.15" customHeight="1" x14ac:dyDescent="0.2">
      <c r="A1908" s="3">
        <v>1906</v>
      </c>
      <c r="B1908" s="3">
        <v>148164</v>
      </c>
      <c r="C1908" s="4" t="str">
        <f>HYPERLINK("http://optservis.net:5080/photo?tov_code_internet=148164","Увеличить")</f>
        <v>Увеличить</v>
      </c>
      <c r="D1908" s="3" t="s">
        <v>3836</v>
      </c>
      <c r="E1908" s="3" t="s">
        <v>3837</v>
      </c>
      <c r="F1908" s="3" t="s">
        <v>1155</v>
      </c>
      <c r="G1908" s="3" t="s">
        <v>788</v>
      </c>
      <c r="H1908" s="3">
        <v>40</v>
      </c>
      <c r="I1908" s="3">
        <v>1</v>
      </c>
      <c r="J1908" s="3" t="s">
        <v>18</v>
      </c>
      <c r="K1908" s="5">
        <v>0.84</v>
      </c>
      <c r="L1908" s="6">
        <v>4690654005924</v>
      </c>
      <c r="M1908" s="7" t="s">
        <v>3838</v>
      </c>
      <c r="N1908" s="8">
        <f>VLOOKUP(B1908,'[1]новый без картинок'!$A$5:$F$2672,6,0)</f>
        <v>75</v>
      </c>
    </row>
    <row r="1909" spans="1:14" ht="151.15" customHeight="1" x14ac:dyDescent="0.2">
      <c r="A1909" s="3">
        <v>1907</v>
      </c>
      <c r="B1909" s="3">
        <v>148165</v>
      </c>
      <c r="C1909" s="4" t="str">
        <f>HYPERLINK("http://optservis.net:5080/photo?tov_code_internet=148165","Увеличить")</f>
        <v>Увеличить</v>
      </c>
      <c r="D1909" s="3" t="s">
        <v>3836</v>
      </c>
      <c r="E1909" s="3" t="s">
        <v>3837</v>
      </c>
      <c r="F1909" s="3" t="s">
        <v>68</v>
      </c>
      <c r="G1909" s="3" t="s">
        <v>788</v>
      </c>
      <c r="H1909" s="3">
        <v>40</v>
      </c>
      <c r="I1909" s="3">
        <v>1</v>
      </c>
      <c r="J1909" s="3" t="s">
        <v>18</v>
      </c>
      <c r="K1909" s="5">
        <v>0.94</v>
      </c>
      <c r="L1909" s="6">
        <v>4690654004453</v>
      </c>
      <c r="M1909" s="7" t="s">
        <v>3838</v>
      </c>
      <c r="N1909" s="8">
        <f>VLOOKUP(B1909,'[1]новый без картинок'!$A$5:$F$2672,6,0)</f>
        <v>75</v>
      </c>
    </row>
    <row r="1910" spans="1:14" ht="151.15" customHeight="1" x14ac:dyDescent="0.2">
      <c r="A1910" s="3">
        <v>1908</v>
      </c>
      <c r="B1910" s="3">
        <v>148166</v>
      </c>
      <c r="C1910" s="4" t="str">
        <f>HYPERLINK("http://optservis.net:5080/photo?tov_code_internet=148166","Увеличить")</f>
        <v>Увеличить</v>
      </c>
      <c r="D1910" s="3" t="s">
        <v>3836</v>
      </c>
      <c r="E1910" s="3" t="s">
        <v>3837</v>
      </c>
      <c r="F1910" s="3" t="s">
        <v>3839</v>
      </c>
      <c r="G1910" s="3" t="s">
        <v>788</v>
      </c>
      <c r="H1910" s="3">
        <v>40</v>
      </c>
      <c r="I1910" s="3">
        <v>1</v>
      </c>
      <c r="J1910" s="3" t="s">
        <v>18</v>
      </c>
      <c r="K1910" s="5">
        <v>0.94</v>
      </c>
      <c r="L1910" s="6">
        <v>4690654004460</v>
      </c>
      <c r="M1910" s="7" t="s">
        <v>3838</v>
      </c>
      <c r="N1910" s="8">
        <f>VLOOKUP(B1910,'[1]новый без картинок'!$A$5:$F$2672,6,0)</f>
        <v>75</v>
      </c>
    </row>
    <row r="1911" spans="1:14" ht="151.15" customHeight="1" x14ac:dyDescent="0.2">
      <c r="A1911" s="3">
        <v>1909</v>
      </c>
      <c r="B1911" s="3">
        <v>148167</v>
      </c>
      <c r="C1911" s="4" t="str">
        <f>HYPERLINK("http://optservis.net:5080/photo?tov_code_internet=148167","Увеличить")</f>
        <v>Увеличить</v>
      </c>
      <c r="D1911" s="3" t="s">
        <v>3836</v>
      </c>
      <c r="E1911" s="3" t="s">
        <v>3837</v>
      </c>
      <c r="F1911" s="3" t="s">
        <v>3840</v>
      </c>
      <c r="G1911" s="3" t="s">
        <v>788</v>
      </c>
      <c r="H1911" s="3">
        <v>40</v>
      </c>
      <c r="I1911" s="3">
        <v>1</v>
      </c>
      <c r="J1911" s="3" t="s">
        <v>18</v>
      </c>
      <c r="K1911" s="5">
        <v>0.94</v>
      </c>
      <c r="L1911" s="6">
        <v>4690654005931</v>
      </c>
      <c r="M1911" s="7" t="s">
        <v>3838</v>
      </c>
      <c r="N1911" s="8">
        <f>VLOOKUP(B1911,'[1]новый без картинок'!$A$5:$F$2672,6,0)</f>
        <v>75</v>
      </c>
    </row>
    <row r="1912" spans="1:14" ht="151.15" customHeight="1" x14ac:dyDescent="0.2">
      <c r="A1912" s="3">
        <v>1910</v>
      </c>
      <c r="B1912" s="3">
        <v>148168</v>
      </c>
      <c r="C1912" s="4" t="str">
        <f>HYPERLINK("http://optservis.net:5080/photo?tov_code_internet=148168","Увеличить")</f>
        <v>Увеличить</v>
      </c>
      <c r="D1912" s="3" t="s">
        <v>3836</v>
      </c>
      <c r="E1912" s="3" t="s">
        <v>3837</v>
      </c>
      <c r="F1912" s="3" t="s">
        <v>3841</v>
      </c>
      <c r="G1912" s="3" t="s">
        <v>788</v>
      </c>
      <c r="H1912" s="3">
        <v>40</v>
      </c>
      <c r="I1912" s="3">
        <v>1</v>
      </c>
      <c r="J1912" s="3" t="s">
        <v>18</v>
      </c>
      <c r="K1912" s="5">
        <v>0.94</v>
      </c>
      <c r="L1912" s="6">
        <v>4690654004477</v>
      </c>
      <c r="M1912" s="7" t="s">
        <v>3838</v>
      </c>
      <c r="N1912" s="8">
        <f>VLOOKUP(B1912,'[1]новый без картинок'!$A$5:$F$2672,6,0)</f>
        <v>75</v>
      </c>
    </row>
    <row r="1913" spans="1:14" ht="151.15" customHeight="1" x14ac:dyDescent="0.2">
      <c r="A1913" s="3">
        <v>1911</v>
      </c>
      <c r="B1913" s="3">
        <v>148169</v>
      </c>
      <c r="C1913" s="4" t="str">
        <f>HYPERLINK("http://optservis.net:5080/photo?tov_code_internet=148169","Увеличить")</f>
        <v>Увеличить</v>
      </c>
      <c r="D1913" s="3" t="s">
        <v>3836</v>
      </c>
      <c r="E1913" s="3" t="s">
        <v>3837</v>
      </c>
      <c r="F1913" s="3" t="s">
        <v>3842</v>
      </c>
      <c r="G1913" s="3" t="s">
        <v>788</v>
      </c>
      <c r="H1913" s="3">
        <v>40</v>
      </c>
      <c r="I1913" s="3">
        <v>1</v>
      </c>
      <c r="J1913" s="3" t="s">
        <v>18</v>
      </c>
      <c r="K1913" s="5">
        <v>0.83</v>
      </c>
      <c r="L1913" s="6">
        <v>4690654005948</v>
      </c>
      <c r="M1913" s="7" t="s">
        <v>3838</v>
      </c>
      <c r="N1913" s="8">
        <f>VLOOKUP(B1913,'[1]новый без картинок'!$A$5:$F$2672,6,0)</f>
        <v>75</v>
      </c>
    </row>
    <row r="1914" spans="1:14" ht="151.15" customHeight="1" x14ac:dyDescent="0.2">
      <c r="A1914" s="3">
        <v>1912</v>
      </c>
      <c r="B1914" s="3">
        <v>148170</v>
      </c>
      <c r="C1914" s="4" t="str">
        <f>HYPERLINK("http://optservis.net:5080/photo?tov_code_internet=148170","Увеличить")</f>
        <v>Увеличить</v>
      </c>
      <c r="D1914" s="3" t="s">
        <v>3836</v>
      </c>
      <c r="E1914" s="3" t="s">
        <v>3837</v>
      </c>
      <c r="F1914" s="3" t="s">
        <v>1116</v>
      </c>
      <c r="G1914" s="3" t="s">
        <v>788</v>
      </c>
      <c r="H1914" s="3">
        <v>40</v>
      </c>
      <c r="I1914" s="3">
        <v>1</v>
      </c>
      <c r="J1914" s="3" t="s">
        <v>18</v>
      </c>
      <c r="K1914" s="5">
        <v>0.83</v>
      </c>
      <c r="L1914" s="6">
        <v>4690654004484</v>
      </c>
      <c r="M1914" s="7" t="s">
        <v>3838</v>
      </c>
      <c r="N1914" s="8">
        <f>VLOOKUP(B1914,'[1]новый без картинок'!$A$5:$F$2672,6,0)</f>
        <v>75</v>
      </c>
    </row>
    <row r="1915" spans="1:14" ht="151.15" customHeight="1" x14ac:dyDescent="0.2">
      <c r="A1915" s="3">
        <v>1913</v>
      </c>
      <c r="B1915" s="3">
        <v>169604</v>
      </c>
      <c r="C1915" s="4" t="str">
        <f>HYPERLINK("http://optservis.net:5080/photo?tov_code_internet=169604","Увеличить")</f>
        <v>Увеличить</v>
      </c>
      <c r="D1915" s="3" t="s">
        <v>3836</v>
      </c>
      <c r="E1915" s="3" t="s">
        <v>3837</v>
      </c>
      <c r="F1915" s="3" t="s">
        <v>3814</v>
      </c>
      <c r="G1915" s="3" t="s">
        <v>788</v>
      </c>
      <c r="H1915" s="3">
        <v>40</v>
      </c>
      <c r="I1915" s="3">
        <v>1</v>
      </c>
      <c r="J1915" s="3" t="s">
        <v>18</v>
      </c>
      <c r="K1915" s="5">
        <v>0.94</v>
      </c>
      <c r="L1915" s="6">
        <v>4690654008550</v>
      </c>
      <c r="M1915" s="7" t="s">
        <v>3838</v>
      </c>
      <c r="N1915" s="8">
        <f>VLOOKUP(B1915,'[1]новый без картинок'!$A$5:$F$2672,6,0)</f>
        <v>75</v>
      </c>
    </row>
    <row r="1916" spans="1:14" ht="151.15" customHeight="1" x14ac:dyDescent="0.2">
      <c r="A1916" s="3">
        <v>1914</v>
      </c>
      <c r="B1916" s="3">
        <v>148171</v>
      </c>
      <c r="C1916" s="4" t="str">
        <f>HYPERLINK("http://optservis.net:5080/photo?tov_code_internet=148171","Увеличить")</f>
        <v>Увеличить</v>
      </c>
      <c r="D1916" s="3" t="s">
        <v>3836</v>
      </c>
      <c r="E1916" s="3" t="s">
        <v>3837</v>
      </c>
      <c r="F1916" s="3" t="s">
        <v>3843</v>
      </c>
      <c r="G1916" s="3" t="s">
        <v>788</v>
      </c>
      <c r="H1916" s="3">
        <v>40</v>
      </c>
      <c r="I1916" s="3">
        <v>1</v>
      </c>
      <c r="J1916" s="3" t="s">
        <v>18</v>
      </c>
      <c r="K1916" s="5">
        <v>0.94</v>
      </c>
      <c r="L1916" s="6">
        <v>4690654004491</v>
      </c>
      <c r="M1916" s="7" t="s">
        <v>3844</v>
      </c>
      <c r="N1916" s="8">
        <f>VLOOKUP(B1916,'[1]новый без картинок'!$A$5:$F$2672,6,0)</f>
        <v>75</v>
      </c>
    </row>
    <row r="1917" spans="1:14" ht="151.15" customHeight="1" x14ac:dyDescent="0.2">
      <c r="A1917" s="3">
        <v>1915</v>
      </c>
      <c r="B1917" s="3">
        <v>148172</v>
      </c>
      <c r="C1917" s="4" t="str">
        <f>HYPERLINK("http://optservis.net:5080/photo?tov_code_internet=148172","Увеличить")</f>
        <v>Увеличить</v>
      </c>
      <c r="D1917" s="3" t="s">
        <v>3836</v>
      </c>
      <c r="E1917" s="3" t="s">
        <v>3837</v>
      </c>
      <c r="F1917" s="3" t="s">
        <v>1163</v>
      </c>
      <c r="G1917" s="3" t="s">
        <v>788</v>
      </c>
      <c r="H1917" s="3">
        <v>40</v>
      </c>
      <c r="I1917" s="3">
        <v>1</v>
      </c>
      <c r="J1917" s="3" t="s">
        <v>18</v>
      </c>
      <c r="K1917" s="5">
        <v>0.94</v>
      </c>
      <c r="L1917" s="6">
        <v>4690654013172</v>
      </c>
      <c r="M1917" s="7" t="s">
        <v>3838</v>
      </c>
      <c r="N1917" s="8">
        <f>VLOOKUP(B1917,'[1]новый без картинок'!$A$5:$F$2672,6,0)</f>
        <v>77</v>
      </c>
    </row>
    <row r="1918" spans="1:14" ht="151.15" customHeight="1" x14ac:dyDescent="0.2">
      <c r="A1918" s="3">
        <v>1916</v>
      </c>
      <c r="B1918" s="3">
        <v>148173</v>
      </c>
      <c r="C1918" s="4" t="str">
        <f>HYPERLINK("http://optservis.net:5080/photo?tov_code_internet=148173","Увеличить")</f>
        <v>Увеличить</v>
      </c>
      <c r="D1918" s="3" t="s">
        <v>3836</v>
      </c>
      <c r="E1918" s="3" t="s">
        <v>3837</v>
      </c>
      <c r="F1918" s="3" t="s">
        <v>1136</v>
      </c>
      <c r="G1918" s="3" t="s">
        <v>788</v>
      </c>
      <c r="H1918" s="3">
        <v>40</v>
      </c>
      <c r="I1918" s="3">
        <v>1</v>
      </c>
      <c r="J1918" s="3" t="s">
        <v>18</v>
      </c>
      <c r="K1918" s="5">
        <v>0.94</v>
      </c>
      <c r="L1918" s="6">
        <v>4690654014094</v>
      </c>
      <c r="M1918" s="7" t="s">
        <v>3838</v>
      </c>
      <c r="N1918" s="8">
        <f>VLOOKUP(B1918,'[1]новый без картинок'!$A$5:$F$2672,6,0)</f>
        <v>77</v>
      </c>
    </row>
    <row r="1919" spans="1:14" ht="151.15" customHeight="1" x14ac:dyDescent="0.2">
      <c r="A1919" s="3">
        <v>1917</v>
      </c>
      <c r="B1919" s="3">
        <v>165624</v>
      </c>
      <c r="C1919" s="4" t="str">
        <f>HYPERLINK("http://optservis.net:5080/photo?tov_code_internet=165624","Увеличить")</f>
        <v>Увеличить</v>
      </c>
      <c r="D1919" s="3" t="s">
        <v>3836</v>
      </c>
      <c r="E1919" s="3" t="s">
        <v>3837</v>
      </c>
      <c r="F1919" s="3" t="s">
        <v>3845</v>
      </c>
      <c r="G1919" s="3" t="s">
        <v>788</v>
      </c>
      <c r="H1919" s="3">
        <v>40</v>
      </c>
      <c r="I1919" s="3">
        <v>1</v>
      </c>
      <c r="J1919" s="3" t="s">
        <v>18</v>
      </c>
      <c r="K1919" s="5">
        <v>0.94</v>
      </c>
      <c r="L1919" s="6">
        <v>4690654007423</v>
      </c>
      <c r="M1919" s="7" t="s">
        <v>3838</v>
      </c>
      <c r="N1919" s="8">
        <f>VLOOKUP(B1919,'[1]новый без картинок'!$A$5:$F$2672,6,0)</f>
        <v>75</v>
      </c>
    </row>
    <row r="1920" spans="1:14" ht="151.15" customHeight="1" x14ac:dyDescent="0.2">
      <c r="A1920" s="3">
        <v>1918</v>
      </c>
      <c r="B1920" s="3">
        <v>148174</v>
      </c>
      <c r="C1920" s="4" t="str">
        <f>HYPERLINK("http://optservis.net:5080/photo?tov_code_internet=148174","Увеличить")</f>
        <v>Увеличить</v>
      </c>
      <c r="D1920" s="3" t="s">
        <v>3836</v>
      </c>
      <c r="E1920" s="3" t="s">
        <v>3837</v>
      </c>
      <c r="F1920" s="3" t="s">
        <v>20</v>
      </c>
      <c r="G1920" s="3" t="s">
        <v>788</v>
      </c>
      <c r="H1920" s="3">
        <v>40</v>
      </c>
      <c r="I1920" s="3">
        <v>1</v>
      </c>
      <c r="J1920" s="3" t="s">
        <v>18</v>
      </c>
      <c r="K1920" s="5">
        <v>0.83</v>
      </c>
      <c r="L1920" s="6">
        <v>4690654004507</v>
      </c>
      <c r="M1920" s="7" t="s">
        <v>3838</v>
      </c>
      <c r="N1920" s="8">
        <f>VLOOKUP(B1920,'[1]новый без картинок'!$A$5:$F$2672,6,0)</f>
        <v>75</v>
      </c>
    </row>
    <row r="1921" spans="1:14" ht="149.44999999999999" customHeight="1" x14ac:dyDescent="0.2">
      <c r="A1921" s="3">
        <v>1919</v>
      </c>
      <c r="B1921" s="3">
        <v>148331</v>
      </c>
      <c r="C1921" s="4" t="str">
        <f>HYPERLINK("http://optservis.net:5080/photo?tov_code_internet=148331","Увеличить")</f>
        <v>Увеличить</v>
      </c>
      <c r="D1921" s="3" t="s">
        <v>3846</v>
      </c>
      <c r="E1921" s="3" t="s">
        <v>3847</v>
      </c>
      <c r="F1921" s="3" t="s">
        <v>3848</v>
      </c>
      <c r="G1921" s="3" t="s">
        <v>3823</v>
      </c>
      <c r="H1921" s="3">
        <v>20</v>
      </c>
      <c r="I1921" s="3">
        <v>1</v>
      </c>
      <c r="J1921" s="3" t="s">
        <v>18</v>
      </c>
      <c r="K1921" s="5">
        <v>0.85</v>
      </c>
      <c r="L1921" s="6">
        <v>4690654004583</v>
      </c>
      <c r="M1921" s="7" t="s">
        <v>3849</v>
      </c>
      <c r="N1921" s="8">
        <f>VLOOKUP(B1921,'[1]новый без картинок'!$A$5:$F$2672,6,0)</f>
        <v>137</v>
      </c>
    </row>
    <row r="1922" spans="1:14" ht="138.6" customHeight="1" x14ac:dyDescent="0.2">
      <c r="A1922" s="3">
        <v>1920</v>
      </c>
      <c r="B1922" s="3">
        <v>148329</v>
      </c>
      <c r="C1922" s="4" t="str">
        <f>HYPERLINK("http://optservis.net:5080/photo?tov_code_internet=148329","Увеличить")</f>
        <v>Увеличить</v>
      </c>
      <c r="D1922" s="3" t="s">
        <v>3846</v>
      </c>
      <c r="E1922" s="3" t="s">
        <v>3847</v>
      </c>
      <c r="F1922" s="3" t="s">
        <v>3850</v>
      </c>
      <c r="G1922" s="3" t="s">
        <v>3826</v>
      </c>
      <c r="H1922" s="3">
        <v>20</v>
      </c>
      <c r="I1922" s="3">
        <v>1</v>
      </c>
      <c r="J1922" s="3" t="s">
        <v>18</v>
      </c>
      <c r="K1922" s="5">
        <v>0.77</v>
      </c>
      <c r="L1922" s="6">
        <v>4690654004590</v>
      </c>
      <c r="M1922" s="7" t="s">
        <v>3851</v>
      </c>
      <c r="N1922" s="8">
        <f>VLOOKUP(B1922,'[1]новый без картинок'!$A$5:$F$2672,6,0)</f>
        <v>124</v>
      </c>
    </row>
    <row r="1923" spans="1:14" ht="151.15" customHeight="1" x14ac:dyDescent="0.2">
      <c r="A1923" s="3">
        <v>1921</v>
      </c>
      <c r="B1923" s="3">
        <v>148334</v>
      </c>
      <c r="C1923" s="4" t="str">
        <f>HYPERLINK("http://optservis.net:5080/photo?tov_code_internet=148334","Увеличить")</f>
        <v>Увеличить</v>
      </c>
      <c r="D1923" s="3" t="s">
        <v>3852</v>
      </c>
      <c r="E1923" s="3" t="s">
        <v>3853</v>
      </c>
      <c r="F1923" s="3" t="s">
        <v>3854</v>
      </c>
      <c r="G1923" s="3" t="s">
        <v>3823</v>
      </c>
      <c r="H1923" s="3">
        <v>20</v>
      </c>
      <c r="I1923" s="3">
        <v>1</v>
      </c>
      <c r="J1923" s="3" t="s">
        <v>18</v>
      </c>
      <c r="K1923" s="5">
        <v>0.85</v>
      </c>
      <c r="L1923" s="6">
        <v>4690654004606</v>
      </c>
      <c r="M1923" s="7" t="s">
        <v>3855</v>
      </c>
      <c r="N1923" s="8">
        <f>VLOOKUP(B1923,'[1]новый без картинок'!$A$5:$F$2672,6,0)</f>
        <v>137</v>
      </c>
    </row>
    <row r="1924" spans="1:14" ht="151.15" customHeight="1" x14ac:dyDescent="0.2">
      <c r="A1924" s="3">
        <v>1922</v>
      </c>
      <c r="B1924" s="3">
        <v>148338</v>
      </c>
      <c r="C1924" s="4" t="str">
        <f>HYPERLINK("http://optservis.net:5080/photo?tov_code_internet=148338","Увеличить")</f>
        <v>Увеличить</v>
      </c>
      <c r="D1924" s="3" t="s">
        <v>3852</v>
      </c>
      <c r="E1924" s="3" t="s">
        <v>3853</v>
      </c>
      <c r="F1924" s="3" t="s">
        <v>3856</v>
      </c>
      <c r="G1924" s="3" t="s">
        <v>3823</v>
      </c>
      <c r="H1924" s="3">
        <v>20</v>
      </c>
      <c r="I1924" s="3">
        <v>1</v>
      </c>
      <c r="J1924" s="3" t="s">
        <v>18</v>
      </c>
      <c r="K1924" s="5">
        <v>0.77</v>
      </c>
      <c r="L1924" s="6">
        <v>4690654004613</v>
      </c>
      <c r="M1924" s="7" t="s">
        <v>3857</v>
      </c>
      <c r="N1924" s="8">
        <f>VLOOKUP(B1924,'[1]новый без картинок'!$A$5:$F$2672,6,0)</f>
        <v>137</v>
      </c>
    </row>
    <row r="1925" spans="1:14" ht="151.15" customHeight="1" x14ac:dyDescent="0.2">
      <c r="A1925" s="3">
        <v>1923</v>
      </c>
      <c r="B1925" s="3">
        <v>148335</v>
      </c>
      <c r="C1925" s="4" t="str">
        <f>HYPERLINK("http://optservis.net:5080/photo?tov_code_internet=148335","Увеличить")</f>
        <v>Увеличить</v>
      </c>
      <c r="D1925" s="3" t="s">
        <v>3852</v>
      </c>
      <c r="E1925" s="3" t="s">
        <v>3853</v>
      </c>
      <c r="F1925" s="3" t="s">
        <v>3858</v>
      </c>
      <c r="G1925" s="3" t="s">
        <v>3823</v>
      </c>
      <c r="H1925" s="3">
        <v>20</v>
      </c>
      <c r="I1925" s="3">
        <v>1</v>
      </c>
      <c r="J1925" s="3" t="s">
        <v>18</v>
      </c>
      <c r="K1925" s="5">
        <v>0.83</v>
      </c>
      <c r="L1925" s="6">
        <v>4690654004620</v>
      </c>
      <c r="M1925" s="7" t="s">
        <v>3859</v>
      </c>
      <c r="N1925" s="8">
        <f>VLOOKUP(B1925,'[1]новый без картинок'!$A$5:$F$2672,6,0)</f>
        <v>138</v>
      </c>
    </row>
    <row r="1926" spans="1:14" ht="138.6" customHeight="1" x14ac:dyDescent="0.2">
      <c r="A1926" s="3">
        <v>1924</v>
      </c>
      <c r="B1926" s="3">
        <v>148344</v>
      </c>
      <c r="C1926" s="4" t="str">
        <f>HYPERLINK("http://optservis.net:5080/photo?tov_code_internet=148344","Увеличить")</f>
        <v>Увеличить</v>
      </c>
      <c r="D1926" s="3" t="s">
        <v>3860</v>
      </c>
      <c r="E1926" s="3" t="s">
        <v>3861</v>
      </c>
      <c r="F1926" s="3" t="s">
        <v>3862</v>
      </c>
      <c r="G1926" s="3" t="s">
        <v>3823</v>
      </c>
      <c r="H1926" s="3">
        <v>20</v>
      </c>
      <c r="I1926" s="3">
        <v>1</v>
      </c>
      <c r="J1926" s="3" t="s">
        <v>18</v>
      </c>
      <c r="K1926" s="5">
        <v>0.77</v>
      </c>
      <c r="L1926" s="6">
        <v>4690654004637</v>
      </c>
      <c r="M1926" s="7" t="s">
        <v>3855</v>
      </c>
      <c r="N1926" s="8">
        <f>VLOOKUP(B1926,'[1]новый без картинок'!$A$5:$F$2672,6,0)</f>
        <v>143</v>
      </c>
    </row>
    <row r="1927" spans="1:14" ht="138.6" customHeight="1" x14ac:dyDescent="0.2">
      <c r="A1927" s="3">
        <v>1925</v>
      </c>
      <c r="B1927" s="3">
        <v>148343</v>
      </c>
      <c r="C1927" s="4" t="str">
        <f>HYPERLINK("http://optservis.net:5080/photo?tov_code_internet=148343","Увеличить")</f>
        <v>Увеличить</v>
      </c>
      <c r="D1927" s="3" t="s">
        <v>3860</v>
      </c>
      <c r="E1927" s="3" t="s">
        <v>3861</v>
      </c>
      <c r="F1927" s="3" t="s">
        <v>3863</v>
      </c>
      <c r="G1927" s="3" t="s">
        <v>3823</v>
      </c>
      <c r="H1927" s="3">
        <v>20</v>
      </c>
      <c r="I1927" s="3">
        <v>1</v>
      </c>
      <c r="J1927" s="3" t="s">
        <v>18</v>
      </c>
      <c r="K1927" s="5">
        <v>0.77</v>
      </c>
      <c r="L1927" s="6">
        <v>4690654004644</v>
      </c>
      <c r="M1927" s="7" t="s">
        <v>3855</v>
      </c>
      <c r="N1927" s="8">
        <f>VLOOKUP(B1927,'[1]новый без картинок'!$A$5:$F$2672,6,0)</f>
        <v>143</v>
      </c>
    </row>
    <row r="1928" spans="1:14" ht="151.15" customHeight="1" x14ac:dyDescent="0.2">
      <c r="A1928" s="3">
        <v>1926</v>
      </c>
      <c r="B1928" s="3">
        <v>148339</v>
      </c>
      <c r="C1928" s="4" t="str">
        <f>HYPERLINK("http://optservis.net:5080/photo?tov_code_internet=148339","Увеличить")</f>
        <v>Увеличить</v>
      </c>
      <c r="D1928" s="3" t="s">
        <v>3860</v>
      </c>
      <c r="E1928" s="3" t="s">
        <v>3861</v>
      </c>
      <c r="F1928" s="3" t="s">
        <v>3864</v>
      </c>
      <c r="G1928" s="3" t="s">
        <v>3826</v>
      </c>
      <c r="H1928" s="3">
        <v>20</v>
      </c>
      <c r="I1928" s="3">
        <v>1</v>
      </c>
      <c r="J1928" s="3" t="s">
        <v>18</v>
      </c>
      <c r="K1928" s="5">
        <v>0.77</v>
      </c>
      <c r="L1928" s="6">
        <v>4690654004651</v>
      </c>
      <c r="M1928" s="7" t="s">
        <v>3865</v>
      </c>
      <c r="N1928" s="8">
        <f>VLOOKUP(B1928,'[1]новый без картинок'!$A$5:$F$2672,6,0)</f>
        <v>131</v>
      </c>
    </row>
    <row r="1929" spans="1:14" ht="151.15" customHeight="1" x14ac:dyDescent="0.2">
      <c r="A1929" s="3">
        <v>1927</v>
      </c>
      <c r="B1929" s="3">
        <v>163534</v>
      </c>
      <c r="C1929" s="4" t="str">
        <f>HYPERLINK("http://optservis.net:5080/photo?tov_code_internet=163534","Увеличить")</f>
        <v>Увеличить</v>
      </c>
      <c r="D1929" s="3" t="s">
        <v>3866</v>
      </c>
      <c r="E1929" s="3" t="s">
        <v>3867</v>
      </c>
      <c r="F1929" s="3" t="s">
        <v>3868</v>
      </c>
      <c r="G1929" s="3" t="s">
        <v>3823</v>
      </c>
      <c r="H1929" s="3">
        <v>20</v>
      </c>
      <c r="I1929" s="3">
        <v>1</v>
      </c>
      <c r="J1929" s="3" t="s">
        <v>18</v>
      </c>
      <c r="K1929" s="5">
        <v>0.83</v>
      </c>
      <c r="L1929" s="6">
        <v>4690654006990</v>
      </c>
      <c r="M1929" s="7" t="s">
        <v>3869</v>
      </c>
      <c r="N1929" s="8">
        <f>VLOOKUP(B1929,'[1]новый без картинок'!$A$5:$F$2672,6,0)</f>
        <v>143</v>
      </c>
    </row>
    <row r="1930" spans="1:14" ht="151.15" customHeight="1" x14ac:dyDescent="0.2">
      <c r="A1930" s="3">
        <v>1928</v>
      </c>
      <c r="B1930" s="3">
        <v>190266</v>
      </c>
      <c r="C1930" s="4" t="str">
        <f>HYPERLINK("http://optservis.net:5080/photo?tov_code_internet=190266","Увеличить")</f>
        <v>Увеличить</v>
      </c>
      <c r="D1930" s="3" t="s">
        <v>3870</v>
      </c>
      <c r="E1930" s="3" t="s">
        <v>3871</v>
      </c>
      <c r="F1930" s="3" t="s">
        <v>3872</v>
      </c>
      <c r="G1930" s="3" t="s">
        <v>3823</v>
      </c>
      <c r="H1930" s="3">
        <v>20</v>
      </c>
      <c r="I1930" s="3">
        <v>1</v>
      </c>
      <c r="J1930" s="3" t="s">
        <v>18</v>
      </c>
      <c r="K1930" s="5">
        <v>0.83</v>
      </c>
      <c r="L1930" s="6">
        <v>4690654014933</v>
      </c>
      <c r="M1930" s="7" t="s">
        <v>3873</v>
      </c>
      <c r="N1930" s="8">
        <f>VLOOKUP(B1930,'[1]новый без картинок'!$A$5:$F$2672,6,0)</f>
        <v>177</v>
      </c>
    </row>
    <row r="1931" spans="1:14" ht="138.6" customHeight="1" x14ac:dyDescent="0.2">
      <c r="A1931" s="3">
        <v>1929</v>
      </c>
      <c r="B1931" s="3">
        <v>150866</v>
      </c>
      <c r="C1931" s="4" t="str">
        <f>HYPERLINK("http://optservis.net:5080/photo?tov_code_internet=150866","Увеличить")</f>
        <v>Увеличить</v>
      </c>
      <c r="D1931" s="3" t="s">
        <v>3874</v>
      </c>
      <c r="E1931" s="3" t="s">
        <v>3875</v>
      </c>
      <c r="F1931" s="3" t="s">
        <v>3876</v>
      </c>
      <c r="G1931" s="3" t="s">
        <v>3823</v>
      </c>
      <c r="H1931" s="3">
        <v>20</v>
      </c>
      <c r="I1931" s="3">
        <v>1</v>
      </c>
      <c r="J1931" s="3" t="s">
        <v>18</v>
      </c>
      <c r="K1931" s="5">
        <v>0.77</v>
      </c>
      <c r="L1931" s="6">
        <v>4690654010867</v>
      </c>
      <c r="M1931" s="7" t="s">
        <v>3877</v>
      </c>
      <c r="N1931" s="8">
        <f>VLOOKUP(B1931,'[1]новый без картинок'!$A$5:$F$2672,6,0)</f>
        <v>138</v>
      </c>
    </row>
    <row r="1932" spans="1:14" ht="151.15" customHeight="1" x14ac:dyDescent="0.2">
      <c r="A1932" s="3">
        <v>1930</v>
      </c>
      <c r="B1932" s="3">
        <v>147946</v>
      </c>
      <c r="C1932" s="4" t="str">
        <f>HYPERLINK("http://optservis.net:5080/photo?tov_code_internet=147946","Увеличить")</f>
        <v>Увеличить</v>
      </c>
      <c r="D1932" s="3" t="s">
        <v>3878</v>
      </c>
      <c r="E1932" s="3" t="s">
        <v>3879</v>
      </c>
      <c r="F1932" s="3" t="s">
        <v>1027</v>
      </c>
      <c r="G1932" s="3" t="s">
        <v>788</v>
      </c>
      <c r="H1932" s="3">
        <v>20</v>
      </c>
      <c r="I1932" s="3">
        <v>1</v>
      </c>
      <c r="J1932" s="3" t="s">
        <v>18</v>
      </c>
      <c r="K1932" s="5">
        <v>0.72</v>
      </c>
      <c r="L1932" s="6">
        <v>4690654004361</v>
      </c>
      <c r="M1932" s="7" t="s">
        <v>3880</v>
      </c>
      <c r="N1932" s="8">
        <f>VLOOKUP(B1932,'[1]новый без картинок'!$A$5:$F$2672,6,0)</f>
        <v>104</v>
      </c>
    </row>
    <row r="1933" spans="1:14" ht="151.15" customHeight="1" x14ac:dyDescent="0.2">
      <c r="A1933" s="3">
        <v>1931</v>
      </c>
      <c r="B1933" s="3">
        <v>147948</v>
      </c>
      <c r="C1933" s="4" t="str">
        <f>HYPERLINK("http://optservis.net:5080/photo?tov_code_internet=147948","Увеличить")</f>
        <v>Увеличить</v>
      </c>
      <c r="D1933" s="3" t="s">
        <v>3878</v>
      </c>
      <c r="E1933" s="3" t="s">
        <v>3879</v>
      </c>
      <c r="F1933" s="3" t="s">
        <v>68</v>
      </c>
      <c r="G1933" s="3" t="s">
        <v>788</v>
      </c>
      <c r="H1933" s="3">
        <v>20</v>
      </c>
      <c r="I1933" s="3">
        <v>1</v>
      </c>
      <c r="J1933" s="3" t="s">
        <v>18</v>
      </c>
      <c r="K1933" s="5">
        <v>0.84</v>
      </c>
      <c r="L1933" s="6">
        <v>4690654004378</v>
      </c>
      <c r="M1933" s="7" t="s">
        <v>3880</v>
      </c>
      <c r="N1933" s="8">
        <f>VLOOKUP(B1933,'[1]новый без картинок'!$A$5:$F$2672,6,0)</f>
        <v>104</v>
      </c>
    </row>
    <row r="1934" spans="1:14" ht="151.15" customHeight="1" x14ac:dyDescent="0.2">
      <c r="A1934" s="3">
        <v>1932</v>
      </c>
      <c r="B1934" s="3">
        <v>147949</v>
      </c>
      <c r="C1934" s="4" t="str">
        <f>HYPERLINK("http://optservis.net:5080/photo?tov_code_internet=147949","Увеличить")</f>
        <v>Увеличить</v>
      </c>
      <c r="D1934" s="3" t="s">
        <v>3878</v>
      </c>
      <c r="E1934" s="3" t="s">
        <v>3879</v>
      </c>
      <c r="F1934" s="3" t="s">
        <v>3813</v>
      </c>
      <c r="G1934" s="3" t="s">
        <v>788</v>
      </c>
      <c r="H1934" s="3">
        <v>20</v>
      </c>
      <c r="I1934" s="3">
        <v>1</v>
      </c>
      <c r="J1934" s="3" t="s">
        <v>18</v>
      </c>
      <c r="K1934" s="5">
        <v>0.84</v>
      </c>
      <c r="L1934" s="6">
        <v>4690654004385</v>
      </c>
      <c r="M1934" s="7" t="s">
        <v>3880</v>
      </c>
      <c r="N1934" s="8">
        <f>VLOOKUP(B1934,'[1]новый без картинок'!$A$5:$F$2672,6,0)</f>
        <v>104</v>
      </c>
    </row>
    <row r="1935" spans="1:14" ht="151.15" customHeight="1" x14ac:dyDescent="0.2">
      <c r="A1935" s="3">
        <v>1933</v>
      </c>
      <c r="B1935" s="3">
        <v>150148</v>
      </c>
      <c r="C1935" s="4" t="str">
        <f>HYPERLINK("http://optservis.net:5080/photo?tov_code_internet=150148","Увеличить")</f>
        <v>Увеличить</v>
      </c>
      <c r="D1935" s="3" t="s">
        <v>3878</v>
      </c>
      <c r="E1935" s="3" t="s">
        <v>3879</v>
      </c>
      <c r="F1935" s="3" t="s">
        <v>20</v>
      </c>
      <c r="G1935" s="3" t="s">
        <v>788</v>
      </c>
      <c r="H1935" s="3">
        <v>20</v>
      </c>
      <c r="I1935" s="3">
        <v>1</v>
      </c>
      <c r="J1935" s="3" t="s">
        <v>18</v>
      </c>
      <c r="K1935" s="5">
        <v>0.84</v>
      </c>
      <c r="L1935" s="6">
        <v>4690654005504</v>
      </c>
      <c r="M1935" s="7" t="s">
        <v>3880</v>
      </c>
      <c r="N1935" s="8">
        <f>VLOOKUP(B1935,'[1]новый без картинок'!$A$5:$F$2672,6,0)</f>
        <v>105</v>
      </c>
    </row>
    <row r="1936" spans="1:14" ht="151.15" customHeight="1" x14ac:dyDescent="0.2">
      <c r="A1936" s="3">
        <v>1934</v>
      </c>
      <c r="B1936" s="3">
        <v>163876</v>
      </c>
      <c r="C1936" s="4" t="str">
        <f>HYPERLINK("http://optservis.net:5080/photo?tov_code_internet=163876","Увеличить")</f>
        <v>Увеличить</v>
      </c>
      <c r="D1936" s="3" t="s">
        <v>3881</v>
      </c>
      <c r="E1936" s="3" t="s">
        <v>3882</v>
      </c>
      <c r="F1936" s="3" t="s">
        <v>3883</v>
      </c>
      <c r="G1936" s="3" t="s">
        <v>3823</v>
      </c>
      <c r="H1936" s="3">
        <v>20</v>
      </c>
      <c r="I1936" s="3">
        <v>1</v>
      </c>
      <c r="J1936" s="3" t="s">
        <v>18</v>
      </c>
      <c r="K1936" s="5">
        <v>0.8</v>
      </c>
      <c r="L1936" s="6">
        <v>4690654004668</v>
      </c>
      <c r="M1936" s="7" t="s">
        <v>3884</v>
      </c>
      <c r="N1936" s="8">
        <f>VLOOKUP(B1936,'[1]новый без картинок'!$A$5:$F$2672,6,0)</f>
        <v>226</v>
      </c>
    </row>
    <row r="1937" spans="1:14" ht="149.44999999999999" customHeight="1" x14ac:dyDescent="0.2">
      <c r="A1937" s="3">
        <v>1935</v>
      </c>
      <c r="B1937" s="3">
        <v>163879</v>
      </c>
      <c r="C1937" s="4" t="str">
        <f>HYPERLINK("http://optservis.net:5080/photo?tov_code_internet=163879","Увеличить")</f>
        <v>Увеличить</v>
      </c>
      <c r="D1937" s="3" t="s">
        <v>3881</v>
      </c>
      <c r="E1937" s="3" t="s">
        <v>3882</v>
      </c>
      <c r="F1937" s="3" t="s">
        <v>3850</v>
      </c>
      <c r="G1937" s="3" t="s">
        <v>3826</v>
      </c>
      <c r="H1937" s="3">
        <v>20</v>
      </c>
      <c r="I1937" s="3">
        <v>1</v>
      </c>
      <c r="J1937" s="3" t="s">
        <v>18</v>
      </c>
      <c r="K1937" s="5">
        <v>1.38</v>
      </c>
      <c r="L1937" s="6">
        <v>4690654004675</v>
      </c>
      <c r="M1937" s="7" t="s">
        <v>3885</v>
      </c>
      <c r="N1937" s="8">
        <f>VLOOKUP(B1937,'[1]новый без картинок'!$A$5:$F$2672,6,0)</f>
        <v>217</v>
      </c>
    </row>
    <row r="1938" spans="1:14" ht="138.6" customHeight="1" x14ac:dyDescent="0.2">
      <c r="A1938" s="3">
        <v>1936</v>
      </c>
      <c r="B1938" s="3">
        <v>212628</v>
      </c>
      <c r="C1938" s="4" t="str">
        <f>HYPERLINK("http://optservis.net:5080/photo?tov_code_internet=212628","Увеличить")</f>
        <v>Увеличить</v>
      </c>
      <c r="D1938" s="3" t="s">
        <v>3881</v>
      </c>
      <c r="E1938" s="3" t="s">
        <v>3882</v>
      </c>
      <c r="F1938" s="3" t="s">
        <v>3886</v>
      </c>
      <c r="G1938" s="3" t="s">
        <v>3826</v>
      </c>
      <c r="H1938" s="3">
        <v>20</v>
      </c>
      <c r="I1938" s="3">
        <v>1</v>
      </c>
      <c r="J1938" s="3" t="s">
        <v>18</v>
      </c>
      <c r="K1938" s="5">
        <v>0.14000000000000001</v>
      </c>
      <c r="L1938" s="6">
        <v>4690654020590</v>
      </c>
      <c r="M1938" s="7" t="s">
        <v>3885</v>
      </c>
      <c r="N1938" s="8">
        <f>VLOOKUP(B1938,'[1]новый без картинок'!$A$5:$F$2672,6,0)</f>
        <v>202</v>
      </c>
    </row>
    <row r="1939" spans="1:14" ht="151.15" customHeight="1" x14ac:dyDescent="0.2">
      <c r="A1939" s="3">
        <v>1937</v>
      </c>
      <c r="B1939" s="3">
        <v>163880</v>
      </c>
      <c r="C1939" s="4" t="str">
        <f>HYPERLINK("http://optservis.net:5080/photo?tov_code_internet=163880","Увеличить")</f>
        <v>Увеличить</v>
      </c>
      <c r="D1939" s="3" t="s">
        <v>3887</v>
      </c>
      <c r="E1939" s="3" t="s">
        <v>3888</v>
      </c>
      <c r="F1939" s="3" t="s">
        <v>3889</v>
      </c>
      <c r="G1939" s="3" t="s">
        <v>3823</v>
      </c>
      <c r="H1939" s="3">
        <v>20</v>
      </c>
      <c r="I1939" s="3">
        <v>1</v>
      </c>
      <c r="J1939" s="3" t="s">
        <v>18</v>
      </c>
      <c r="K1939" s="5">
        <v>1.32</v>
      </c>
      <c r="L1939" s="6">
        <v>4690654004682</v>
      </c>
      <c r="M1939" s="7" t="s">
        <v>3890</v>
      </c>
      <c r="N1939" s="8">
        <f>VLOOKUP(B1939,'[1]новый без картинок'!$A$5:$F$2672,6,0)</f>
        <v>230</v>
      </c>
    </row>
    <row r="1940" spans="1:14" ht="151.15" customHeight="1" x14ac:dyDescent="0.2">
      <c r="A1940" s="3">
        <v>1938</v>
      </c>
      <c r="B1940" s="3">
        <v>163881</v>
      </c>
      <c r="C1940" s="4" t="str">
        <f>HYPERLINK("http://optservis.net:5080/photo?tov_code_internet=163881","Увеличить")</f>
        <v>Увеличить</v>
      </c>
      <c r="D1940" s="3" t="s">
        <v>3887</v>
      </c>
      <c r="E1940" s="3" t="s">
        <v>3888</v>
      </c>
      <c r="F1940" s="3" t="s">
        <v>3891</v>
      </c>
      <c r="G1940" s="3" t="s">
        <v>3823</v>
      </c>
      <c r="H1940" s="3">
        <v>20</v>
      </c>
      <c r="I1940" s="3">
        <v>1</v>
      </c>
      <c r="J1940" s="3" t="s">
        <v>18</v>
      </c>
      <c r="K1940" s="5">
        <v>1.32</v>
      </c>
      <c r="L1940" s="6">
        <v>4690654004699</v>
      </c>
      <c r="M1940" s="7" t="s">
        <v>3892</v>
      </c>
      <c r="N1940" s="8">
        <f>VLOOKUP(B1940,'[1]новый без картинок'!$A$5:$F$2672,6,0)</f>
        <v>233</v>
      </c>
    </row>
    <row r="1941" spans="1:14" ht="151.15" customHeight="1" x14ac:dyDescent="0.2">
      <c r="A1941" s="3">
        <v>1939</v>
      </c>
      <c r="B1941" s="3">
        <v>163885</v>
      </c>
      <c r="C1941" s="4" t="str">
        <f>HYPERLINK("http://optservis.net:5080/photo?tov_code_internet=163885","Увеличить")</f>
        <v>Увеличить</v>
      </c>
      <c r="D1941" s="3" t="s">
        <v>3887</v>
      </c>
      <c r="E1941" s="3" t="s">
        <v>3888</v>
      </c>
      <c r="F1941" s="3" t="s">
        <v>3854</v>
      </c>
      <c r="G1941" s="3" t="s">
        <v>3823</v>
      </c>
      <c r="H1941" s="3">
        <v>20</v>
      </c>
      <c r="I1941" s="3">
        <v>1</v>
      </c>
      <c r="J1941" s="3" t="s">
        <v>18</v>
      </c>
      <c r="K1941" s="5">
        <v>1.32</v>
      </c>
      <c r="L1941" s="6">
        <v>4690654004705</v>
      </c>
      <c r="M1941" s="7" t="s">
        <v>3892</v>
      </c>
      <c r="N1941" s="8">
        <f>VLOOKUP(B1941,'[1]новый без картинок'!$A$5:$F$2672,6,0)</f>
        <v>231</v>
      </c>
    </row>
    <row r="1942" spans="1:14" ht="138.6" customHeight="1" x14ac:dyDescent="0.2">
      <c r="A1942" s="3">
        <v>1940</v>
      </c>
      <c r="B1942" s="3">
        <v>199056</v>
      </c>
      <c r="C1942" s="4" t="str">
        <f>HYPERLINK("http://optservis.net:5080/photo?tov_code_internet=199056","Увеличить")</f>
        <v>Увеличить</v>
      </c>
      <c r="D1942" s="3" t="s">
        <v>3893</v>
      </c>
      <c r="E1942" s="3" t="s">
        <v>3894</v>
      </c>
      <c r="F1942" s="3" t="s">
        <v>3895</v>
      </c>
      <c r="G1942" s="3" t="s">
        <v>3826</v>
      </c>
      <c r="H1942" s="3">
        <v>2</v>
      </c>
      <c r="I1942" s="3">
        <v>1</v>
      </c>
      <c r="J1942" s="3" t="s">
        <v>18</v>
      </c>
      <c r="K1942" s="5">
        <v>0.21</v>
      </c>
      <c r="L1942" s="6">
        <v>4690654016609</v>
      </c>
      <c r="M1942" s="7" t="s">
        <v>3896</v>
      </c>
      <c r="N1942" s="8">
        <f>VLOOKUP(B1942,'[1]новый без картинок'!$A$5:$F$2672,6,0)</f>
        <v>277</v>
      </c>
    </row>
    <row r="1943" spans="1:14" ht="138.6" customHeight="1" x14ac:dyDescent="0.2">
      <c r="A1943" s="3">
        <v>1941</v>
      </c>
      <c r="B1943" s="3">
        <v>199055</v>
      </c>
      <c r="C1943" s="4" t="str">
        <f>HYPERLINK("http://optservis.net:5080/photo?tov_code_internet=199055","Увеличить")</f>
        <v>Увеличить</v>
      </c>
      <c r="D1943" s="3" t="s">
        <v>3893</v>
      </c>
      <c r="E1943" s="3" t="s">
        <v>3894</v>
      </c>
      <c r="F1943" s="3" t="s">
        <v>3897</v>
      </c>
      <c r="G1943" s="3" t="s">
        <v>3823</v>
      </c>
      <c r="H1943" s="3">
        <v>2</v>
      </c>
      <c r="I1943" s="3">
        <v>1</v>
      </c>
      <c r="J1943" s="3" t="s">
        <v>18</v>
      </c>
      <c r="K1943" s="5">
        <v>0.21</v>
      </c>
      <c r="L1943" s="6">
        <v>4690654016616</v>
      </c>
      <c r="M1943" s="7" t="s">
        <v>3898</v>
      </c>
      <c r="N1943" s="8">
        <f>VLOOKUP(B1943,'[1]новый без картинок'!$A$5:$F$2672,6,0)</f>
        <v>270</v>
      </c>
    </row>
    <row r="1944" spans="1:14" ht="138.6" customHeight="1" x14ac:dyDescent="0.2">
      <c r="A1944" s="3">
        <v>1942</v>
      </c>
      <c r="B1944" s="3">
        <v>199057</v>
      </c>
      <c r="C1944" s="4" t="str">
        <f>HYPERLINK("http://optservis.net:5080/photo?tov_code_internet=199057","Увеличить")</f>
        <v>Увеличить</v>
      </c>
      <c r="D1944" s="3" t="s">
        <v>3899</v>
      </c>
      <c r="E1944" s="3" t="s">
        <v>3900</v>
      </c>
      <c r="F1944" s="3" t="s">
        <v>3901</v>
      </c>
      <c r="G1944" s="3" t="s">
        <v>3823</v>
      </c>
      <c r="H1944" s="3">
        <v>2</v>
      </c>
      <c r="I1944" s="3">
        <v>1</v>
      </c>
      <c r="J1944" s="3" t="s">
        <v>18</v>
      </c>
      <c r="K1944" s="5">
        <v>0.21</v>
      </c>
      <c r="L1944" s="6">
        <v>4690654016593</v>
      </c>
      <c r="M1944" s="7" t="s">
        <v>3902</v>
      </c>
      <c r="N1944" s="8">
        <f>VLOOKUP(B1944,'[1]новый без картинок'!$A$5:$F$2672,6,0)</f>
        <v>321</v>
      </c>
    </row>
    <row r="1945" spans="1:14" ht="153" customHeight="1" x14ac:dyDescent="0.2">
      <c r="A1945" s="3">
        <v>1943</v>
      </c>
      <c r="B1945" s="3">
        <v>167410</v>
      </c>
      <c r="C1945" s="4" t="str">
        <f>HYPERLINK("http://optservis.net:5080/photo?tov_code_internet=167410","Увеличить")</f>
        <v>Увеличить</v>
      </c>
      <c r="D1945" s="3" t="s">
        <v>3903</v>
      </c>
      <c r="E1945" s="3" t="s">
        <v>3904</v>
      </c>
      <c r="F1945" s="3" t="s">
        <v>3905</v>
      </c>
      <c r="G1945" s="3" t="s">
        <v>3823</v>
      </c>
      <c r="H1945" s="3">
        <v>2</v>
      </c>
      <c r="I1945" s="3">
        <v>1</v>
      </c>
      <c r="J1945" s="3" t="s">
        <v>18</v>
      </c>
      <c r="K1945" s="5">
        <v>0.14000000000000001</v>
      </c>
      <c r="L1945" s="6">
        <v>4690654007799</v>
      </c>
      <c r="M1945" s="7" t="s">
        <v>3906</v>
      </c>
      <c r="N1945" s="8">
        <f>VLOOKUP(B1945,'[1]новый без картинок'!$A$5:$F$2672,6,0)</f>
        <v>217</v>
      </c>
    </row>
    <row r="1946" spans="1:14" ht="153" customHeight="1" x14ac:dyDescent="0.2">
      <c r="A1946" s="3">
        <v>1944</v>
      </c>
      <c r="B1946" s="3">
        <v>190299</v>
      </c>
      <c r="C1946" s="4" t="str">
        <f>HYPERLINK("http://optservis.net:5080/photo?tov_code_internet=190299","Увеличить")</f>
        <v>Увеличить</v>
      </c>
      <c r="D1946" s="3" t="s">
        <v>3903</v>
      </c>
      <c r="E1946" s="3" t="s">
        <v>3904</v>
      </c>
      <c r="F1946" s="3" t="s">
        <v>3907</v>
      </c>
      <c r="G1946" s="3" t="s">
        <v>3908</v>
      </c>
      <c r="H1946" s="3">
        <v>2</v>
      </c>
      <c r="I1946" s="3">
        <v>1</v>
      </c>
      <c r="J1946" s="3" t="s">
        <v>18</v>
      </c>
      <c r="K1946" s="5">
        <v>0.14000000000000001</v>
      </c>
      <c r="L1946" s="6">
        <v>4690654014483</v>
      </c>
      <c r="M1946" s="7" t="s">
        <v>3909</v>
      </c>
      <c r="N1946" s="8">
        <f>VLOOKUP(B1946,'[1]новый без картинок'!$A$5:$F$2672,6,0)</f>
        <v>250</v>
      </c>
    </row>
    <row r="1947" spans="1:14" ht="153" customHeight="1" x14ac:dyDescent="0.2">
      <c r="A1947" s="3">
        <v>1945</v>
      </c>
      <c r="B1947" s="3">
        <v>190270</v>
      </c>
      <c r="C1947" s="4" t="str">
        <f>HYPERLINK("http://optservis.net:5080/photo?tov_code_internet=190270","Увеличить")</f>
        <v>Увеличить</v>
      </c>
      <c r="D1947" s="3" t="s">
        <v>3910</v>
      </c>
      <c r="E1947" s="3" t="s">
        <v>3911</v>
      </c>
      <c r="F1947" s="3" t="s">
        <v>3912</v>
      </c>
      <c r="G1947" s="3" t="s">
        <v>3823</v>
      </c>
      <c r="H1947" s="3">
        <v>2</v>
      </c>
      <c r="I1947" s="3">
        <v>1</v>
      </c>
      <c r="J1947" s="3" t="s">
        <v>18</v>
      </c>
      <c r="K1947" s="5">
        <v>0.14000000000000001</v>
      </c>
      <c r="L1947" s="6">
        <v>4690654014476</v>
      </c>
      <c r="M1947" s="7" t="s">
        <v>3913</v>
      </c>
      <c r="N1947" s="8">
        <f>VLOOKUP(B1947,'[1]новый без картинок'!$A$5:$F$2672,6,0)</f>
        <v>243</v>
      </c>
    </row>
    <row r="1948" spans="1:14" ht="138.6" customHeight="1" x14ac:dyDescent="0.2">
      <c r="A1948" s="3">
        <v>1946</v>
      </c>
      <c r="B1948" s="3">
        <v>186074</v>
      </c>
      <c r="C1948" s="4" t="str">
        <f>HYPERLINK("http://optservis.net:5080/photo?tov_code_internet=186074","Увеличить")</f>
        <v>Увеличить</v>
      </c>
      <c r="D1948" s="3" t="s">
        <v>3910</v>
      </c>
      <c r="E1948" s="3" t="s">
        <v>3911</v>
      </c>
      <c r="F1948" s="3" t="s">
        <v>3914</v>
      </c>
      <c r="G1948" s="3" t="s">
        <v>3823</v>
      </c>
      <c r="H1948" s="3">
        <v>2</v>
      </c>
      <c r="I1948" s="3">
        <v>1</v>
      </c>
      <c r="J1948" s="3" t="s">
        <v>18</v>
      </c>
      <c r="K1948" s="5">
        <v>0.14000000000000001</v>
      </c>
      <c r="L1948" s="6">
        <v>4690654013080</v>
      </c>
      <c r="M1948" s="7" t="s">
        <v>3913</v>
      </c>
      <c r="N1948" s="8">
        <f>VLOOKUP(B1948,'[1]новый без картинок'!$A$5:$F$2672,6,0)</f>
        <v>239</v>
      </c>
    </row>
    <row r="1949" spans="1:14" ht="151.15" customHeight="1" x14ac:dyDescent="0.2">
      <c r="A1949" s="3">
        <v>1947</v>
      </c>
      <c r="B1949" s="3">
        <v>205170</v>
      </c>
      <c r="C1949" s="4" t="str">
        <f>HYPERLINK("http://optservis.net:5080/photo?tov_code_internet=205170","Увеличить")</f>
        <v>Увеличить</v>
      </c>
      <c r="D1949" s="3" t="s">
        <v>3915</v>
      </c>
      <c r="E1949" s="3" t="s">
        <v>3916</v>
      </c>
      <c r="F1949" s="3" t="s">
        <v>3917</v>
      </c>
      <c r="G1949" s="3" t="s">
        <v>3823</v>
      </c>
      <c r="H1949" s="3">
        <v>2</v>
      </c>
      <c r="I1949" s="3">
        <v>1</v>
      </c>
      <c r="J1949" s="3" t="s">
        <v>18</v>
      </c>
      <c r="K1949" s="5">
        <v>0.15</v>
      </c>
      <c r="L1949" s="6">
        <v>4690654017866</v>
      </c>
      <c r="M1949" s="7" t="s">
        <v>3918</v>
      </c>
      <c r="N1949" s="8">
        <f>VLOOKUP(B1949,'[1]новый без картинок'!$A$5:$F$2672,6,0)</f>
        <v>207</v>
      </c>
    </row>
    <row r="1950" spans="1:14" ht="138.6" customHeight="1" x14ac:dyDescent="0.2">
      <c r="A1950" s="3">
        <v>1948</v>
      </c>
      <c r="B1950" s="3">
        <v>167402</v>
      </c>
      <c r="C1950" s="4" t="str">
        <f>HYPERLINK("http://optservis.net:5080/photo?tov_code_internet=167402","Увеличить")</f>
        <v>Увеличить</v>
      </c>
      <c r="D1950" s="3" t="s">
        <v>3915</v>
      </c>
      <c r="E1950" s="3" t="s">
        <v>3916</v>
      </c>
      <c r="F1950" s="3" t="s">
        <v>3919</v>
      </c>
      <c r="G1950" s="3" t="s">
        <v>3823</v>
      </c>
      <c r="H1950" s="3">
        <v>2</v>
      </c>
      <c r="I1950" s="3">
        <v>1</v>
      </c>
      <c r="J1950" s="3" t="s">
        <v>18</v>
      </c>
      <c r="K1950" s="5">
        <v>0.14000000000000001</v>
      </c>
      <c r="L1950" s="6">
        <v>4690654007805</v>
      </c>
      <c r="M1950" s="7" t="s">
        <v>3918</v>
      </c>
      <c r="N1950" s="8">
        <f>VLOOKUP(B1950,'[1]новый без картинок'!$A$5:$F$2672,6,0)</f>
        <v>204</v>
      </c>
    </row>
    <row r="1951" spans="1:14" ht="138.6" customHeight="1" x14ac:dyDescent="0.2">
      <c r="A1951" s="3">
        <v>1949</v>
      </c>
      <c r="B1951" s="3">
        <v>167408</v>
      </c>
      <c r="C1951" s="4" t="str">
        <f>HYPERLINK("http://optservis.net:5080/photo?tov_code_internet=167408","Увеличить")</f>
        <v>Увеличить</v>
      </c>
      <c r="D1951" s="3" t="s">
        <v>3915</v>
      </c>
      <c r="E1951" s="3" t="s">
        <v>3916</v>
      </c>
      <c r="F1951" s="3" t="s">
        <v>3920</v>
      </c>
      <c r="G1951" s="3" t="s">
        <v>3823</v>
      </c>
      <c r="H1951" s="3">
        <v>2</v>
      </c>
      <c r="I1951" s="3">
        <v>1</v>
      </c>
      <c r="J1951" s="3" t="s">
        <v>18</v>
      </c>
      <c r="K1951" s="5">
        <v>0.14000000000000001</v>
      </c>
      <c r="L1951" s="6">
        <v>4690654007812</v>
      </c>
      <c r="M1951" s="7" t="s">
        <v>3918</v>
      </c>
      <c r="N1951" s="8">
        <f>VLOOKUP(B1951,'[1]новый без картинок'!$A$5:$F$2672,6,0)</f>
        <v>207</v>
      </c>
    </row>
    <row r="1952" spans="1:14" ht="138.6" customHeight="1" x14ac:dyDescent="0.2">
      <c r="A1952" s="3">
        <v>1950</v>
      </c>
      <c r="B1952" s="3">
        <v>205173</v>
      </c>
      <c r="C1952" s="4" t="str">
        <f>HYPERLINK("http://optservis.net:5080/photo?tov_code_internet=205173","Увеличить")</f>
        <v>Увеличить</v>
      </c>
      <c r="D1952" s="3" t="s">
        <v>3915</v>
      </c>
      <c r="E1952" s="3" t="s">
        <v>3916</v>
      </c>
      <c r="F1952" s="3" t="s">
        <v>3921</v>
      </c>
      <c r="G1952" s="3" t="s">
        <v>3823</v>
      </c>
      <c r="H1952" s="3">
        <v>2</v>
      </c>
      <c r="I1952" s="3">
        <v>1</v>
      </c>
      <c r="J1952" s="3" t="s">
        <v>18</v>
      </c>
      <c r="K1952" s="5">
        <v>0.14000000000000001</v>
      </c>
      <c r="L1952" s="6">
        <v>4690654017644</v>
      </c>
      <c r="M1952" s="7" t="s">
        <v>3922</v>
      </c>
      <c r="N1952" s="8">
        <f>VLOOKUP(B1952,'[1]новый без картинок'!$A$5:$F$2672,6,0)</f>
        <v>204</v>
      </c>
    </row>
    <row r="1953" spans="1:14" ht="138.6" customHeight="1" x14ac:dyDescent="0.2">
      <c r="A1953" s="3">
        <v>1951</v>
      </c>
      <c r="B1953" s="3">
        <v>167409</v>
      </c>
      <c r="C1953" s="4" t="str">
        <f>HYPERLINK("http://optservis.net:5080/photo?tov_code_internet=167409","Увеличить")</f>
        <v>Увеличить</v>
      </c>
      <c r="D1953" s="3" t="s">
        <v>3915</v>
      </c>
      <c r="E1953" s="3" t="s">
        <v>3916</v>
      </c>
      <c r="F1953" s="3" t="s">
        <v>3923</v>
      </c>
      <c r="G1953" s="3" t="s">
        <v>3823</v>
      </c>
      <c r="H1953" s="3">
        <v>2</v>
      </c>
      <c r="I1953" s="3">
        <v>1</v>
      </c>
      <c r="J1953" s="3" t="s">
        <v>18</v>
      </c>
      <c r="K1953" s="5">
        <v>0.14000000000000001</v>
      </c>
      <c r="L1953" s="6">
        <v>4690654007829</v>
      </c>
      <c r="M1953" s="7" t="s">
        <v>3918</v>
      </c>
      <c r="N1953" s="8">
        <f>VLOOKUP(B1953,'[1]новый без картинок'!$A$5:$F$2672,6,0)</f>
        <v>203</v>
      </c>
    </row>
    <row r="1954" spans="1:14" ht="149.44999999999999" customHeight="1" x14ac:dyDescent="0.2">
      <c r="A1954" s="3">
        <v>1952</v>
      </c>
      <c r="B1954" s="3">
        <v>174822</v>
      </c>
      <c r="C1954" s="4" t="str">
        <f>HYPERLINK("http://optservis.net:5080/photo?tov_code_internet=174822","Увеличить")</f>
        <v>Увеличить</v>
      </c>
      <c r="D1954" s="3" t="s">
        <v>3924</v>
      </c>
      <c r="E1954" s="3" t="s">
        <v>3925</v>
      </c>
      <c r="F1954" s="3" t="s">
        <v>3926</v>
      </c>
      <c r="G1954" s="3" t="s">
        <v>3823</v>
      </c>
      <c r="H1954" s="3">
        <v>2</v>
      </c>
      <c r="I1954" s="3">
        <v>1</v>
      </c>
      <c r="J1954" s="3" t="s">
        <v>18</v>
      </c>
      <c r="K1954" s="5">
        <v>0.14000000000000001</v>
      </c>
      <c r="L1954" s="6">
        <v>4690654011345</v>
      </c>
      <c r="M1954" s="7" t="s">
        <v>3927</v>
      </c>
      <c r="N1954" s="8">
        <f>VLOOKUP(B1954,'[1]новый без картинок'!$A$5:$F$2672,6,0)</f>
        <v>225</v>
      </c>
    </row>
    <row r="1955" spans="1:14" ht="149.44999999999999" customHeight="1" x14ac:dyDescent="0.2">
      <c r="A1955" s="3">
        <v>1953</v>
      </c>
      <c r="B1955" s="3">
        <v>205171</v>
      </c>
      <c r="C1955" s="4" t="str">
        <f>HYPERLINK("http://optservis.net:5080/photo?tov_code_internet=205171","Увеличить")</f>
        <v>Увеличить</v>
      </c>
      <c r="D1955" s="3" t="s">
        <v>3924</v>
      </c>
      <c r="E1955" s="3" t="s">
        <v>3925</v>
      </c>
      <c r="F1955" s="3" t="s">
        <v>3928</v>
      </c>
      <c r="G1955" s="3" t="s">
        <v>3823</v>
      </c>
      <c r="H1955" s="3">
        <v>2</v>
      </c>
      <c r="I1955" s="3">
        <v>1</v>
      </c>
      <c r="J1955" s="3" t="s">
        <v>18</v>
      </c>
      <c r="K1955" s="5">
        <v>0.15</v>
      </c>
      <c r="L1955" s="6">
        <v>4690654017804</v>
      </c>
      <c r="M1955" s="7" t="s">
        <v>3927</v>
      </c>
      <c r="N1955" s="8">
        <f>VLOOKUP(B1955,'[1]новый без картинок'!$A$5:$F$2672,6,0)</f>
        <v>225</v>
      </c>
    </row>
    <row r="1956" spans="1:14" ht="149.44999999999999" customHeight="1" x14ac:dyDescent="0.2">
      <c r="A1956" s="3">
        <v>1954</v>
      </c>
      <c r="B1956" s="3">
        <v>174833</v>
      </c>
      <c r="C1956" s="4" t="str">
        <f>HYPERLINK("http://optservis.net:5080/photo?tov_code_internet=174833","Увеличить")</f>
        <v>Увеличить</v>
      </c>
      <c r="D1956" s="3" t="s">
        <v>3929</v>
      </c>
      <c r="E1956" s="3" t="s">
        <v>3930</v>
      </c>
      <c r="F1956" s="3" t="s">
        <v>3931</v>
      </c>
      <c r="G1956" s="3" t="s">
        <v>3823</v>
      </c>
      <c r="H1956" s="3">
        <v>2</v>
      </c>
      <c r="I1956" s="3">
        <v>1</v>
      </c>
      <c r="J1956" s="3" t="s">
        <v>18</v>
      </c>
      <c r="K1956" s="5">
        <v>0.14000000000000001</v>
      </c>
      <c r="L1956" s="6">
        <v>4690654010829</v>
      </c>
      <c r="M1956" s="7" t="s">
        <v>3932</v>
      </c>
      <c r="N1956" s="8">
        <f>VLOOKUP(B1956,'[1]новый без картинок'!$A$5:$F$2672,6,0)</f>
        <v>233</v>
      </c>
    </row>
    <row r="1957" spans="1:14" ht="151.15" customHeight="1" x14ac:dyDescent="0.2">
      <c r="A1957" s="3">
        <v>1955</v>
      </c>
      <c r="B1957" s="3">
        <v>205176</v>
      </c>
      <c r="C1957" s="4" t="str">
        <f>HYPERLINK("http://optservis.net:5080/photo?tov_code_internet=205176","Увеличить")</f>
        <v>Увеличить</v>
      </c>
      <c r="D1957" s="3" t="s">
        <v>3933</v>
      </c>
      <c r="E1957" s="3" t="s">
        <v>3934</v>
      </c>
      <c r="F1957" s="3" t="s">
        <v>3830</v>
      </c>
      <c r="G1957" s="3" t="s">
        <v>3823</v>
      </c>
      <c r="H1957" s="3">
        <v>2</v>
      </c>
      <c r="I1957" s="3">
        <v>1</v>
      </c>
      <c r="J1957" s="3" t="s">
        <v>18</v>
      </c>
      <c r="K1957" s="5">
        <v>0.18</v>
      </c>
      <c r="L1957" s="6">
        <v>4690654017798</v>
      </c>
      <c r="M1957" s="7" t="s">
        <v>3935</v>
      </c>
      <c r="N1957" s="8">
        <f>VLOOKUP(B1957,'[1]новый без картинок'!$A$5:$F$2672,6,0)</f>
        <v>259</v>
      </c>
    </row>
    <row r="1958" spans="1:14" ht="151.15" customHeight="1" x14ac:dyDescent="0.2">
      <c r="A1958" s="3">
        <v>1956</v>
      </c>
      <c r="B1958" s="3">
        <v>205177</v>
      </c>
      <c r="C1958" s="4" t="str">
        <f>HYPERLINK("http://optservis.net:5080/photo?tov_code_internet=205177","Увеличить")</f>
        <v>Увеличить</v>
      </c>
      <c r="D1958" s="3" t="s">
        <v>3933</v>
      </c>
      <c r="E1958" s="3" t="s">
        <v>3934</v>
      </c>
      <c r="F1958" s="3" t="s">
        <v>3936</v>
      </c>
      <c r="G1958" s="3" t="s">
        <v>3823</v>
      </c>
      <c r="H1958" s="3">
        <v>2</v>
      </c>
      <c r="I1958" s="3">
        <v>1</v>
      </c>
      <c r="J1958" s="3" t="s">
        <v>18</v>
      </c>
      <c r="K1958" s="5">
        <v>0.18</v>
      </c>
      <c r="L1958" s="6">
        <v>4690654017972</v>
      </c>
      <c r="M1958" s="7" t="s">
        <v>3935</v>
      </c>
      <c r="N1958" s="8">
        <f>VLOOKUP(B1958,'[1]новый без картинок'!$A$5:$F$2672,6,0)</f>
        <v>259</v>
      </c>
    </row>
    <row r="1959" spans="1:14" ht="151.15" customHeight="1" x14ac:dyDescent="0.2">
      <c r="A1959" s="3">
        <v>1957</v>
      </c>
      <c r="B1959" s="3">
        <v>190272</v>
      </c>
      <c r="C1959" s="4" t="str">
        <f>HYPERLINK("http://optservis.net:5080/photo?tov_code_internet=190272","Увеличить")</f>
        <v>Увеличить</v>
      </c>
      <c r="D1959" s="3" t="s">
        <v>3937</v>
      </c>
      <c r="E1959" s="3" t="s">
        <v>3938</v>
      </c>
      <c r="F1959" s="3" t="s">
        <v>3939</v>
      </c>
      <c r="G1959" s="3" t="s">
        <v>3823</v>
      </c>
      <c r="H1959" s="3">
        <v>2</v>
      </c>
      <c r="I1959" s="3">
        <v>1</v>
      </c>
      <c r="J1959" s="3" t="s">
        <v>18</v>
      </c>
      <c r="K1959" s="5">
        <v>0.19</v>
      </c>
      <c r="L1959" s="6">
        <v>4690654014834</v>
      </c>
      <c r="M1959" s="7" t="s">
        <v>3940</v>
      </c>
      <c r="N1959" s="8">
        <f>VLOOKUP(B1959,'[1]новый без картинок'!$A$5:$F$2672,6,0)</f>
        <v>267</v>
      </c>
    </row>
    <row r="1960" spans="1:14" ht="151.15" customHeight="1" x14ac:dyDescent="0.2">
      <c r="A1960" s="3">
        <v>1958</v>
      </c>
      <c r="B1960" s="3">
        <v>174815</v>
      </c>
      <c r="C1960" s="4" t="str">
        <f>HYPERLINK("http://optservis.net:5080/photo?tov_code_internet=174815","Увеличить")</f>
        <v>Увеличить</v>
      </c>
      <c r="D1960" s="3" t="s">
        <v>3937</v>
      </c>
      <c r="E1960" s="3" t="s">
        <v>3938</v>
      </c>
      <c r="F1960" s="3" t="s">
        <v>3921</v>
      </c>
      <c r="G1960" s="3" t="s">
        <v>3823</v>
      </c>
      <c r="H1960" s="3">
        <v>2</v>
      </c>
      <c r="I1960" s="3">
        <v>1</v>
      </c>
      <c r="J1960" s="3" t="s">
        <v>18</v>
      </c>
      <c r="K1960" s="5">
        <v>0.2</v>
      </c>
      <c r="L1960" s="6">
        <v>4690654011130</v>
      </c>
      <c r="M1960" s="7" t="s">
        <v>3940</v>
      </c>
      <c r="N1960" s="8">
        <f>VLOOKUP(B1960,'[1]новый без картинок'!$A$5:$F$2672,6,0)</f>
        <v>264</v>
      </c>
    </row>
    <row r="1961" spans="1:14" ht="151.15" customHeight="1" x14ac:dyDescent="0.2">
      <c r="A1961" s="3">
        <v>1959</v>
      </c>
      <c r="B1961" s="3">
        <v>199053</v>
      </c>
      <c r="C1961" s="4" t="str">
        <f>HYPERLINK("http://optservis.net:5080/photo?tov_code_internet=199053","Увеличить")</f>
        <v>Увеличить</v>
      </c>
      <c r="D1961" s="3" t="s">
        <v>3941</v>
      </c>
      <c r="E1961" s="3" t="s">
        <v>3942</v>
      </c>
      <c r="F1961" s="3" t="s">
        <v>3943</v>
      </c>
      <c r="G1961" s="3" t="s">
        <v>3823</v>
      </c>
      <c r="H1961" s="3">
        <v>2</v>
      </c>
      <c r="I1961" s="3">
        <v>1</v>
      </c>
      <c r="J1961" s="3" t="s">
        <v>18</v>
      </c>
      <c r="K1961" s="5">
        <v>0.17</v>
      </c>
      <c r="L1961" s="6">
        <v>4690654016296</v>
      </c>
      <c r="M1961" s="7" t="s">
        <v>3944</v>
      </c>
      <c r="N1961" s="8">
        <f>VLOOKUP(B1961,'[1]новый без картинок'!$A$5:$F$2672,6,0)</f>
        <v>264</v>
      </c>
    </row>
    <row r="1962" spans="1:14" ht="151.15" customHeight="1" x14ac:dyDescent="0.2">
      <c r="A1962" s="3">
        <v>1960</v>
      </c>
      <c r="B1962" s="3">
        <v>174814</v>
      </c>
      <c r="C1962" s="4" t="str">
        <f>HYPERLINK("http://optservis.net:5080/photo?tov_code_internet=174814","Увеличить")</f>
        <v>Увеличить</v>
      </c>
      <c r="D1962" s="3" t="s">
        <v>3941</v>
      </c>
      <c r="E1962" s="3" t="s">
        <v>3942</v>
      </c>
      <c r="F1962" s="3" t="s">
        <v>3945</v>
      </c>
      <c r="G1962" s="3" t="s">
        <v>3823</v>
      </c>
      <c r="H1962" s="3">
        <v>2</v>
      </c>
      <c r="I1962" s="3">
        <v>1</v>
      </c>
      <c r="J1962" s="3" t="s">
        <v>18</v>
      </c>
      <c r="K1962" s="5">
        <v>0.2</v>
      </c>
      <c r="L1962" s="6">
        <v>4690654011147</v>
      </c>
      <c r="M1962" s="7" t="s">
        <v>3944</v>
      </c>
      <c r="N1962" s="8">
        <f>VLOOKUP(B1962,'[1]новый без картинок'!$A$5:$F$2672,6,0)</f>
        <v>255</v>
      </c>
    </row>
    <row r="1963" spans="1:14" ht="138.6" customHeight="1" x14ac:dyDescent="0.2">
      <c r="A1963" s="3">
        <v>1961</v>
      </c>
      <c r="B1963" s="3">
        <v>190275</v>
      </c>
      <c r="C1963" s="4" t="str">
        <f>HYPERLINK("http://optservis.net:5080/photo?tov_code_internet=190275","Увеличить")</f>
        <v>Увеличить</v>
      </c>
      <c r="D1963" s="3" t="s">
        <v>3946</v>
      </c>
      <c r="E1963" s="3" t="s">
        <v>3947</v>
      </c>
      <c r="F1963" s="3" t="s">
        <v>3948</v>
      </c>
      <c r="G1963" s="3" t="s">
        <v>3823</v>
      </c>
      <c r="H1963" s="3">
        <v>2</v>
      </c>
      <c r="I1963" s="3">
        <v>1</v>
      </c>
      <c r="J1963" s="3" t="s">
        <v>18</v>
      </c>
      <c r="K1963" s="5">
        <v>0.17</v>
      </c>
      <c r="L1963" s="6">
        <v>4690654016265</v>
      </c>
      <c r="M1963" s="7" t="s">
        <v>3949</v>
      </c>
      <c r="N1963" s="8">
        <f>VLOOKUP(B1963,'[1]новый без картинок'!$A$5:$F$2672,6,0)</f>
        <v>267</v>
      </c>
    </row>
    <row r="1964" spans="1:14" ht="151.15" customHeight="1" x14ac:dyDescent="0.2">
      <c r="A1964" s="3">
        <v>1962</v>
      </c>
      <c r="B1964" s="3">
        <v>205180</v>
      </c>
      <c r="C1964" s="4" t="str">
        <f>HYPERLINK("http://optservis.net:5080/photo?tov_code_internet=205180","Увеличить")</f>
        <v>Увеличить</v>
      </c>
      <c r="D1964" s="3" t="s">
        <v>3950</v>
      </c>
      <c r="E1964" s="3" t="s">
        <v>3951</v>
      </c>
      <c r="F1964" s="3" t="s">
        <v>3917</v>
      </c>
      <c r="G1964" s="3" t="s">
        <v>3823</v>
      </c>
      <c r="H1964" s="3">
        <v>2</v>
      </c>
      <c r="I1964" s="3">
        <v>1</v>
      </c>
      <c r="J1964" s="3" t="s">
        <v>18</v>
      </c>
      <c r="K1964" s="5">
        <v>0.14000000000000001</v>
      </c>
      <c r="L1964" s="6">
        <v>4690654017873</v>
      </c>
      <c r="M1964" s="7" t="s">
        <v>3952</v>
      </c>
      <c r="N1964" s="8">
        <f>VLOOKUP(B1964,'[1]новый без картинок'!$A$5:$F$2672,6,0)</f>
        <v>267</v>
      </c>
    </row>
    <row r="1965" spans="1:14" ht="151.15" customHeight="1" x14ac:dyDescent="0.2">
      <c r="A1965" s="3">
        <v>1963</v>
      </c>
      <c r="B1965" s="3">
        <v>167412</v>
      </c>
      <c r="C1965" s="4" t="str">
        <f>HYPERLINK("http://optservis.net:5080/photo?tov_code_internet=167412","Увеличить")</f>
        <v>Увеличить</v>
      </c>
      <c r="D1965" s="3" t="s">
        <v>3950</v>
      </c>
      <c r="E1965" s="3" t="s">
        <v>3951</v>
      </c>
      <c r="F1965" s="3" t="s">
        <v>3953</v>
      </c>
      <c r="G1965" s="3" t="s">
        <v>3823</v>
      </c>
      <c r="H1965" s="3">
        <v>2</v>
      </c>
      <c r="I1965" s="3">
        <v>1</v>
      </c>
      <c r="J1965" s="3" t="s">
        <v>18</v>
      </c>
      <c r="K1965" s="5">
        <v>0.23</v>
      </c>
      <c r="L1965" s="6">
        <v>4690654007904</v>
      </c>
      <c r="M1965" s="7" t="s">
        <v>3952</v>
      </c>
      <c r="N1965" s="8">
        <f>VLOOKUP(B1965,'[1]новый без картинок'!$A$5:$F$2672,6,0)</f>
        <v>259</v>
      </c>
    </row>
    <row r="1966" spans="1:14" ht="151.15" customHeight="1" x14ac:dyDescent="0.2">
      <c r="A1966" s="3">
        <v>1964</v>
      </c>
      <c r="B1966" s="3">
        <v>167411</v>
      </c>
      <c r="C1966" s="4" t="str">
        <f>HYPERLINK("http://optservis.net:5080/photo?tov_code_internet=167411","Увеличить")</f>
        <v>Увеличить</v>
      </c>
      <c r="D1966" s="3" t="s">
        <v>3950</v>
      </c>
      <c r="E1966" s="3" t="s">
        <v>3951</v>
      </c>
      <c r="F1966" s="3" t="s">
        <v>3954</v>
      </c>
      <c r="G1966" s="3" t="s">
        <v>3823</v>
      </c>
      <c r="H1966" s="3">
        <v>2</v>
      </c>
      <c r="I1966" s="3">
        <v>1</v>
      </c>
      <c r="J1966" s="3" t="s">
        <v>18</v>
      </c>
      <c r="K1966" s="5">
        <v>0.23</v>
      </c>
      <c r="L1966" s="6">
        <v>4690654007911</v>
      </c>
      <c r="M1966" s="7" t="s">
        <v>3952</v>
      </c>
      <c r="N1966" s="8">
        <f>VLOOKUP(B1966,'[1]новый без картинок'!$A$5:$F$2672,6,0)</f>
        <v>259</v>
      </c>
    </row>
    <row r="1967" spans="1:14" ht="151.15" customHeight="1" x14ac:dyDescent="0.2">
      <c r="A1967" s="3">
        <v>1965</v>
      </c>
      <c r="B1967" s="3">
        <v>190274</v>
      </c>
      <c r="C1967" s="4" t="str">
        <f>HYPERLINK("http://optservis.net:5080/photo?tov_code_internet=190274","Увеличить")</f>
        <v>Увеличить</v>
      </c>
      <c r="D1967" s="3" t="s">
        <v>3955</v>
      </c>
      <c r="E1967" s="3" t="s">
        <v>3956</v>
      </c>
      <c r="F1967" s="3" t="s">
        <v>3901</v>
      </c>
      <c r="G1967" s="3" t="s">
        <v>3823</v>
      </c>
      <c r="H1967" s="3">
        <v>2</v>
      </c>
      <c r="I1967" s="3">
        <v>1</v>
      </c>
      <c r="J1967" s="3" t="s">
        <v>18</v>
      </c>
      <c r="K1967" s="5">
        <v>0.21</v>
      </c>
      <c r="L1967" s="6">
        <v>4690654018504</v>
      </c>
      <c r="M1967" s="7" t="s">
        <v>3957</v>
      </c>
      <c r="N1967" s="8">
        <f>VLOOKUP(B1967,'[1]новый без картинок'!$A$5:$F$2672,6,0)</f>
        <v>291</v>
      </c>
    </row>
    <row r="1968" spans="1:14" ht="138.6" customHeight="1" x14ac:dyDescent="0.2">
      <c r="A1968" s="3">
        <v>1966</v>
      </c>
      <c r="B1968" s="3">
        <v>190568</v>
      </c>
      <c r="C1968" s="4" t="str">
        <f>HYPERLINK("http://optservis.net:5080/photo?tov_code_internet=190568","Увеличить")</f>
        <v>Увеличить</v>
      </c>
      <c r="D1968" s="3" t="s">
        <v>3955</v>
      </c>
      <c r="E1968" s="3" t="s">
        <v>3956</v>
      </c>
      <c r="F1968" s="3" t="s">
        <v>3958</v>
      </c>
      <c r="G1968" s="3" t="s">
        <v>3823</v>
      </c>
      <c r="H1968" s="3">
        <v>2</v>
      </c>
      <c r="I1968" s="3">
        <v>1</v>
      </c>
      <c r="J1968" s="3" t="s">
        <v>18</v>
      </c>
      <c r="K1968" s="5">
        <v>0.23</v>
      </c>
      <c r="L1968" s="6">
        <v>4690654014957</v>
      </c>
      <c r="M1968" s="7" t="s">
        <v>3959</v>
      </c>
      <c r="N1968" s="8">
        <f>VLOOKUP(B1968,'[1]новый без картинок'!$A$5:$F$2672,6,0)</f>
        <v>311</v>
      </c>
    </row>
    <row r="1969" spans="1:14" ht="138.6" customHeight="1" x14ac:dyDescent="0.2">
      <c r="A1969" s="3">
        <v>1967</v>
      </c>
      <c r="B1969" s="3">
        <v>199052</v>
      </c>
      <c r="C1969" s="4" t="str">
        <f>HYPERLINK("http://optservis.net:5080/photo?tov_code_internet=199052","Увеличить")</f>
        <v>Увеличить</v>
      </c>
      <c r="D1969" s="3" t="s">
        <v>3955</v>
      </c>
      <c r="E1969" s="3" t="s">
        <v>3956</v>
      </c>
      <c r="F1969" s="3" t="s">
        <v>3960</v>
      </c>
      <c r="G1969" s="3" t="s">
        <v>3823</v>
      </c>
      <c r="H1969" s="3">
        <v>2</v>
      </c>
      <c r="I1969" s="3">
        <v>1</v>
      </c>
      <c r="J1969" s="3" t="s">
        <v>18</v>
      </c>
      <c r="K1969" s="5">
        <v>0.2</v>
      </c>
      <c r="L1969" s="6">
        <v>4690654016555</v>
      </c>
      <c r="M1969" s="7" t="s">
        <v>3959</v>
      </c>
      <c r="N1969" s="8">
        <f>VLOOKUP(B1969,'[1]новый без картинок'!$A$5:$F$2672,6,0)</f>
        <v>291</v>
      </c>
    </row>
    <row r="1970" spans="1:14" ht="138.6" customHeight="1" x14ac:dyDescent="0.2">
      <c r="A1970" s="3">
        <v>1968</v>
      </c>
      <c r="B1970" s="3">
        <v>186073</v>
      </c>
      <c r="C1970" s="4" t="str">
        <f>HYPERLINK("http://optservis.net:5080/photo?tov_code_internet=186073","Увеличить")</f>
        <v>Увеличить</v>
      </c>
      <c r="D1970" s="3" t="s">
        <v>3955</v>
      </c>
      <c r="E1970" s="3" t="s">
        <v>3956</v>
      </c>
      <c r="F1970" s="3" t="s">
        <v>3928</v>
      </c>
      <c r="G1970" s="3" t="s">
        <v>3823</v>
      </c>
      <c r="H1970" s="3">
        <v>2</v>
      </c>
      <c r="I1970" s="3">
        <v>1</v>
      </c>
      <c r="J1970" s="3" t="s">
        <v>18</v>
      </c>
      <c r="K1970" s="5">
        <v>0.23</v>
      </c>
      <c r="L1970" s="6">
        <v>4690654012885</v>
      </c>
      <c r="M1970" s="7" t="s">
        <v>3959</v>
      </c>
      <c r="N1970" s="8">
        <f>VLOOKUP(B1970,'[1]новый без картинок'!$A$5:$F$2672,6,0)</f>
        <v>291</v>
      </c>
    </row>
    <row r="1971" spans="1:14" ht="138.6" customHeight="1" x14ac:dyDescent="0.2">
      <c r="A1971" s="3">
        <v>1969</v>
      </c>
      <c r="B1971" s="3">
        <v>186072</v>
      </c>
      <c r="C1971" s="4" t="str">
        <f>HYPERLINK("http://optservis.net:5080/photo?tov_code_internet=186072","Увеличить")</f>
        <v>Увеличить</v>
      </c>
      <c r="D1971" s="3" t="s">
        <v>3961</v>
      </c>
      <c r="E1971" s="3" t="s">
        <v>3962</v>
      </c>
      <c r="F1971" s="3" t="s">
        <v>3963</v>
      </c>
      <c r="G1971" s="3" t="s">
        <v>3823</v>
      </c>
      <c r="H1971" s="3">
        <v>2</v>
      </c>
      <c r="I1971" s="3">
        <v>1</v>
      </c>
      <c r="J1971" s="3" t="s">
        <v>18</v>
      </c>
      <c r="K1971" s="5">
        <v>0.23</v>
      </c>
      <c r="L1971" s="6">
        <v>4690654012892</v>
      </c>
      <c r="M1971" s="7" t="s">
        <v>3959</v>
      </c>
      <c r="N1971" s="8">
        <f>VLOOKUP(B1971,'[1]новый без картинок'!$A$5:$F$2672,6,0)</f>
        <v>293</v>
      </c>
    </row>
    <row r="1972" spans="1:14" ht="151.15" customHeight="1" x14ac:dyDescent="0.2">
      <c r="A1972" s="3">
        <v>1970</v>
      </c>
      <c r="B1972" s="3">
        <v>208955</v>
      </c>
      <c r="C1972" s="4" t="str">
        <f>HYPERLINK("http://optservis.net:5080/photo?tov_code_internet=208955","Увеличить")</f>
        <v>Увеличить</v>
      </c>
      <c r="D1972" s="3" t="s">
        <v>3964</v>
      </c>
      <c r="E1972" s="3" t="s">
        <v>3965</v>
      </c>
      <c r="F1972" s="3" t="s">
        <v>3914</v>
      </c>
      <c r="G1972" s="3" t="s">
        <v>3823</v>
      </c>
      <c r="H1972" s="3">
        <v>2</v>
      </c>
      <c r="I1972" s="3">
        <v>1</v>
      </c>
      <c r="J1972" s="3" t="s">
        <v>18</v>
      </c>
      <c r="K1972" s="5">
        <v>0.19</v>
      </c>
      <c r="L1972" s="6">
        <v>4690654019365</v>
      </c>
      <c r="M1972" s="7" t="s">
        <v>3966</v>
      </c>
      <c r="N1972" s="8">
        <f>VLOOKUP(B1972,'[1]новый без картинок'!$A$5:$F$2672,6,0)</f>
        <v>263</v>
      </c>
    </row>
    <row r="1973" spans="1:14" ht="151.15" customHeight="1" x14ac:dyDescent="0.2">
      <c r="A1973" s="3">
        <v>1971</v>
      </c>
      <c r="B1973" s="3">
        <v>208954</v>
      </c>
      <c r="C1973" s="4" t="str">
        <f>HYPERLINK("http://optservis.net:5080/photo?tov_code_internet=208954","Увеличить")</f>
        <v>Увеличить</v>
      </c>
      <c r="D1973" s="3" t="s">
        <v>3964</v>
      </c>
      <c r="E1973" s="3" t="s">
        <v>3965</v>
      </c>
      <c r="F1973" s="3" t="s">
        <v>3967</v>
      </c>
      <c r="G1973" s="3" t="s">
        <v>3823</v>
      </c>
      <c r="H1973" s="3">
        <v>2</v>
      </c>
      <c r="I1973" s="3">
        <v>1</v>
      </c>
      <c r="J1973" s="3" t="s">
        <v>18</v>
      </c>
      <c r="K1973" s="5">
        <v>0.19</v>
      </c>
      <c r="L1973" s="6">
        <v>4690654019358</v>
      </c>
      <c r="M1973" s="7" t="s">
        <v>3966</v>
      </c>
      <c r="N1973" s="8">
        <f>VLOOKUP(B1973,'[1]новый без картинок'!$A$5:$F$2672,6,0)</f>
        <v>272</v>
      </c>
    </row>
    <row r="1974" spans="1:14" ht="151.15" customHeight="1" x14ac:dyDescent="0.2">
      <c r="A1974" s="3">
        <v>1972</v>
      </c>
      <c r="B1974" s="3">
        <v>982334</v>
      </c>
      <c r="C1974" s="4" t="str">
        <f>HYPERLINK("http://optservis.net:5080/photo?tov_code_internet=982334","Увеличить")</f>
        <v>Увеличить</v>
      </c>
      <c r="D1974" s="3" t="s">
        <v>3968</v>
      </c>
      <c r="E1974" s="3" t="s">
        <v>3969</v>
      </c>
      <c r="F1974" s="3" t="s">
        <v>34</v>
      </c>
      <c r="G1974" s="3" t="s">
        <v>1186</v>
      </c>
      <c r="H1974" s="3">
        <v>4</v>
      </c>
      <c r="I1974" s="3">
        <v>1</v>
      </c>
      <c r="J1974" s="3" t="s">
        <v>18</v>
      </c>
      <c r="K1974" s="5">
        <v>0.04</v>
      </c>
      <c r="L1974" s="6">
        <v>4640020778280</v>
      </c>
      <c r="M1974" s="7" t="s">
        <v>3970</v>
      </c>
      <c r="N1974" s="8">
        <f>VLOOKUP(B1974,'[1]новый без картинок'!$A$5:$F$2672,6,0)</f>
        <v>166</v>
      </c>
    </row>
    <row r="1975" spans="1:14" ht="149.44999999999999" customHeight="1" x14ac:dyDescent="0.2">
      <c r="A1975" s="3">
        <v>1973</v>
      </c>
      <c r="B1975" s="3">
        <v>987509</v>
      </c>
      <c r="C1975" s="4" t="str">
        <f>HYPERLINK("http://optservis.net:5080/photo?tov_code_internet=987509","Увеличить")</f>
        <v>Увеличить</v>
      </c>
      <c r="D1975" s="3" t="s">
        <v>3968</v>
      </c>
      <c r="E1975" s="3" t="s">
        <v>3969</v>
      </c>
      <c r="F1975" s="3" t="s">
        <v>34</v>
      </c>
      <c r="G1975" s="3" t="s">
        <v>1189</v>
      </c>
      <c r="H1975" s="3">
        <v>4</v>
      </c>
      <c r="I1975" s="3">
        <v>1</v>
      </c>
      <c r="J1975" s="3" t="s">
        <v>18</v>
      </c>
      <c r="K1975" s="5">
        <v>0.03</v>
      </c>
      <c r="L1975" s="6">
        <v>4640020779003</v>
      </c>
      <c r="M1975" s="7" t="s">
        <v>3971</v>
      </c>
      <c r="N1975" s="8">
        <f>VLOOKUP(B1975,'[1]новый без картинок'!$A$5:$F$2672,6,0)</f>
        <v>140</v>
      </c>
    </row>
    <row r="1976" spans="1:14" ht="149.44999999999999" customHeight="1" x14ac:dyDescent="0.2">
      <c r="A1976" s="3">
        <v>1974</v>
      </c>
      <c r="B1976" s="3">
        <v>986735</v>
      </c>
      <c r="C1976" s="4" t="str">
        <f>HYPERLINK("http://optservis.net:5080/photo?tov_code_internet=986735","Увеличить")</f>
        <v>Увеличить</v>
      </c>
      <c r="D1976" s="3" t="s">
        <v>3972</v>
      </c>
      <c r="E1976" s="3" t="s">
        <v>3973</v>
      </c>
      <c r="F1976" s="3" t="s">
        <v>3974</v>
      </c>
      <c r="G1976" s="3" t="s">
        <v>3975</v>
      </c>
      <c r="H1976" s="3">
        <v>3</v>
      </c>
      <c r="I1976" s="3">
        <v>1</v>
      </c>
      <c r="J1976" s="3" t="s">
        <v>18</v>
      </c>
      <c r="K1976" s="5">
        <v>0.03</v>
      </c>
      <c r="L1976" s="6">
        <v>4640020778730</v>
      </c>
      <c r="M1976" s="7" t="s">
        <v>3976</v>
      </c>
      <c r="N1976" s="8">
        <f>VLOOKUP(B1976,'[1]новый без картинок'!$A$5:$F$2672,6,0)</f>
        <v>57</v>
      </c>
    </row>
    <row r="1977" spans="1:14" ht="151.15" customHeight="1" x14ac:dyDescent="0.2">
      <c r="A1977" s="3">
        <v>1975</v>
      </c>
      <c r="B1977" s="3">
        <v>987521</v>
      </c>
      <c r="C1977" s="4" t="str">
        <f>HYPERLINK("http://optservis.net:5080/photo?tov_code_internet=987521","Увеличить")</f>
        <v>Увеличить</v>
      </c>
      <c r="D1977" s="3" t="s">
        <v>3972</v>
      </c>
      <c r="E1977" s="3" t="s">
        <v>3973</v>
      </c>
      <c r="F1977" s="3" t="s">
        <v>20</v>
      </c>
      <c r="G1977" s="3" t="s">
        <v>3977</v>
      </c>
      <c r="H1977" s="3">
        <v>3</v>
      </c>
      <c r="I1977" s="3">
        <v>1</v>
      </c>
      <c r="J1977" s="3" t="s">
        <v>18</v>
      </c>
      <c r="K1977" s="5">
        <v>0.03</v>
      </c>
      <c r="L1977" s="6">
        <v>4640020779782</v>
      </c>
      <c r="M1977" s="7" t="s">
        <v>3978</v>
      </c>
      <c r="N1977" s="8">
        <f>VLOOKUP(B1977,'[1]новый без картинок'!$A$5:$F$2672,6,0)</f>
        <v>59</v>
      </c>
    </row>
    <row r="1978" spans="1:14" ht="151.15" customHeight="1" x14ac:dyDescent="0.2">
      <c r="A1978" s="3">
        <v>1976</v>
      </c>
      <c r="B1978" s="3">
        <v>988283</v>
      </c>
      <c r="C1978" s="4" t="str">
        <f>HYPERLINK("http://optservis.net:5080/photo?tov_code_internet=988283","Увеличить")</f>
        <v>Увеличить</v>
      </c>
      <c r="D1978" s="3" t="s">
        <v>3979</v>
      </c>
      <c r="E1978" s="3" t="s">
        <v>3980</v>
      </c>
      <c r="F1978" s="3" t="s">
        <v>3981</v>
      </c>
      <c r="G1978" s="3" t="s">
        <v>788</v>
      </c>
      <c r="H1978" s="3">
        <v>7</v>
      </c>
      <c r="I1978" s="3">
        <v>1</v>
      </c>
      <c r="J1978" s="3" t="s">
        <v>18</v>
      </c>
      <c r="K1978" s="5">
        <v>0.44</v>
      </c>
      <c r="L1978" s="6">
        <v>4640020775487</v>
      </c>
      <c r="M1978" s="7" t="s">
        <v>3982</v>
      </c>
      <c r="N1978" s="8">
        <f>VLOOKUP(B1978,'[1]новый без картинок'!$A$5:$F$2672,6,0)</f>
        <v>100</v>
      </c>
    </row>
    <row r="1979" spans="1:14" ht="151.15" customHeight="1" x14ac:dyDescent="0.2">
      <c r="A1979" s="3">
        <v>1977</v>
      </c>
      <c r="B1979" s="3">
        <v>988284</v>
      </c>
      <c r="C1979" s="4" t="str">
        <f>HYPERLINK("http://optservis.net:5080/photo?tov_code_internet=988284","Увеличить")</f>
        <v>Увеличить</v>
      </c>
      <c r="D1979" s="3" t="s">
        <v>3979</v>
      </c>
      <c r="E1979" s="3" t="s">
        <v>3980</v>
      </c>
      <c r="F1979" s="3" t="s">
        <v>3983</v>
      </c>
      <c r="G1979" s="3" t="s">
        <v>788</v>
      </c>
      <c r="H1979" s="3">
        <v>7</v>
      </c>
      <c r="I1979" s="3">
        <v>1</v>
      </c>
      <c r="J1979" s="3" t="s">
        <v>18</v>
      </c>
      <c r="K1979" s="5">
        <v>0.44</v>
      </c>
      <c r="L1979" s="6">
        <v>4640020775494</v>
      </c>
      <c r="M1979" s="7" t="s">
        <v>3984</v>
      </c>
      <c r="N1979" s="8">
        <f>VLOOKUP(B1979,'[1]новый без картинок'!$A$5:$F$2672,6,0)</f>
        <v>100</v>
      </c>
    </row>
    <row r="1980" spans="1:14" ht="151.15" customHeight="1" x14ac:dyDescent="0.2">
      <c r="A1980" s="3">
        <v>1978</v>
      </c>
      <c r="B1980" s="3">
        <v>988285</v>
      </c>
      <c r="C1980" s="4" t="str">
        <f>HYPERLINK("http://optservis.net:5080/photo?tov_code_internet=988285","Увеличить")</f>
        <v>Увеличить</v>
      </c>
      <c r="D1980" s="3" t="s">
        <v>3979</v>
      </c>
      <c r="E1980" s="3" t="s">
        <v>3980</v>
      </c>
      <c r="F1980" s="3" t="s">
        <v>3985</v>
      </c>
      <c r="G1980" s="3" t="s">
        <v>788</v>
      </c>
      <c r="H1980" s="3">
        <v>7</v>
      </c>
      <c r="I1980" s="3">
        <v>1</v>
      </c>
      <c r="J1980" s="3" t="s">
        <v>18</v>
      </c>
      <c r="K1980" s="5">
        <v>0.44</v>
      </c>
      <c r="L1980" s="6">
        <v>4640020775500</v>
      </c>
      <c r="M1980" s="7" t="s">
        <v>3984</v>
      </c>
      <c r="N1980" s="8">
        <f>VLOOKUP(B1980,'[1]новый без картинок'!$A$5:$F$2672,6,0)</f>
        <v>100</v>
      </c>
    </row>
    <row r="1981" spans="1:14" ht="138.6" customHeight="1" x14ac:dyDescent="0.2">
      <c r="A1981" s="3">
        <v>1979</v>
      </c>
      <c r="B1981" s="3">
        <v>975055</v>
      </c>
      <c r="C1981" s="4" t="str">
        <f>HYPERLINK("http://optservis.net:5080/photo?tov_code_internet=975055","Увеличить")</f>
        <v>Увеличить</v>
      </c>
      <c r="D1981" s="3" t="s">
        <v>3986</v>
      </c>
      <c r="E1981" s="3" t="s">
        <v>3987</v>
      </c>
      <c r="F1981" s="3" t="s">
        <v>3981</v>
      </c>
      <c r="G1981" s="3" t="s">
        <v>788</v>
      </c>
      <c r="H1981" s="3">
        <v>7</v>
      </c>
      <c r="I1981" s="3">
        <v>1</v>
      </c>
      <c r="J1981" s="3" t="s">
        <v>18</v>
      </c>
      <c r="K1981" s="5">
        <v>0.44</v>
      </c>
      <c r="L1981" s="6">
        <v>4640020775432</v>
      </c>
      <c r="M1981" s="7" t="s">
        <v>3988</v>
      </c>
      <c r="N1981" s="8">
        <f>VLOOKUP(B1981,'[1]новый без картинок'!$A$5:$F$2672,6,0)</f>
        <v>92</v>
      </c>
    </row>
    <row r="1982" spans="1:14" ht="138.6" customHeight="1" x14ac:dyDescent="0.2">
      <c r="A1982" s="3">
        <v>1980</v>
      </c>
      <c r="B1982" s="3">
        <v>975056</v>
      </c>
      <c r="C1982" s="4" t="str">
        <f>HYPERLINK("http://optservis.net:5080/photo?tov_code_internet=975056","Увеличить")</f>
        <v>Увеличить</v>
      </c>
      <c r="D1982" s="3" t="s">
        <v>3986</v>
      </c>
      <c r="E1982" s="3" t="s">
        <v>3987</v>
      </c>
      <c r="F1982" s="3" t="s">
        <v>44</v>
      </c>
      <c r="G1982" s="3" t="s">
        <v>788</v>
      </c>
      <c r="H1982" s="3">
        <v>7</v>
      </c>
      <c r="I1982" s="3">
        <v>1</v>
      </c>
      <c r="J1982" s="3" t="s">
        <v>18</v>
      </c>
      <c r="K1982" s="5">
        <v>0.44</v>
      </c>
      <c r="L1982" s="6">
        <v>4640020775449</v>
      </c>
      <c r="M1982" s="7" t="s">
        <v>3988</v>
      </c>
      <c r="N1982" s="8">
        <f>VLOOKUP(B1982,'[1]новый без картинок'!$A$5:$F$2672,6,0)</f>
        <v>92</v>
      </c>
    </row>
    <row r="1983" spans="1:14" ht="138.6" customHeight="1" x14ac:dyDescent="0.2">
      <c r="A1983" s="3">
        <v>1981</v>
      </c>
      <c r="B1983" s="3">
        <v>975057</v>
      </c>
      <c r="C1983" s="4" t="str">
        <f>HYPERLINK("http://optservis.net:5080/photo?tov_code_internet=975057","Увеличить")</f>
        <v>Увеличить</v>
      </c>
      <c r="D1983" s="3" t="s">
        <v>3986</v>
      </c>
      <c r="E1983" s="3" t="s">
        <v>3987</v>
      </c>
      <c r="F1983" s="3" t="s">
        <v>3989</v>
      </c>
      <c r="G1983" s="3" t="s">
        <v>788</v>
      </c>
      <c r="H1983" s="3">
        <v>7</v>
      </c>
      <c r="I1983" s="3">
        <v>1</v>
      </c>
      <c r="J1983" s="3" t="s">
        <v>18</v>
      </c>
      <c r="K1983" s="5">
        <v>0.44</v>
      </c>
      <c r="L1983" s="6">
        <v>4640020775852</v>
      </c>
      <c r="M1983" s="7" t="s">
        <v>3990</v>
      </c>
      <c r="N1983" s="8">
        <f>VLOOKUP(B1983,'[1]новый без картинок'!$A$5:$F$2672,6,0)</f>
        <v>92</v>
      </c>
    </row>
    <row r="1984" spans="1:14" ht="138.6" customHeight="1" x14ac:dyDescent="0.2">
      <c r="A1984" s="3">
        <v>1982</v>
      </c>
      <c r="B1984" s="3">
        <v>975058</v>
      </c>
      <c r="C1984" s="4" t="str">
        <f>HYPERLINK("http://optservis.net:5080/photo?tov_code_internet=975058","Увеличить")</f>
        <v>Увеличить</v>
      </c>
      <c r="D1984" s="3" t="s">
        <v>3986</v>
      </c>
      <c r="E1984" s="3" t="s">
        <v>3987</v>
      </c>
      <c r="F1984" s="3" t="s">
        <v>3991</v>
      </c>
      <c r="G1984" s="3" t="s">
        <v>788</v>
      </c>
      <c r="H1984" s="3">
        <v>7</v>
      </c>
      <c r="I1984" s="3">
        <v>1</v>
      </c>
      <c r="J1984" s="3" t="s">
        <v>18</v>
      </c>
      <c r="K1984" s="5">
        <v>0.44</v>
      </c>
      <c r="L1984" s="6">
        <v>4640020775456</v>
      </c>
      <c r="M1984" s="7" t="s">
        <v>3988</v>
      </c>
      <c r="N1984" s="8">
        <f>VLOOKUP(B1984,'[1]новый без картинок'!$A$5:$F$2672,6,0)</f>
        <v>92</v>
      </c>
    </row>
    <row r="1985" spans="1:14" ht="138.6" customHeight="1" x14ac:dyDescent="0.2">
      <c r="A1985" s="3">
        <v>1983</v>
      </c>
      <c r="B1985" s="3">
        <v>975059</v>
      </c>
      <c r="C1985" s="4" t="str">
        <f>HYPERLINK("http://optservis.net:5080/photo?tov_code_internet=975059","Увеличить")</f>
        <v>Увеличить</v>
      </c>
      <c r="D1985" s="3" t="s">
        <v>3986</v>
      </c>
      <c r="E1985" s="3" t="s">
        <v>3987</v>
      </c>
      <c r="F1985" s="3" t="s">
        <v>3992</v>
      </c>
      <c r="G1985" s="3" t="s">
        <v>788</v>
      </c>
      <c r="H1985" s="3">
        <v>7</v>
      </c>
      <c r="I1985" s="3">
        <v>1</v>
      </c>
      <c r="J1985" s="3" t="s">
        <v>18</v>
      </c>
      <c r="K1985" s="5">
        <v>0.44</v>
      </c>
      <c r="L1985" s="6">
        <v>4640020775463</v>
      </c>
      <c r="M1985" s="7" t="s">
        <v>3988</v>
      </c>
      <c r="N1985" s="8">
        <f>VLOOKUP(B1985,'[1]новый без картинок'!$A$5:$F$2672,6,0)</f>
        <v>92</v>
      </c>
    </row>
    <row r="1986" spans="1:14" ht="138.6" customHeight="1" x14ac:dyDescent="0.2">
      <c r="A1986" s="3">
        <v>1984</v>
      </c>
      <c r="B1986" s="3">
        <v>975060</v>
      </c>
      <c r="C1986" s="4" t="str">
        <f>HYPERLINK("http://optservis.net:5080/photo?tov_code_internet=975060","Увеличить")</f>
        <v>Увеличить</v>
      </c>
      <c r="D1986" s="3" t="s">
        <v>3986</v>
      </c>
      <c r="E1986" s="3" t="s">
        <v>3987</v>
      </c>
      <c r="F1986" s="3" t="s">
        <v>3983</v>
      </c>
      <c r="G1986" s="3" t="s">
        <v>788</v>
      </c>
      <c r="H1986" s="3">
        <v>7</v>
      </c>
      <c r="I1986" s="3">
        <v>1</v>
      </c>
      <c r="J1986" s="3" t="s">
        <v>18</v>
      </c>
      <c r="K1986" s="5">
        <v>0.44</v>
      </c>
      <c r="L1986" s="6">
        <v>4640020775869</v>
      </c>
      <c r="M1986" s="7" t="s">
        <v>3988</v>
      </c>
      <c r="N1986" s="8">
        <f>VLOOKUP(B1986,'[1]новый без картинок'!$A$5:$F$2672,6,0)</f>
        <v>92</v>
      </c>
    </row>
    <row r="1987" spans="1:14" ht="138.6" customHeight="1" x14ac:dyDescent="0.2">
      <c r="A1987" s="3">
        <v>1985</v>
      </c>
      <c r="B1987" s="3">
        <v>975061</v>
      </c>
      <c r="C1987" s="4" t="str">
        <f>HYPERLINK("http://optservis.net:5080/photo?tov_code_internet=975061","Увеличить")</f>
        <v>Увеличить</v>
      </c>
      <c r="D1987" s="3" t="s">
        <v>3986</v>
      </c>
      <c r="E1987" s="3" t="s">
        <v>3987</v>
      </c>
      <c r="F1987" s="3" t="s">
        <v>3993</v>
      </c>
      <c r="G1987" s="3" t="s">
        <v>788</v>
      </c>
      <c r="H1987" s="3">
        <v>7</v>
      </c>
      <c r="I1987" s="3">
        <v>1</v>
      </c>
      <c r="J1987" s="3" t="s">
        <v>18</v>
      </c>
      <c r="K1987" s="5">
        <v>0.44</v>
      </c>
      <c r="L1987" s="6">
        <v>4640020775470</v>
      </c>
      <c r="M1987" s="7" t="s">
        <v>3988</v>
      </c>
      <c r="N1987" s="8">
        <f>VLOOKUP(B1987,'[1]новый без картинок'!$A$5:$F$2672,6,0)</f>
        <v>92</v>
      </c>
    </row>
    <row r="1988" spans="1:14" ht="138.6" customHeight="1" x14ac:dyDescent="0.2">
      <c r="A1988" s="3">
        <v>1986</v>
      </c>
      <c r="B1988" s="3">
        <v>975062</v>
      </c>
      <c r="C1988" s="4" t="str">
        <f>HYPERLINK("http://optservis.net:5080/photo?tov_code_internet=975062","Увеличить")</f>
        <v>Увеличить</v>
      </c>
      <c r="D1988" s="3" t="s">
        <v>3986</v>
      </c>
      <c r="E1988" s="3" t="s">
        <v>3987</v>
      </c>
      <c r="F1988" s="3" t="s">
        <v>3994</v>
      </c>
      <c r="G1988" s="3" t="s">
        <v>788</v>
      </c>
      <c r="H1988" s="3">
        <v>7</v>
      </c>
      <c r="I1988" s="3">
        <v>1</v>
      </c>
      <c r="J1988" s="3" t="s">
        <v>18</v>
      </c>
      <c r="K1988" s="5">
        <v>0.44</v>
      </c>
      <c r="L1988" s="6">
        <v>4640020775876</v>
      </c>
      <c r="M1988" s="7" t="s">
        <v>3990</v>
      </c>
      <c r="N1988" s="8">
        <f>VLOOKUP(B1988,'[1]новый без картинок'!$A$5:$F$2672,6,0)</f>
        <v>92</v>
      </c>
    </row>
    <row r="1989" spans="1:14" ht="138.6" customHeight="1" x14ac:dyDescent="0.2">
      <c r="A1989" s="3">
        <v>1987</v>
      </c>
      <c r="B1989" s="3">
        <v>975063</v>
      </c>
      <c r="C1989" s="4" t="str">
        <f>HYPERLINK("http://optservis.net:5080/photo?tov_code_internet=975063","Увеличить")</f>
        <v>Увеличить</v>
      </c>
      <c r="D1989" s="3" t="s">
        <v>3986</v>
      </c>
      <c r="E1989" s="3" t="s">
        <v>3987</v>
      </c>
      <c r="F1989" s="3" t="s">
        <v>3995</v>
      </c>
      <c r="G1989" s="3" t="s">
        <v>788</v>
      </c>
      <c r="H1989" s="3">
        <v>7</v>
      </c>
      <c r="I1989" s="3">
        <v>1</v>
      </c>
      <c r="J1989" s="3" t="s">
        <v>18</v>
      </c>
      <c r="K1989" s="5">
        <v>0.44</v>
      </c>
      <c r="L1989" s="6">
        <v>4640020775883</v>
      </c>
      <c r="M1989" s="7" t="s">
        <v>3988</v>
      </c>
      <c r="N1989" s="8">
        <f>VLOOKUP(B1989,'[1]новый без картинок'!$A$5:$F$2672,6,0)</f>
        <v>92</v>
      </c>
    </row>
    <row r="1990" spans="1:14" ht="138.6" customHeight="1" x14ac:dyDescent="0.2">
      <c r="A1990" s="3">
        <v>1988</v>
      </c>
      <c r="B1990" s="3">
        <v>138993</v>
      </c>
      <c r="C1990" s="4" t="str">
        <f>HYPERLINK("http://optservis.net:5080/photo?tov_code_internet=138993","Увеличить")</f>
        <v>Увеличить</v>
      </c>
      <c r="D1990" s="3" t="s">
        <v>3986</v>
      </c>
      <c r="E1990" s="3" t="s">
        <v>3987</v>
      </c>
      <c r="F1990" s="3" t="s">
        <v>3816</v>
      </c>
      <c r="G1990" s="3" t="s">
        <v>788</v>
      </c>
      <c r="H1990" s="3">
        <v>7</v>
      </c>
      <c r="I1990" s="3">
        <v>1</v>
      </c>
      <c r="J1990" s="3" t="s">
        <v>18</v>
      </c>
      <c r="K1990" s="5">
        <v>0.44</v>
      </c>
      <c r="L1990" s="6">
        <v>4690654002121</v>
      </c>
      <c r="M1990" s="7" t="s">
        <v>3996</v>
      </c>
      <c r="N1990" s="8">
        <f>VLOOKUP(B1990,'[1]новый без картинок'!$A$5:$F$2672,6,0)</f>
        <v>92</v>
      </c>
    </row>
    <row r="1991" spans="1:14" ht="138.6" customHeight="1" x14ac:dyDescent="0.2">
      <c r="A1991" s="3">
        <v>1989</v>
      </c>
      <c r="B1991" s="3">
        <v>975064</v>
      </c>
      <c r="C1991" s="4" t="str">
        <f>HYPERLINK("http://optservis.net:5080/photo?tov_code_internet=975064","Увеличить")</f>
        <v>Увеличить</v>
      </c>
      <c r="D1991" s="3" t="s">
        <v>3986</v>
      </c>
      <c r="E1991" s="3" t="s">
        <v>3987</v>
      </c>
      <c r="F1991" s="3" t="s">
        <v>46</v>
      </c>
      <c r="G1991" s="3" t="s">
        <v>788</v>
      </c>
      <c r="H1991" s="3">
        <v>7</v>
      </c>
      <c r="I1991" s="3">
        <v>1</v>
      </c>
      <c r="J1991" s="3" t="s">
        <v>18</v>
      </c>
      <c r="K1991" s="5">
        <v>0.44</v>
      </c>
      <c r="L1991" s="6">
        <v>4640020775890</v>
      </c>
      <c r="M1991" s="7" t="s">
        <v>3988</v>
      </c>
      <c r="N1991" s="8">
        <f>VLOOKUP(B1991,'[1]новый без картинок'!$A$5:$F$2672,6,0)</f>
        <v>92</v>
      </c>
    </row>
    <row r="1992" spans="1:14" ht="138.6" customHeight="1" x14ac:dyDescent="0.2">
      <c r="A1992" s="3">
        <v>1990</v>
      </c>
      <c r="B1992" s="3">
        <v>980662</v>
      </c>
      <c r="C1992" s="4" t="str">
        <f>HYPERLINK("http://optservis.net:5080/photo?tov_code_internet=980662","Увеличить")</f>
        <v>Увеличить</v>
      </c>
      <c r="D1992" s="3" t="s">
        <v>3997</v>
      </c>
      <c r="E1992" s="3" t="s">
        <v>3998</v>
      </c>
      <c r="F1992" s="3" t="s">
        <v>3981</v>
      </c>
      <c r="G1992" s="3" t="s">
        <v>788</v>
      </c>
      <c r="H1992" s="3">
        <v>7</v>
      </c>
      <c r="I1992" s="3">
        <v>1</v>
      </c>
      <c r="J1992" s="3" t="s">
        <v>18</v>
      </c>
      <c r="K1992" s="5">
        <v>0.43</v>
      </c>
      <c r="L1992" s="6">
        <v>4640020775388</v>
      </c>
      <c r="M1992" s="7" t="s">
        <v>3999</v>
      </c>
      <c r="N1992" s="8">
        <f>VLOOKUP(B1992,'[1]новый без картинок'!$A$5:$F$2672,6,0)</f>
        <v>98</v>
      </c>
    </row>
    <row r="1993" spans="1:14" ht="138.6" customHeight="1" x14ac:dyDescent="0.2">
      <c r="A1993" s="3">
        <v>1991</v>
      </c>
      <c r="B1993" s="3">
        <v>980663</v>
      </c>
      <c r="C1993" s="4" t="str">
        <f>HYPERLINK("http://optservis.net:5080/photo?tov_code_internet=980663","Увеличить")</f>
        <v>Увеличить</v>
      </c>
      <c r="D1993" s="3" t="s">
        <v>3997</v>
      </c>
      <c r="E1993" s="3" t="s">
        <v>3998</v>
      </c>
      <c r="F1993" s="3" t="s">
        <v>44</v>
      </c>
      <c r="G1993" s="3" t="s">
        <v>788</v>
      </c>
      <c r="H1993" s="3">
        <v>7</v>
      </c>
      <c r="I1993" s="3">
        <v>1</v>
      </c>
      <c r="J1993" s="3" t="s">
        <v>18</v>
      </c>
      <c r="K1993" s="5">
        <v>0.44</v>
      </c>
      <c r="L1993" s="6">
        <v>4640020775395</v>
      </c>
      <c r="M1993" s="7" t="s">
        <v>3999</v>
      </c>
      <c r="N1993" s="8">
        <f>VLOOKUP(B1993,'[1]новый без картинок'!$A$5:$F$2672,6,0)</f>
        <v>98</v>
      </c>
    </row>
    <row r="1994" spans="1:14" ht="138.6" customHeight="1" x14ac:dyDescent="0.2">
      <c r="A1994" s="3">
        <v>1992</v>
      </c>
      <c r="B1994" s="3">
        <v>980664</v>
      </c>
      <c r="C1994" s="4" t="str">
        <f>HYPERLINK("http://optservis.net:5080/photo?tov_code_internet=980664","Увеличить")</f>
        <v>Увеличить</v>
      </c>
      <c r="D1994" s="3" t="s">
        <v>3997</v>
      </c>
      <c r="E1994" s="3" t="s">
        <v>3998</v>
      </c>
      <c r="F1994" s="3" t="s">
        <v>3989</v>
      </c>
      <c r="G1994" s="3" t="s">
        <v>788</v>
      </c>
      <c r="H1994" s="3">
        <v>7</v>
      </c>
      <c r="I1994" s="3">
        <v>1</v>
      </c>
      <c r="J1994" s="3" t="s">
        <v>18</v>
      </c>
      <c r="K1994" s="5">
        <v>0.43</v>
      </c>
      <c r="L1994" s="6">
        <v>4640020775906</v>
      </c>
      <c r="M1994" s="7" t="s">
        <v>4000</v>
      </c>
      <c r="N1994" s="8">
        <f>VLOOKUP(B1994,'[1]новый без картинок'!$A$5:$F$2672,6,0)</f>
        <v>98</v>
      </c>
    </row>
    <row r="1995" spans="1:14" ht="138.6" customHeight="1" x14ac:dyDescent="0.2">
      <c r="A1995" s="3">
        <v>1993</v>
      </c>
      <c r="B1995" s="3">
        <v>980665</v>
      </c>
      <c r="C1995" s="4" t="str">
        <f>HYPERLINK("http://optservis.net:5080/photo?tov_code_internet=980665","Увеличить")</f>
        <v>Увеличить</v>
      </c>
      <c r="D1995" s="3" t="s">
        <v>3997</v>
      </c>
      <c r="E1995" s="3" t="s">
        <v>3998</v>
      </c>
      <c r="F1995" s="3" t="s">
        <v>3991</v>
      </c>
      <c r="G1995" s="3" t="s">
        <v>788</v>
      </c>
      <c r="H1995" s="3">
        <v>7</v>
      </c>
      <c r="I1995" s="3">
        <v>1</v>
      </c>
      <c r="J1995" s="3" t="s">
        <v>18</v>
      </c>
      <c r="K1995" s="5">
        <v>0.43</v>
      </c>
      <c r="L1995" s="6">
        <v>4640020775401</v>
      </c>
      <c r="M1995" s="7" t="s">
        <v>4001</v>
      </c>
      <c r="N1995" s="8">
        <f>VLOOKUP(B1995,'[1]новый без картинок'!$A$5:$F$2672,6,0)</f>
        <v>98</v>
      </c>
    </row>
    <row r="1996" spans="1:14" ht="138.6" customHeight="1" x14ac:dyDescent="0.2">
      <c r="A1996" s="3">
        <v>1994</v>
      </c>
      <c r="B1996" s="3">
        <v>980666</v>
      </c>
      <c r="C1996" s="4" t="str">
        <f>HYPERLINK("http://optservis.net:5080/photo?tov_code_internet=980666","Увеличить")</f>
        <v>Увеличить</v>
      </c>
      <c r="D1996" s="3" t="s">
        <v>3997</v>
      </c>
      <c r="E1996" s="3" t="s">
        <v>3998</v>
      </c>
      <c r="F1996" s="3" t="s">
        <v>3992</v>
      </c>
      <c r="G1996" s="3" t="s">
        <v>788</v>
      </c>
      <c r="H1996" s="3">
        <v>7</v>
      </c>
      <c r="I1996" s="3">
        <v>1</v>
      </c>
      <c r="J1996" s="3" t="s">
        <v>18</v>
      </c>
      <c r="K1996" s="5">
        <v>0.43</v>
      </c>
      <c r="L1996" s="6">
        <v>4640020775913</v>
      </c>
      <c r="M1996" s="7" t="s">
        <v>4002</v>
      </c>
      <c r="N1996" s="8">
        <f>VLOOKUP(B1996,'[1]новый без картинок'!$A$5:$F$2672,6,0)</f>
        <v>98</v>
      </c>
    </row>
    <row r="1997" spans="1:14" ht="138.6" customHeight="1" x14ac:dyDescent="0.2">
      <c r="A1997" s="3">
        <v>1995</v>
      </c>
      <c r="B1997" s="3">
        <v>980667</v>
      </c>
      <c r="C1997" s="4" t="str">
        <f>HYPERLINK("http://optservis.net:5080/photo?tov_code_internet=980667","Увеличить")</f>
        <v>Увеличить</v>
      </c>
      <c r="D1997" s="3" t="s">
        <v>3997</v>
      </c>
      <c r="E1997" s="3" t="s">
        <v>3998</v>
      </c>
      <c r="F1997" s="3" t="s">
        <v>3983</v>
      </c>
      <c r="G1997" s="3" t="s">
        <v>788</v>
      </c>
      <c r="H1997" s="3">
        <v>7</v>
      </c>
      <c r="I1997" s="3">
        <v>1</v>
      </c>
      <c r="J1997" s="3" t="s">
        <v>18</v>
      </c>
      <c r="K1997" s="5">
        <v>0.43</v>
      </c>
      <c r="L1997" s="6">
        <v>4640020775920</v>
      </c>
      <c r="M1997" s="7" t="s">
        <v>4003</v>
      </c>
      <c r="N1997" s="8">
        <f>VLOOKUP(B1997,'[1]новый без картинок'!$A$5:$F$2672,6,0)</f>
        <v>98</v>
      </c>
    </row>
    <row r="1998" spans="1:14" ht="138.6" customHeight="1" x14ac:dyDescent="0.2">
      <c r="A1998" s="3">
        <v>1996</v>
      </c>
      <c r="B1998" s="3">
        <v>980668</v>
      </c>
      <c r="C1998" s="4" t="str">
        <f>HYPERLINK("http://optservis.net:5080/photo?tov_code_internet=980668","Увеличить")</f>
        <v>Увеличить</v>
      </c>
      <c r="D1998" s="3" t="s">
        <v>3997</v>
      </c>
      <c r="E1998" s="3" t="s">
        <v>3998</v>
      </c>
      <c r="F1998" s="3" t="s">
        <v>3993</v>
      </c>
      <c r="G1998" s="3" t="s">
        <v>788</v>
      </c>
      <c r="H1998" s="3">
        <v>7</v>
      </c>
      <c r="I1998" s="3">
        <v>1</v>
      </c>
      <c r="J1998" s="3" t="s">
        <v>18</v>
      </c>
      <c r="K1998" s="5">
        <v>0.42</v>
      </c>
      <c r="L1998" s="6">
        <v>4640020775418</v>
      </c>
      <c r="M1998" s="7" t="s">
        <v>3999</v>
      </c>
      <c r="N1998" s="8">
        <f>VLOOKUP(B1998,'[1]новый без картинок'!$A$5:$F$2672,6,0)</f>
        <v>98</v>
      </c>
    </row>
    <row r="1999" spans="1:14" ht="138.6" customHeight="1" x14ac:dyDescent="0.2">
      <c r="A1999" s="3">
        <v>1997</v>
      </c>
      <c r="B1999" s="3">
        <v>980669</v>
      </c>
      <c r="C1999" s="4" t="str">
        <f>HYPERLINK("http://optservis.net:5080/photo?tov_code_internet=980669","Увеличить")</f>
        <v>Увеличить</v>
      </c>
      <c r="D1999" s="3" t="s">
        <v>3997</v>
      </c>
      <c r="E1999" s="3" t="s">
        <v>3998</v>
      </c>
      <c r="F1999" s="3" t="s">
        <v>3994</v>
      </c>
      <c r="G1999" s="3" t="s">
        <v>788</v>
      </c>
      <c r="H1999" s="3">
        <v>7</v>
      </c>
      <c r="I1999" s="3">
        <v>1</v>
      </c>
      <c r="J1999" s="3" t="s">
        <v>18</v>
      </c>
      <c r="K1999" s="5">
        <v>0.43</v>
      </c>
      <c r="L1999" s="6">
        <v>4640020775937</v>
      </c>
      <c r="M1999" s="7" t="s">
        <v>4004</v>
      </c>
      <c r="N1999" s="8">
        <f>VLOOKUP(B1999,'[1]новый без картинок'!$A$5:$F$2672,6,0)</f>
        <v>98</v>
      </c>
    </row>
    <row r="2000" spans="1:14" ht="138.6" customHeight="1" x14ac:dyDescent="0.2">
      <c r="A2000" s="3">
        <v>1998</v>
      </c>
      <c r="B2000" s="3">
        <v>980670</v>
      </c>
      <c r="C2000" s="4" t="str">
        <f>HYPERLINK("http://optservis.net:5080/photo?tov_code_internet=980670","Увеличить")</f>
        <v>Увеличить</v>
      </c>
      <c r="D2000" s="3" t="s">
        <v>3997</v>
      </c>
      <c r="E2000" s="3" t="s">
        <v>3998</v>
      </c>
      <c r="F2000" s="3" t="s">
        <v>3995</v>
      </c>
      <c r="G2000" s="3" t="s">
        <v>788</v>
      </c>
      <c r="H2000" s="3">
        <v>7</v>
      </c>
      <c r="I2000" s="3">
        <v>1</v>
      </c>
      <c r="J2000" s="3" t="s">
        <v>18</v>
      </c>
      <c r="K2000" s="5">
        <v>0.43</v>
      </c>
      <c r="L2000" s="6">
        <v>4640020775944</v>
      </c>
      <c r="M2000" s="7" t="s">
        <v>4005</v>
      </c>
      <c r="N2000" s="8">
        <f>VLOOKUP(B2000,'[1]новый без картинок'!$A$5:$F$2672,6,0)</f>
        <v>98</v>
      </c>
    </row>
    <row r="2001" spans="1:14" ht="138.6" customHeight="1" x14ac:dyDescent="0.2">
      <c r="A2001" s="3">
        <v>1999</v>
      </c>
      <c r="B2001" s="3">
        <v>980671</v>
      </c>
      <c r="C2001" s="4" t="str">
        <f>HYPERLINK("http://optservis.net:5080/photo?tov_code_internet=980671","Увеличить")</f>
        <v>Увеличить</v>
      </c>
      <c r="D2001" s="3" t="s">
        <v>3997</v>
      </c>
      <c r="E2001" s="3" t="s">
        <v>3998</v>
      </c>
      <c r="F2001" s="3" t="s">
        <v>46</v>
      </c>
      <c r="G2001" s="3" t="s">
        <v>788</v>
      </c>
      <c r="H2001" s="3">
        <v>7</v>
      </c>
      <c r="I2001" s="3">
        <v>1</v>
      </c>
      <c r="J2001" s="3" t="s">
        <v>18</v>
      </c>
      <c r="K2001" s="5">
        <v>0.44</v>
      </c>
      <c r="L2001" s="6">
        <v>4640020775425</v>
      </c>
      <c r="M2001" s="7" t="s">
        <v>3999</v>
      </c>
      <c r="N2001" s="8">
        <f>VLOOKUP(B2001,'[1]новый без картинок'!$A$5:$F$2672,6,0)</f>
        <v>98</v>
      </c>
    </row>
    <row r="2002" spans="1:14" ht="149.44999999999999" customHeight="1" x14ac:dyDescent="0.2">
      <c r="A2002" s="3">
        <v>2000</v>
      </c>
      <c r="B2002" s="3">
        <v>12746</v>
      </c>
      <c r="C2002" s="4" t="str">
        <f>HYPERLINK("http://optservis.net:5080/photo?tov_code_internet=12746","Увеличить")</f>
        <v>Увеличить</v>
      </c>
      <c r="D2002" s="3" t="s">
        <v>4006</v>
      </c>
      <c r="E2002" s="3" t="s">
        <v>4007</v>
      </c>
      <c r="F2002" s="3" t="s">
        <v>1155</v>
      </c>
      <c r="G2002" s="3" t="s">
        <v>788</v>
      </c>
      <c r="H2002" s="3">
        <v>10</v>
      </c>
      <c r="I2002" s="3">
        <v>1</v>
      </c>
      <c r="J2002" s="3" t="s">
        <v>18</v>
      </c>
      <c r="K2002" s="5">
        <v>0.12</v>
      </c>
      <c r="L2002" s="6">
        <v>4640020779843</v>
      </c>
      <c r="M2002" s="7" t="s">
        <v>4008</v>
      </c>
      <c r="N2002" s="8">
        <f>VLOOKUP(B2002,'[1]новый без картинок'!$A$5:$F$2672,6,0)</f>
        <v>46</v>
      </c>
    </row>
    <row r="2003" spans="1:14" ht="149.44999999999999" customHeight="1" x14ac:dyDescent="0.2">
      <c r="A2003" s="3">
        <v>2001</v>
      </c>
      <c r="B2003" s="3">
        <v>12856</v>
      </c>
      <c r="C2003" s="4" t="str">
        <f>HYPERLINK("http://optservis.net:5080/photo?tov_code_internet=12856","Увеличить")</f>
        <v>Увеличить</v>
      </c>
      <c r="D2003" s="3" t="s">
        <v>4006</v>
      </c>
      <c r="E2003" s="3" t="s">
        <v>4007</v>
      </c>
      <c r="F2003" s="3" t="s">
        <v>68</v>
      </c>
      <c r="G2003" s="3" t="s">
        <v>788</v>
      </c>
      <c r="H2003" s="3">
        <v>10</v>
      </c>
      <c r="I2003" s="3">
        <v>1</v>
      </c>
      <c r="J2003" s="3" t="s">
        <v>18</v>
      </c>
      <c r="K2003" s="5">
        <v>0.12</v>
      </c>
      <c r="L2003" s="6">
        <v>4640020779850</v>
      </c>
      <c r="M2003" s="7" t="s">
        <v>4008</v>
      </c>
      <c r="N2003" s="8">
        <f>VLOOKUP(B2003,'[1]новый без картинок'!$A$5:$F$2672,6,0)</f>
        <v>46</v>
      </c>
    </row>
    <row r="2004" spans="1:14" ht="149.44999999999999" customHeight="1" x14ac:dyDescent="0.2">
      <c r="A2004" s="3">
        <v>2002</v>
      </c>
      <c r="B2004" s="3">
        <v>377341</v>
      </c>
      <c r="C2004" s="4" t="str">
        <f>HYPERLINK("http://optservis.net:5080/photo?tov_code_internet=377341","Увеличить")</f>
        <v>Увеличить</v>
      </c>
      <c r="D2004" s="3" t="s">
        <v>4006</v>
      </c>
      <c r="E2004" s="3" t="s">
        <v>4007</v>
      </c>
      <c r="F2004" s="3" t="s">
        <v>3840</v>
      </c>
      <c r="G2004" s="3" t="s">
        <v>788</v>
      </c>
      <c r="H2004" s="3">
        <v>10</v>
      </c>
      <c r="I2004" s="3">
        <v>1</v>
      </c>
      <c r="J2004" s="3" t="s">
        <v>18</v>
      </c>
      <c r="K2004" s="5">
        <v>0.12</v>
      </c>
      <c r="L2004" s="6">
        <v>4640020779867</v>
      </c>
      <c r="M2004" s="7" t="s">
        <v>4008</v>
      </c>
      <c r="N2004" s="8">
        <f>VLOOKUP(B2004,'[1]новый без картинок'!$A$5:$F$2672,6,0)</f>
        <v>46</v>
      </c>
    </row>
    <row r="2005" spans="1:14" ht="153" customHeight="1" x14ac:dyDescent="0.2">
      <c r="A2005" s="3">
        <v>2003</v>
      </c>
      <c r="B2005" s="3">
        <v>162880</v>
      </c>
      <c r="C2005" s="4" t="str">
        <f>HYPERLINK("http://optservis.net:5080/photo?tov_code_internet=162880","Увеличить")</f>
        <v>Увеличить</v>
      </c>
      <c r="D2005" s="3" t="s">
        <v>4006</v>
      </c>
      <c r="E2005" s="3" t="s">
        <v>4007</v>
      </c>
      <c r="F2005" s="3" t="s">
        <v>4009</v>
      </c>
      <c r="G2005" s="3" t="s">
        <v>788</v>
      </c>
      <c r="H2005" s="3">
        <v>10</v>
      </c>
      <c r="I2005" s="3">
        <v>1</v>
      </c>
      <c r="J2005" s="3" t="s">
        <v>18</v>
      </c>
      <c r="K2005" s="5">
        <v>0.12</v>
      </c>
      <c r="L2005" s="6">
        <v>4690654006723</v>
      </c>
      <c r="M2005" s="7" t="s">
        <v>4010</v>
      </c>
      <c r="N2005" s="8">
        <f>VLOOKUP(B2005,'[1]новый без картинок'!$A$5:$F$2672,6,0)</f>
        <v>46</v>
      </c>
    </row>
    <row r="2006" spans="1:14" ht="153" customHeight="1" x14ac:dyDescent="0.2">
      <c r="A2006" s="3">
        <v>2004</v>
      </c>
      <c r="B2006" s="3">
        <v>164273</v>
      </c>
      <c r="C2006" s="4" t="str">
        <f>HYPERLINK("http://optservis.net:5080/photo?tov_code_internet=164273","Увеличить")</f>
        <v>Увеличить</v>
      </c>
      <c r="D2006" s="3" t="s">
        <v>4006</v>
      </c>
      <c r="E2006" s="3" t="s">
        <v>4007</v>
      </c>
      <c r="F2006" s="3" t="s">
        <v>3813</v>
      </c>
      <c r="G2006" s="3" t="s">
        <v>788</v>
      </c>
      <c r="H2006" s="3">
        <v>10</v>
      </c>
      <c r="I2006" s="3">
        <v>1</v>
      </c>
      <c r="J2006" s="3" t="s">
        <v>18</v>
      </c>
      <c r="K2006" s="5">
        <v>0.12</v>
      </c>
      <c r="L2006" s="6">
        <v>4690654007263</v>
      </c>
      <c r="M2006" s="7" t="s">
        <v>4010</v>
      </c>
      <c r="N2006" s="8">
        <f>VLOOKUP(B2006,'[1]новый без картинок'!$A$5:$F$2672,6,0)</f>
        <v>46</v>
      </c>
    </row>
    <row r="2007" spans="1:14" ht="153" customHeight="1" x14ac:dyDescent="0.2">
      <c r="A2007" s="3">
        <v>2005</v>
      </c>
      <c r="B2007" s="3">
        <v>170402</v>
      </c>
      <c r="C2007" s="4" t="str">
        <f>HYPERLINK("http://optservis.net:5080/photo?tov_code_internet=170402","Увеличить")</f>
        <v>Увеличить</v>
      </c>
      <c r="D2007" s="3" t="s">
        <v>4006</v>
      </c>
      <c r="E2007" s="3" t="s">
        <v>4007</v>
      </c>
      <c r="F2007" s="3" t="s">
        <v>844</v>
      </c>
      <c r="G2007" s="3" t="s">
        <v>788</v>
      </c>
      <c r="H2007" s="3">
        <v>10</v>
      </c>
      <c r="I2007" s="3">
        <v>1</v>
      </c>
      <c r="J2007" s="3" t="s">
        <v>18</v>
      </c>
      <c r="K2007" s="5">
        <v>0.12</v>
      </c>
      <c r="L2007" s="6">
        <v>4690654008871</v>
      </c>
      <c r="M2007" s="7" t="s">
        <v>4010</v>
      </c>
      <c r="N2007" s="8">
        <f>VLOOKUP(B2007,'[1]новый без картинок'!$A$5:$F$2672,6,0)</f>
        <v>46</v>
      </c>
    </row>
    <row r="2008" spans="1:14" ht="153" customHeight="1" x14ac:dyDescent="0.2">
      <c r="A2008" s="3">
        <v>2006</v>
      </c>
      <c r="B2008" s="3">
        <v>169997</v>
      </c>
      <c r="C2008" s="4" t="str">
        <f>HYPERLINK("http://optservis.net:5080/photo?tov_code_internet=169997","Увеличить")</f>
        <v>Увеличить</v>
      </c>
      <c r="D2008" s="3" t="s">
        <v>4006</v>
      </c>
      <c r="E2008" s="3" t="s">
        <v>4007</v>
      </c>
      <c r="F2008" s="3" t="s">
        <v>3795</v>
      </c>
      <c r="G2008" s="3" t="s">
        <v>788</v>
      </c>
      <c r="H2008" s="3">
        <v>10</v>
      </c>
      <c r="I2008" s="3">
        <v>1</v>
      </c>
      <c r="J2008" s="3" t="s">
        <v>18</v>
      </c>
      <c r="K2008" s="5">
        <v>0.12</v>
      </c>
      <c r="L2008" s="6">
        <v>4690654008604</v>
      </c>
      <c r="M2008" s="7" t="s">
        <v>4010</v>
      </c>
      <c r="N2008" s="8">
        <f>VLOOKUP(B2008,'[1]новый без картинок'!$A$5:$F$2672,6,0)</f>
        <v>46</v>
      </c>
    </row>
    <row r="2009" spans="1:14" ht="153" customHeight="1" x14ac:dyDescent="0.2">
      <c r="A2009" s="3">
        <v>2007</v>
      </c>
      <c r="B2009" s="3">
        <v>175557</v>
      </c>
      <c r="C2009" s="4" t="str">
        <f>HYPERLINK("http://optservis.net:5080/photo?tov_code_internet=175557","Увеличить")</f>
        <v>Увеличить</v>
      </c>
      <c r="D2009" s="3" t="s">
        <v>4006</v>
      </c>
      <c r="E2009" s="3" t="s">
        <v>4007</v>
      </c>
      <c r="F2009" s="3" t="s">
        <v>4011</v>
      </c>
      <c r="G2009" s="3" t="s">
        <v>788</v>
      </c>
      <c r="H2009" s="3">
        <v>10</v>
      </c>
      <c r="I2009" s="3">
        <v>1</v>
      </c>
      <c r="J2009" s="3" t="s">
        <v>18</v>
      </c>
      <c r="K2009" s="5">
        <v>0.12</v>
      </c>
      <c r="L2009" s="6">
        <v>4690654009892</v>
      </c>
      <c r="M2009" s="7" t="s">
        <v>4010</v>
      </c>
      <c r="N2009" s="8">
        <f>VLOOKUP(B2009,'[1]новый без картинок'!$A$5:$F$2672,6,0)</f>
        <v>46</v>
      </c>
    </row>
    <row r="2010" spans="1:14" ht="153" customHeight="1" x14ac:dyDescent="0.2">
      <c r="A2010" s="3">
        <v>2008</v>
      </c>
      <c r="B2010" s="3">
        <v>175838</v>
      </c>
      <c r="C2010" s="4" t="str">
        <f>HYPERLINK("http://optservis.net:5080/photo?tov_code_internet=175838","Увеличить")</f>
        <v>Увеличить</v>
      </c>
      <c r="D2010" s="3" t="s">
        <v>4006</v>
      </c>
      <c r="E2010" s="3" t="s">
        <v>4007</v>
      </c>
      <c r="F2010" s="3" t="s">
        <v>3845</v>
      </c>
      <c r="G2010" s="3" t="s">
        <v>788</v>
      </c>
      <c r="H2010" s="3">
        <v>10</v>
      </c>
      <c r="I2010" s="3">
        <v>1</v>
      </c>
      <c r="J2010" s="3" t="s">
        <v>18</v>
      </c>
      <c r="K2010" s="5">
        <v>0.12</v>
      </c>
      <c r="L2010" s="6">
        <v>4690654010485</v>
      </c>
      <c r="M2010" s="7" t="s">
        <v>4010</v>
      </c>
      <c r="N2010" s="8">
        <f>VLOOKUP(B2010,'[1]новый без картинок'!$A$5:$F$2672,6,0)</f>
        <v>46</v>
      </c>
    </row>
    <row r="2011" spans="1:14" ht="153" customHeight="1" x14ac:dyDescent="0.2">
      <c r="A2011" s="3">
        <v>2009</v>
      </c>
      <c r="B2011" s="3">
        <v>180318</v>
      </c>
      <c r="C2011" s="4" t="str">
        <f>HYPERLINK("http://optservis.net:5080/photo?tov_code_internet=180318","Увеличить")</f>
        <v>Увеличить</v>
      </c>
      <c r="D2011" s="3" t="s">
        <v>4006</v>
      </c>
      <c r="E2011" s="3" t="s">
        <v>4007</v>
      </c>
      <c r="F2011" s="3" t="s">
        <v>4012</v>
      </c>
      <c r="G2011" s="3" t="s">
        <v>788</v>
      </c>
      <c r="H2011" s="3">
        <v>10</v>
      </c>
      <c r="I2011" s="3">
        <v>1</v>
      </c>
      <c r="J2011" s="3" t="s">
        <v>18</v>
      </c>
      <c r="K2011" s="5">
        <v>0.12</v>
      </c>
      <c r="L2011" s="6">
        <v>4690654010881</v>
      </c>
      <c r="M2011" s="7" t="s">
        <v>4010</v>
      </c>
      <c r="N2011" s="8">
        <f>VLOOKUP(B2011,'[1]новый без картинок'!$A$5:$F$2672,6,0)</f>
        <v>46</v>
      </c>
    </row>
    <row r="2012" spans="1:14" ht="153" customHeight="1" x14ac:dyDescent="0.2">
      <c r="A2012" s="3">
        <v>2010</v>
      </c>
      <c r="B2012" s="3">
        <v>175837</v>
      </c>
      <c r="C2012" s="4" t="str">
        <f>HYPERLINK("http://optservis.net:5080/photo?tov_code_internet=175837","Увеличить")</f>
        <v>Увеличить</v>
      </c>
      <c r="D2012" s="3" t="s">
        <v>4006</v>
      </c>
      <c r="E2012" s="3" t="s">
        <v>4007</v>
      </c>
      <c r="F2012" s="3" t="s">
        <v>4013</v>
      </c>
      <c r="G2012" s="3" t="s">
        <v>788</v>
      </c>
      <c r="H2012" s="3">
        <v>10</v>
      </c>
      <c r="I2012" s="3">
        <v>1</v>
      </c>
      <c r="J2012" s="3" t="s">
        <v>18</v>
      </c>
      <c r="K2012" s="5">
        <v>0.12</v>
      </c>
      <c r="L2012" s="6">
        <v>4690654010515</v>
      </c>
      <c r="M2012" s="7" t="s">
        <v>4010</v>
      </c>
      <c r="N2012" s="8">
        <f>VLOOKUP(B2012,'[1]новый без картинок'!$A$5:$F$2672,6,0)</f>
        <v>46</v>
      </c>
    </row>
    <row r="2013" spans="1:14" ht="151.15" customHeight="1" x14ac:dyDescent="0.2">
      <c r="A2013" s="3">
        <v>2011</v>
      </c>
      <c r="B2013" s="3">
        <v>12686</v>
      </c>
      <c r="C2013" s="4" t="str">
        <f>HYPERLINK("http://optservis.net:5080/photo?tov_code_internet=12686","Увеличить")</f>
        <v>Увеличить</v>
      </c>
      <c r="D2013" s="3" t="s">
        <v>4006</v>
      </c>
      <c r="E2013" s="3" t="s">
        <v>4007</v>
      </c>
      <c r="F2013" s="3" t="s">
        <v>20</v>
      </c>
      <c r="G2013" s="3" t="s">
        <v>788</v>
      </c>
      <c r="H2013" s="3">
        <v>10</v>
      </c>
      <c r="I2013" s="3">
        <v>1</v>
      </c>
      <c r="J2013" s="3" t="s">
        <v>18</v>
      </c>
      <c r="K2013" s="5">
        <v>0.12</v>
      </c>
      <c r="L2013" s="6">
        <v>4640020779874</v>
      </c>
      <c r="M2013" s="7" t="s">
        <v>4014</v>
      </c>
      <c r="N2013" s="8">
        <f>VLOOKUP(B2013,'[1]новый без картинок'!$A$5:$F$2672,6,0)</f>
        <v>46</v>
      </c>
    </row>
    <row r="2014" spans="1:14" ht="151.15" customHeight="1" x14ac:dyDescent="0.2">
      <c r="A2014" s="3">
        <v>2012</v>
      </c>
      <c r="B2014" s="3">
        <v>149928</v>
      </c>
      <c r="C2014" s="4" t="str">
        <f>HYPERLINK("http://optservis.net:5080/photo?tov_code_internet=149928","Увеличить")</f>
        <v>Увеличить</v>
      </c>
      <c r="D2014" s="3" t="s">
        <v>4015</v>
      </c>
      <c r="E2014" s="3" t="s">
        <v>4016</v>
      </c>
      <c r="F2014" s="3" t="s">
        <v>34</v>
      </c>
      <c r="G2014" s="3" t="s">
        <v>4017</v>
      </c>
      <c r="H2014" s="3">
        <v>4</v>
      </c>
      <c r="I2014" s="3">
        <v>1</v>
      </c>
      <c r="J2014" s="3" t="s">
        <v>18</v>
      </c>
      <c r="K2014" s="5">
        <v>0.04</v>
      </c>
      <c r="L2014" s="6">
        <v>4690654005290</v>
      </c>
      <c r="M2014" s="7" t="s">
        <v>4018</v>
      </c>
      <c r="N2014" s="8">
        <f>VLOOKUP(B2014,'[1]новый без картинок'!$A$5:$F$2672,6,0)</f>
        <v>174</v>
      </c>
    </row>
    <row r="2015" spans="1:14" ht="149.44999999999999" customHeight="1" x14ac:dyDescent="0.2">
      <c r="A2015" s="3">
        <v>2013</v>
      </c>
      <c r="B2015" s="3">
        <v>163203</v>
      </c>
      <c r="C2015" s="4" t="str">
        <f>HYPERLINK("http://optservis.net:5080/photo?tov_code_internet=163203","Увеличить")</f>
        <v>Увеличить</v>
      </c>
      <c r="D2015" s="3" t="s">
        <v>4019</v>
      </c>
      <c r="E2015" s="3" t="s">
        <v>4020</v>
      </c>
      <c r="F2015" s="3" t="s">
        <v>1027</v>
      </c>
      <c r="G2015" s="3" t="s">
        <v>788</v>
      </c>
      <c r="H2015" s="3">
        <v>10</v>
      </c>
      <c r="I2015" s="3">
        <v>1</v>
      </c>
      <c r="J2015" s="3" t="s">
        <v>18</v>
      </c>
      <c r="K2015" s="5">
        <v>0.11</v>
      </c>
      <c r="L2015" s="6">
        <v>4690654007003</v>
      </c>
      <c r="M2015" s="7" t="s">
        <v>4021</v>
      </c>
      <c r="N2015" s="8">
        <f>VLOOKUP(B2015,'[1]новый без картинок'!$A$5:$F$2672,6,0)</f>
        <v>56</v>
      </c>
    </row>
    <row r="2016" spans="1:14" ht="153" customHeight="1" x14ac:dyDescent="0.2">
      <c r="A2016" s="3">
        <v>2014</v>
      </c>
      <c r="B2016" s="3">
        <v>164615</v>
      </c>
      <c r="C2016" s="4" t="str">
        <f>HYPERLINK("http://optservis.net:5080/photo?tov_code_internet=164615","Увеличить")</f>
        <v>Увеличить</v>
      </c>
      <c r="D2016" s="3" t="s">
        <v>4019</v>
      </c>
      <c r="E2016" s="3" t="s">
        <v>4020</v>
      </c>
      <c r="F2016" s="3" t="s">
        <v>68</v>
      </c>
      <c r="G2016" s="3" t="s">
        <v>788</v>
      </c>
      <c r="H2016" s="3">
        <v>10</v>
      </c>
      <c r="I2016" s="3">
        <v>1</v>
      </c>
      <c r="J2016" s="3" t="s">
        <v>18</v>
      </c>
      <c r="K2016" s="5">
        <v>0.12</v>
      </c>
      <c r="L2016" s="6">
        <v>4690654007249</v>
      </c>
      <c r="M2016" s="7" t="s">
        <v>4022</v>
      </c>
      <c r="N2016" s="8">
        <f>VLOOKUP(B2016,'[1]новый без картинок'!$A$5:$F$2672,6,0)</f>
        <v>56</v>
      </c>
    </row>
    <row r="2017" spans="1:14" ht="153" customHeight="1" x14ac:dyDescent="0.2">
      <c r="A2017" s="3">
        <v>2015</v>
      </c>
      <c r="B2017" s="3">
        <v>176890</v>
      </c>
      <c r="C2017" s="4" t="str">
        <f>HYPERLINK("http://optservis.net:5080/photo?tov_code_internet=176890","Увеличить")</f>
        <v>Увеличить</v>
      </c>
      <c r="D2017" s="3" t="s">
        <v>4019</v>
      </c>
      <c r="E2017" s="3" t="s">
        <v>4020</v>
      </c>
      <c r="F2017" s="3" t="s">
        <v>1157</v>
      </c>
      <c r="G2017" s="3" t="s">
        <v>788</v>
      </c>
      <c r="H2017" s="3">
        <v>10</v>
      </c>
      <c r="I2017" s="3">
        <v>1</v>
      </c>
      <c r="J2017" s="3" t="s">
        <v>18</v>
      </c>
      <c r="K2017" s="5">
        <v>0.11</v>
      </c>
      <c r="L2017" s="6">
        <v>4690654010775</v>
      </c>
      <c r="M2017" s="7" t="s">
        <v>4023</v>
      </c>
      <c r="N2017" s="8">
        <f>VLOOKUP(B2017,'[1]новый без картинок'!$A$5:$F$2672,6,0)</f>
        <v>56</v>
      </c>
    </row>
    <row r="2018" spans="1:14" ht="153" customHeight="1" x14ac:dyDescent="0.2">
      <c r="A2018" s="3">
        <v>2016</v>
      </c>
      <c r="B2018" s="3">
        <v>176889</v>
      </c>
      <c r="C2018" s="4" t="str">
        <f>HYPERLINK("http://optservis.net:5080/photo?tov_code_internet=176889","Увеличить")</f>
        <v>Увеличить</v>
      </c>
      <c r="D2018" s="3" t="s">
        <v>4019</v>
      </c>
      <c r="E2018" s="3" t="s">
        <v>4020</v>
      </c>
      <c r="F2018" s="3" t="s">
        <v>863</v>
      </c>
      <c r="G2018" s="3" t="s">
        <v>788</v>
      </c>
      <c r="H2018" s="3">
        <v>10</v>
      </c>
      <c r="I2018" s="3">
        <v>1</v>
      </c>
      <c r="J2018" s="3" t="s">
        <v>18</v>
      </c>
      <c r="K2018" s="5">
        <v>0.11</v>
      </c>
      <c r="L2018" s="6">
        <v>4690654010782</v>
      </c>
      <c r="M2018" s="7" t="s">
        <v>4023</v>
      </c>
      <c r="N2018" s="8">
        <f>VLOOKUP(B2018,'[1]новый без картинок'!$A$5:$F$2672,6,0)</f>
        <v>56</v>
      </c>
    </row>
    <row r="2019" spans="1:14" ht="149.44999999999999" customHeight="1" x14ac:dyDescent="0.2">
      <c r="A2019" s="3">
        <v>2017</v>
      </c>
      <c r="B2019" s="3">
        <v>163202</v>
      </c>
      <c r="C2019" s="4" t="str">
        <f>HYPERLINK("http://optservis.net:5080/photo?tov_code_internet=163202","Увеличить")</f>
        <v>Увеличить</v>
      </c>
      <c r="D2019" s="3" t="s">
        <v>4019</v>
      </c>
      <c r="E2019" s="3" t="s">
        <v>4020</v>
      </c>
      <c r="F2019" s="3" t="s">
        <v>3813</v>
      </c>
      <c r="G2019" s="3" t="s">
        <v>788</v>
      </c>
      <c r="H2019" s="3">
        <v>10</v>
      </c>
      <c r="I2019" s="3">
        <v>1</v>
      </c>
      <c r="J2019" s="3" t="s">
        <v>18</v>
      </c>
      <c r="K2019" s="5">
        <v>0.11</v>
      </c>
      <c r="L2019" s="6">
        <v>4690654007010</v>
      </c>
      <c r="M2019" s="7" t="s">
        <v>4021</v>
      </c>
      <c r="N2019" s="8">
        <f>VLOOKUP(B2019,'[1]новый без картинок'!$A$5:$F$2672,6,0)</f>
        <v>56</v>
      </c>
    </row>
    <row r="2020" spans="1:14" ht="149.44999999999999" customHeight="1" x14ac:dyDescent="0.2">
      <c r="A2020" s="3">
        <v>2018</v>
      </c>
      <c r="B2020" s="3">
        <v>163201</v>
      </c>
      <c r="C2020" s="4" t="str">
        <f>HYPERLINK("http://optservis.net:5080/photo?tov_code_internet=163201","Увеличить")</f>
        <v>Увеличить</v>
      </c>
      <c r="D2020" s="3" t="s">
        <v>4019</v>
      </c>
      <c r="E2020" s="3" t="s">
        <v>4020</v>
      </c>
      <c r="F2020" s="3" t="s">
        <v>20</v>
      </c>
      <c r="G2020" s="3" t="s">
        <v>788</v>
      </c>
      <c r="H2020" s="3">
        <v>10</v>
      </c>
      <c r="I2020" s="3">
        <v>1</v>
      </c>
      <c r="J2020" s="3" t="s">
        <v>18</v>
      </c>
      <c r="K2020" s="5">
        <v>0.12</v>
      </c>
      <c r="L2020" s="6">
        <v>4690654007027</v>
      </c>
      <c r="M2020" s="7" t="s">
        <v>4021</v>
      </c>
      <c r="N2020" s="8">
        <f>VLOOKUP(B2020,'[1]новый без картинок'!$A$5:$F$2672,6,0)</f>
        <v>56</v>
      </c>
    </row>
    <row r="2021" spans="1:14" ht="138.6" customHeight="1" x14ac:dyDescent="0.2">
      <c r="A2021" s="3">
        <v>2019</v>
      </c>
      <c r="B2021" s="3">
        <v>148559</v>
      </c>
      <c r="C2021" s="4" t="str">
        <f>HYPERLINK("http://optservis.net:5080/photo?tov_code_internet=148559","Увеличить")</f>
        <v>Увеличить</v>
      </c>
      <c r="D2021" s="3" t="s">
        <v>4024</v>
      </c>
      <c r="E2021" s="3" t="s">
        <v>4025</v>
      </c>
      <c r="F2021" s="3" t="s">
        <v>3891</v>
      </c>
      <c r="G2021" s="3" t="s">
        <v>3823</v>
      </c>
      <c r="H2021" s="3">
        <v>10</v>
      </c>
      <c r="I2021" s="3">
        <v>1</v>
      </c>
      <c r="J2021" s="3" t="s">
        <v>18</v>
      </c>
      <c r="K2021" s="5">
        <v>0.12</v>
      </c>
      <c r="L2021" s="6">
        <v>4690654004798</v>
      </c>
      <c r="M2021" s="7" t="s">
        <v>4026</v>
      </c>
      <c r="N2021" s="8">
        <f>VLOOKUP(B2021,'[1]новый без картинок'!$A$5:$F$2672,6,0)</f>
        <v>96</v>
      </c>
    </row>
    <row r="2022" spans="1:14" ht="151.15" customHeight="1" x14ac:dyDescent="0.2">
      <c r="A2022" s="3">
        <v>2020</v>
      </c>
      <c r="B2022" s="3">
        <v>148558</v>
      </c>
      <c r="C2022" s="4" t="str">
        <f>HYPERLINK("http://optservis.net:5080/photo?tov_code_internet=148558","Увеличить")</f>
        <v>Увеличить</v>
      </c>
      <c r="D2022" s="3" t="s">
        <v>4024</v>
      </c>
      <c r="E2022" s="3" t="s">
        <v>4025</v>
      </c>
      <c r="F2022" s="3" t="s">
        <v>46</v>
      </c>
      <c r="G2022" s="3" t="s">
        <v>3977</v>
      </c>
      <c r="H2022" s="3">
        <v>10</v>
      </c>
      <c r="I2022" s="3">
        <v>1</v>
      </c>
      <c r="J2022" s="3" t="s">
        <v>18</v>
      </c>
      <c r="K2022" s="5">
        <v>0.12</v>
      </c>
      <c r="L2022" s="6">
        <v>4690654004804</v>
      </c>
      <c r="M2022" s="7" t="s">
        <v>4027</v>
      </c>
      <c r="N2022" s="8">
        <f>VLOOKUP(B2022,'[1]новый без картинок'!$A$5:$F$2672,6,0)</f>
        <v>100</v>
      </c>
    </row>
    <row r="2023" spans="1:14" ht="149.44999999999999" customHeight="1" x14ac:dyDescent="0.2">
      <c r="A2023" s="3">
        <v>2021</v>
      </c>
      <c r="B2023" s="3">
        <v>966226</v>
      </c>
      <c r="C2023" s="4" t="str">
        <f>HYPERLINK("http://optservis.net:5080/photo?tov_code_internet=966226","Увеличить")</f>
        <v>Увеличить</v>
      </c>
      <c r="D2023" s="3" t="s">
        <v>4028</v>
      </c>
      <c r="E2023" s="3" t="s">
        <v>4029</v>
      </c>
      <c r="F2023" s="3" t="s">
        <v>4030</v>
      </c>
      <c r="G2023" s="3" t="s">
        <v>4031</v>
      </c>
      <c r="H2023" s="3">
        <v>2</v>
      </c>
      <c r="I2023" s="3">
        <v>1</v>
      </c>
      <c r="J2023" s="3" t="s">
        <v>18</v>
      </c>
      <c r="K2023" s="5">
        <v>0.02</v>
      </c>
      <c r="L2023" s="6">
        <v>4640020772035</v>
      </c>
      <c r="M2023" s="7" t="s">
        <v>4032</v>
      </c>
      <c r="N2023" s="8">
        <f>VLOOKUP(B2023,'[1]новый без картинок'!$A$5:$F$2672,6,0)</f>
        <v>129</v>
      </c>
    </row>
    <row r="2024" spans="1:14" ht="138.6" customHeight="1" x14ac:dyDescent="0.2">
      <c r="A2024" s="3">
        <v>2022</v>
      </c>
      <c r="B2024" s="3">
        <v>966334</v>
      </c>
      <c r="C2024" s="4" t="str">
        <f>HYPERLINK("http://optservis.net:5080/photo?tov_code_internet=966334","Увеличить")</f>
        <v>Увеличить</v>
      </c>
      <c r="D2024" s="3" t="s">
        <v>4028</v>
      </c>
      <c r="E2024" s="3" t="s">
        <v>4029</v>
      </c>
      <c r="F2024" s="3" t="s">
        <v>34</v>
      </c>
      <c r="G2024" s="3" t="s">
        <v>4031</v>
      </c>
      <c r="H2024" s="3">
        <v>2</v>
      </c>
      <c r="I2024" s="3">
        <v>1</v>
      </c>
      <c r="J2024" s="3" t="s">
        <v>18</v>
      </c>
      <c r="K2024" s="5">
        <v>0.02</v>
      </c>
      <c r="L2024" s="6">
        <v>4640020777108</v>
      </c>
      <c r="M2024" s="7" t="s">
        <v>4033</v>
      </c>
      <c r="N2024" s="8">
        <f>VLOOKUP(B2024,'[1]новый без картинок'!$A$5:$F$2672,6,0)</f>
        <v>98</v>
      </c>
    </row>
    <row r="2025" spans="1:14" ht="151.15" customHeight="1" x14ac:dyDescent="0.2">
      <c r="A2025" s="3">
        <v>2023</v>
      </c>
      <c r="B2025" s="3">
        <v>945194</v>
      </c>
      <c r="C2025" s="4" t="str">
        <f>HYPERLINK("http://optservis.net:5080/photo?tov_code_internet=945194","Увеличить")</f>
        <v>Увеличить</v>
      </c>
      <c r="D2025" s="3" t="s">
        <v>4034</v>
      </c>
      <c r="E2025" s="3"/>
      <c r="F2025" s="3" t="s">
        <v>1188</v>
      </c>
      <c r="G2025" s="3" t="s">
        <v>4035</v>
      </c>
      <c r="H2025" s="3">
        <v>40</v>
      </c>
      <c r="I2025" s="3">
        <v>1</v>
      </c>
      <c r="J2025" s="3" t="s">
        <v>18</v>
      </c>
      <c r="K2025" s="5">
        <v>0</v>
      </c>
      <c r="L2025" s="6">
        <v>0</v>
      </c>
      <c r="M2025" s="7" t="s">
        <v>4036</v>
      </c>
      <c r="N2025" s="8">
        <f>VLOOKUP(B2025,'[1]новый без картинок'!$A$5:$F$2672,6,0)</f>
        <v>73</v>
      </c>
    </row>
    <row r="2026" spans="1:14" ht="138.6" customHeight="1" x14ac:dyDescent="0.2">
      <c r="A2026" s="3">
        <v>2024</v>
      </c>
      <c r="B2026" s="3">
        <v>149101</v>
      </c>
      <c r="C2026" s="4" t="str">
        <f>HYPERLINK("http://optservis.net:5080/photo?tov_code_internet=149101","Увеличить")</f>
        <v>Увеличить</v>
      </c>
      <c r="D2026" s="3" t="s">
        <v>4037</v>
      </c>
      <c r="E2026" s="3" t="s">
        <v>4038</v>
      </c>
      <c r="F2026" s="3" t="s">
        <v>4039</v>
      </c>
      <c r="G2026" s="3" t="s">
        <v>4040</v>
      </c>
      <c r="H2026" s="3">
        <v>40</v>
      </c>
      <c r="I2026" s="3">
        <v>1</v>
      </c>
      <c r="J2026" s="3" t="s">
        <v>18</v>
      </c>
      <c r="K2026" s="5">
        <v>1.44</v>
      </c>
      <c r="L2026" s="6">
        <v>4690654005375</v>
      </c>
      <c r="M2026" s="7" t="s">
        <v>4041</v>
      </c>
      <c r="N2026" s="8">
        <f>VLOOKUP(B2026,'[1]новый без картинок'!$A$5:$F$2672,6,0)</f>
        <v>332</v>
      </c>
    </row>
    <row r="2027" spans="1:14" ht="149.44999999999999" customHeight="1" x14ac:dyDescent="0.2">
      <c r="A2027" s="3">
        <v>2025</v>
      </c>
      <c r="B2027" s="3">
        <v>149104</v>
      </c>
      <c r="C2027" s="4" t="str">
        <f>HYPERLINK("http://optservis.net:5080/photo?tov_code_internet=149104","Увеличить")</f>
        <v>Увеличить</v>
      </c>
      <c r="D2027" s="3" t="s">
        <v>4037</v>
      </c>
      <c r="E2027" s="3" t="s">
        <v>4038</v>
      </c>
      <c r="F2027" s="3" t="s">
        <v>4042</v>
      </c>
      <c r="G2027" s="3" t="s">
        <v>4040</v>
      </c>
      <c r="H2027" s="3">
        <v>40</v>
      </c>
      <c r="I2027" s="3">
        <v>1</v>
      </c>
      <c r="J2027" s="3" t="s">
        <v>18</v>
      </c>
      <c r="K2027" s="5">
        <v>1.0900000000000001</v>
      </c>
      <c r="L2027" s="6">
        <v>4690654005405</v>
      </c>
      <c r="M2027" s="7" t="s">
        <v>4041</v>
      </c>
      <c r="N2027" s="8">
        <f>VLOOKUP(B2027,'[1]новый без картинок'!$A$5:$F$2672,6,0)</f>
        <v>225</v>
      </c>
    </row>
    <row r="2028" spans="1:14" ht="138.6" customHeight="1" x14ac:dyDescent="0.2">
      <c r="A2028" s="3">
        <v>2026</v>
      </c>
      <c r="B2028" s="3">
        <v>155311</v>
      </c>
      <c r="C2028" s="4" t="str">
        <f>HYPERLINK("http://optservis.net:5080/photo?tov_code_internet=155311","Увеличить")</f>
        <v>Увеличить</v>
      </c>
      <c r="D2028" s="3" t="s">
        <v>4043</v>
      </c>
      <c r="E2028" s="3" t="s">
        <v>4044</v>
      </c>
      <c r="F2028" s="3" t="s">
        <v>4045</v>
      </c>
      <c r="G2028" s="3" t="s">
        <v>4040</v>
      </c>
      <c r="H2028" s="3">
        <v>40</v>
      </c>
      <c r="I2028" s="3">
        <v>1</v>
      </c>
      <c r="J2028" s="3" t="s">
        <v>18</v>
      </c>
      <c r="K2028" s="5">
        <v>1.44</v>
      </c>
      <c r="L2028" s="6">
        <v>4690654006259</v>
      </c>
      <c r="M2028" s="7" t="s">
        <v>4046</v>
      </c>
      <c r="N2028" s="8">
        <f>VLOOKUP(B2028,'[1]новый без картинок'!$A$5:$F$2672,6,0)</f>
        <v>211</v>
      </c>
    </row>
    <row r="2029" spans="1:14" ht="151.15" customHeight="1" x14ac:dyDescent="0.2">
      <c r="A2029" s="3">
        <v>2027</v>
      </c>
      <c r="B2029" s="3">
        <v>929849</v>
      </c>
      <c r="C2029" s="4" t="str">
        <f>HYPERLINK("http://optservis.net:5080/photo?tov_code_internet=929849","Увеличить")</f>
        <v>Увеличить</v>
      </c>
      <c r="D2029" s="3" t="s">
        <v>4047</v>
      </c>
      <c r="E2029" s="3" t="s">
        <v>4048</v>
      </c>
      <c r="F2029" s="3" t="s">
        <v>3750</v>
      </c>
      <c r="G2029" s="3" t="s">
        <v>4040</v>
      </c>
      <c r="H2029" s="3">
        <v>40</v>
      </c>
      <c r="I2029" s="3">
        <v>1</v>
      </c>
      <c r="J2029" s="3" t="s">
        <v>18</v>
      </c>
      <c r="K2029" s="5">
        <v>1.44</v>
      </c>
      <c r="L2029" s="6">
        <v>4640020776286</v>
      </c>
      <c r="M2029" s="7" t="s">
        <v>4049</v>
      </c>
      <c r="N2029" s="8">
        <f>VLOOKUP(B2029,'[1]новый без картинок'!$A$5:$F$2672,6,0)</f>
        <v>303</v>
      </c>
    </row>
    <row r="2030" spans="1:14" ht="149.44999999999999" customHeight="1" x14ac:dyDescent="0.2">
      <c r="A2030" s="3">
        <v>2028</v>
      </c>
      <c r="B2030" s="3">
        <v>149096</v>
      </c>
      <c r="C2030" s="4" t="str">
        <f>HYPERLINK("http://optservis.net:5080/photo?tov_code_internet=149096","Увеличить")</f>
        <v>Увеличить</v>
      </c>
      <c r="D2030" s="3" t="s">
        <v>4050</v>
      </c>
      <c r="E2030" s="3" t="s">
        <v>4051</v>
      </c>
      <c r="F2030" s="3" t="s">
        <v>33</v>
      </c>
      <c r="G2030" s="3" t="s">
        <v>4040</v>
      </c>
      <c r="H2030" s="3">
        <v>40</v>
      </c>
      <c r="I2030" s="3">
        <v>1</v>
      </c>
      <c r="J2030" s="3" t="s">
        <v>18</v>
      </c>
      <c r="K2030" s="5">
        <v>1.44</v>
      </c>
      <c r="L2030" s="6">
        <v>4690654005313</v>
      </c>
      <c r="M2030" s="7" t="s">
        <v>4052</v>
      </c>
      <c r="N2030" s="8">
        <f>VLOOKUP(B2030,'[1]новый без картинок'!$A$5:$F$2672,6,0)</f>
        <v>428</v>
      </c>
    </row>
    <row r="2031" spans="1:14" ht="149.44999999999999" customHeight="1" x14ac:dyDescent="0.2">
      <c r="A2031" s="3">
        <v>2029</v>
      </c>
      <c r="B2031" s="3">
        <v>149097</v>
      </c>
      <c r="C2031" s="4" t="str">
        <f>HYPERLINK("http://optservis.net:5080/photo?tov_code_internet=149097","Увеличить")</f>
        <v>Увеличить</v>
      </c>
      <c r="D2031" s="3" t="s">
        <v>4050</v>
      </c>
      <c r="E2031" s="3" t="s">
        <v>4051</v>
      </c>
      <c r="F2031" s="3" t="s">
        <v>4039</v>
      </c>
      <c r="G2031" s="3" t="s">
        <v>4040</v>
      </c>
      <c r="H2031" s="3">
        <v>40</v>
      </c>
      <c r="I2031" s="3">
        <v>1</v>
      </c>
      <c r="J2031" s="3" t="s">
        <v>18</v>
      </c>
      <c r="K2031" s="5">
        <v>1.44</v>
      </c>
      <c r="L2031" s="6">
        <v>4690654005320</v>
      </c>
      <c r="M2031" s="7" t="s">
        <v>4053</v>
      </c>
      <c r="N2031" s="8">
        <f>VLOOKUP(B2031,'[1]новый без картинок'!$A$5:$F$2672,6,0)</f>
        <v>225</v>
      </c>
    </row>
    <row r="2032" spans="1:14" ht="151.15" customHeight="1" x14ac:dyDescent="0.2">
      <c r="A2032" s="3">
        <v>2030</v>
      </c>
      <c r="B2032" s="3">
        <v>169610</v>
      </c>
      <c r="C2032" s="4" t="str">
        <f>HYPERLINK("http://optservis.net:5080/photo?tov_code_internet=169610","Увеличить")</f>
        <v>Увеличить</v>
      </c>
      <c r="D2032" s="3" t="s">
        <v>4050</v>
      </c>
      <c r="E2032" s="3" t="s">
        <v>4051</v>
      </c>
      <c r="F2032" s="3" t="s">
        <v>4054</v>
      </c>
      <c r="G2032" s="3" t="s">
        <v>4040</v>
      </c>
      <c r="H2032" s="3">
        <v>40</v>
      </c>
      <c r="I2032" s="3">
        <v>1</v>
      </c>
      <c r="J2032" s="3" t="s">
        <v>18</v>
      </c>
      <c r="K2032" s="5">
        <v>1.0900000000000001</v>
      </c>
      <c r="L2032" s="6">
        <v>4690654008574</v>
      </c>
      <c r="M2032" s="7" t="s">
        <v>4053</v>
      </c>
      <c r="N2032" s="8">
        <f>VLOOKUP(B2032,'[1]новый без картинок'!$A$5:$F$2672,6,0)</f>
        <v>225</v>
      </c>
    </row>
    <row r="2033" spans="1:14" ht="149.44999999999999" customHeight="1" x14ac:dyDescent="0.2">
      <c r="A2033" s="3">
        <v>2031</v>
      </c>
      <c r="B2033" s="3">
        <v>155309</v>
      </c>
      <c r="C2033" s="4" t="str">
        <f>HYPERLINK("http://optservis.net:5080/photo?tov_code_internet=155309","Увеличить")</f>
        <v>Увеличить</v>
      </c>
      <c r="D2033" s="3" t="s">
        <v>4055</v>
      </c>
      <c r="E2033" s="3" t="s">
        <v>4056</v>
      </c>
      <c r="F2033" s="3" t="s">
        <v>4057</v>
      </c>
      <c r="G2033" s="3" t="s">
        <v>4040</v>
      </c>
      <c r="H2033" s="3">
        <v>40</v>
      </c>
      <c r="I2033" s="3">
        <v>1</v>
      </c>
      <c r="J2033" s="3" t="s">
        <v>18</v>
      </c>
      <c r="K2033" s="5">
        <v>1.44</v>
      </c>
      <c r="L2033" s="6">
        <v>4690654006266</v>
      </c>
      <c r="M2033" s="7" t="s">
        <v>4046</v>
      </c>
      <c r="N2033" s="8">
        <f>VLOOKUP(B2033,'[1]новый без картинок'!$A$5:$F$2672,6,0)</f>
        <v>211</v>
      </c>
    </row>
    <row r="2034" spans="1:14" ht="181.9" customHeight="1" x14ac:dyDescent="0.2">
      <c r="A2034" s="3">
        <v>2032</v>
      </c>
      <c r="B2034" s="3">
        <v>157312</v>
      </c>
      <c r="C2034" s="4" t="str">
        <f>HYPERLINK("http://optservis.net:5080/photo?tov_code_internet=157312","Увеличить")</f>
        <v>Увеличить</v>
      </c>
      <c r="D2034" s="3" t="s">
        <v>4058</v>
      </c>
      <c r="E2034" s="3"/>
      <c r="F2034" s="3" t="s">
        <v>34</v>
      </c>
      <c r="G2034" s="3" t="s">
        <v>31</v>
      </c>
      <c r="H2034" s="3">
        <v>1</v>
      </c>
      <c r="I2034" s="3">
        <v>1</v>
      </c>
      <c r="J2034" s="3" t="s">
        <v>18</v>
      </c>
      <c r="K2034" s="5">
        <v>0.02</v>
      </c>
      <c r="L2034" s="6">
        <v>0</v>
      </c>
      <c r="M2034" s="7" t="s">
        <v>4059</v>
      </c>
      <c r="N2034" s="8">
        <f>VLOOKUP(B2034,'[1]новый без картинок'!$A$5:$F$2672,6,0)</f>
        <v>529</v>
      </c>
    </row>
    <row r="2035" spans="1:14" ht="181.9" customHeight="1" x14ac:dyDescent="0.2">
      <c r="A2035" s="3">
        <v>2033</v>
      </c>
      <c r="B2035" s="3">
        <v>163994</v>
      </c>
      <c r="C2035" s="4" t="str">
        <f>HYPERLINK("http://optservis.net:5080/photo?tov_code_internet=163994","Увеличить")</f>
        <v>Увеличить</v>
      </c>
      <c r="D2035" s="3" t="s">
        <v>4060</v>
      </c>
      <c r="E2035" s="3"/>
      <c r="F2035" s="3" t="s">
        <v>1285</v>
      </c>
      <c r="G2035" s="3" t="s">
        <v>788</v>
      </c>
      <c r="H2035" s="3">
        <v>1</v>
      </c>
      <c r="I2035" s="3">
        <v>1</v>
      </c>
      <c r="J2035" s="3" t="s">
        <v>18</v>
      </c>
      <c r="K2035" s="5">
        <v>0.02</v>
      </c>
      <c r="L2035" s="6">
        <v>0</v>
      </c>
      <c r="M2035" s="7" t="s">
        <v>4061</v>
      </c>
      <c r="N2035" s="8">
        <f>VLOOKUP(B2035,'[1]новый без картинок'!$A$5:$F$2672,6,0)</f>
        <v>86</v>
      </c>
    </row>
    <row r="2036" spans="1:14" ht="181.9" customHeight="1" x14ac:dyDescent="0.2">
      <c r="A2036" s="3">
        <v>2034</v>
      </c>
      <c r="B2036" s="3">
        <v>163995</v>
      </c>
      <c r="C2036" s="4" t="str">
        <f>HYPERLINK("http://optservis.net:5080/photo?tov_code_internet=163995","Увеличить")</f>
        <v>Увеличить</v>
      </c>
      <c r="D2036" s="3" t="s">
        <v>4060</v>
      </c>
      <c r="E2036" s="3"/>
      <c r="F2036" s="3" t="s">
        <v>4062</v>
      </c>
      <c r="G2036" s="3" t="s">
        <v>788</v>
      </c>
      <c r="H2036" s="3">
        <v>1</v>
      </c>
      <c r="I2036" s="3">
        <v>1</v>
      </c>
      <c r="J2036" s="3" t="s">
        <v>18</v>
      </c>
      <c r="K2036" s="5">
        <v>0.02</v>
      </c>
      <c r="L2036" s="6">
        <v>0</v>
      </c>
      <c r="M2036" s="7" t="s">
        <v>4061</v>
      </c>
      <c r="N2036" s="8">
        <f>VLOOKUP(B2036,'[1]новый без картинок'!$A$5:$F$2672,6,0)</f>
        <v>86</v>
      </c>
    </row>
    <row r="2037" spans="1:14" ht="181.9" customHeight="1" x14ac:dyDescent="0.2">
      <c r="A2037" s="3">
        <v>2035</v>
      </c>
      <c r="B2037" s="3">
        <v>163997</v>
      </c>
      <c r="C2037" s="4" t="str">
        <f>HYPERLINK("http://optservis.net:5080/photo?tov_code_internet=163997","Увеличить")</f>
        <v>Увеличить</v>
      </c>
      <c r="D2037" s="3" t="s">
        <v>4060</v>
      </c>
      <c r="E2037" s="3"/>
      <c r="F2037" s="3" t="s">
        <v>1173</v>
      </c>
      <c r="G2037" s="3" t="s">
        <v>788</v>
      </c>
      <c r="H2037" s="3">
        <v>1</v>
      </c>
      <c r="I2037" s="3">
        <v>1</v>
      </c>
      <c r="J2037" s="3" t="s">
        <v>18</v>
      </c>
      <c r="K2037" s="5">
        <v>0.02</v>
      </c>
      <c r="L2037" s="6">
        <v>0</v>
      </c>
      <c r="M2037" s="7" t="s">
        <v>4061</v>
      </c>
      <c r="N2037" s="8">
        <f>VLOOKUP(B2037,'[1]новый без картинок'!$A$5:$F$2672,6,0)</f>
        <v>86</v>
      </c>
    </row>
    <row r="2038" spans="1:14" ht="181.9" customHeight="1" x14ac:dyDescent="0.2">
      <c r="A2038" s="3">
        <v>2036</v>
      </c>
      <c r="B2038" s="3">
        <v>163996</v>
      </c>
      <c r="C2038" s="4" t="str">
        <f>HYPERLINK("http://optservis.net:5080/photo?tov_code_internet=163996","Увеличить")</f>
        <v>Увеличить</v>
      </c>
      <c r="D2038" s="3" t="s">
        <v>4060</v>
      </c>
      <c r="E2038" s="3"/>
      <c r="F2038" s="3" t="s">
        <v>165</v>
      </c>
      <c r="G2038" s="3" t="s">
        <v>788</v>
      </c>
      <c r="H2038" s="3">
        <v>1</v>
      </c>
      <c r="I2038" s="3">
        <v>1</v>
      </c>
      <c r="J2038" s="3" t="s">
        <v>18</v>
      </c>
      <c r="K2038" s="5">
        <v>0.02</v>
      </c>
      <c r="L2038" s="6">
        <v>0</v>
      </c>
      <c r="M2038" s="7" t="s">
        <v>4061</v>
      </c>
      <c r="N2038" s="8">
        <f>VLOOKUP(B2038,'[1]новый без картинок'!$A$5:$F$2672,6,0)</f>
        <v>88</v>
      </c>
    </row>
    <row r="2039" spans="1:14" ht="181.9" customHeight="1" x14ac:dyDescent="0.2">
      <c r="A2039" s="3">
        <v>2037</v>
      </c>
      <c r="B2039" s="3">
        <v>151991</v>
      </c>
      <c r="C2039" s="4" t="str">
        <f>HYPERLINK("http://optservis.net:5080/photo?tov_code_internet=151991","Увеличить")</f>
        <v>Увеличить</v>
      </c>
      <c r="D2039" s="3" t="s">
        <v>4063</v>
      </c>
      <c r="E2039" s="3"/>
      <c r="F2039" s="3" t="s">
        <v>4064</v>
      </c>
      <c r="G2039" s="3" t="s">
        <v>3823</v>
      </c>
      <c r="H2039" s="3">
        <v>1</v>
      </c>
      <c r="I2039" s="3">
        <v>1</v>
      </c>
      <c r="J2039" s="3" t="s">
        <v>18</v>
      </c>
      <c r="K2039" s="5">
        <v>0.02</v>
      </c>
      <c r="L2039" s="6">
        <v>0</v>
      </c>
      <c r="M2039" s="7" t="s">
        <v>4065</v>
      </c>
      <c r="N2039" s="8">
        <f>VLOOKUP(B2039,'[1]новый без картинок'!$A$5:$F$2672,6,0)</f>
        <v>160</v>
      </c>
    </row>
    <row r="2040" spans="1:14" ht="181.9" customHeight="1" x14ac:dyDescent="0.2">
      <c r="A2040" s="3">
        <v>2038</v>
      </c>
      <c r="B2040" s="3">
        <v>157308</v>
      </c>
      <c r="C2040" s="4" t="str">
        <f>HYPERLINK("http://optservis.net:5080/photo?tov_code_internet=157308","Увеличить")</f>
        <v>Увеличить</v>
      </c>
      <c r="D2040" s="3" t="s">
        <v>4063</v>
      </c>
      <c r="E2040" s="3"/>
      <c r="F2040" s="3" t="s">
        <v>165</v>
      </c>
      <c r="G2040" s="3" t="s">
        <v>4066</v>
      </c>
      <c r="H2040" s="3">
        <v>1</v>
      </c>
      <c r="I2040" s="3">
        <v>1</v>
      </c>
      <c r="J2040" s="3" t="s">
        <v>18</v>
      </c>
      <c r="K2040" s="5">
        <v>0.02</v>
      </c>
      <c r="L2040" s="6">
        <v>0</v>
      </c>
      <c r="M2040" s="7" t="s">
        <v>4065</v>
      </c>
      <c r="N2040" s="8">
        <f>VLOOKUP(B2040,'[1]новый без картинок'!$A$5:$F$2672,6,0)</f>
        <v>160</v>
      </c>
    </row>
    <row r="2041" spans="1:14" ht="181.9" customHeight="1" x14ac:dyDescent="0.2">
      <c r="A2041" s="3">
        <v>2039</v>
      </c>
      <c r="B2041" s="3">
        <v>142684</v>
      </c>
      <c r="C2041" s="4" t="str">
        <f>HYPERLINK("http://optservis.net:5080/photo?tov_code_internet=142684","Увеличить")</f>
        <v>Увеличить</v>
      </c>
      <c r="D2041" s="3" t="s">
        <v>4067</v>
      </c>
      <c r="E2041" s="3"/>
      <c r="F2041" s="3" t="s">
        <v>1285</v>
      </c>
      <c r="G2041" s="3" t="s">
        <v>788</v>
      </c>
      <c r="H2041" s="3">
        <v>1</v>
      </c>
      <c r="I2041" s="3">
        <v>1</v>
      </c>
      <c r="J2041" s="3" t="s">
        <v>18</v>
      </c>
      <c r="K2041" s="5">
        <v>0.02</v>
      </c>
      <c r="L2041" s="6">
        <v>0</v>
      </c>
      <c r="M2041" s="7" t="s">
        <v>1260</v>
      </c>
      <c r="N2041" s="8">
        <f>VLOOKUP(B2041,'[1]новый без картинок'!$A$5:$F$2672,6,0)</f>
        <v>69</v>
      </c>
    </row>
    <row r="2042" spans="1:14" ht="181.9" customHeight="1" x14ac:dyDescent="0.2">
      <c r="A2042" s="3">
        <v>2040</v>
      </c>
      <c r="B2042" s="3">
        <v>142687</v>
      </c>
      <c r="C2042" s="4" t="str">
        <f>HYPERLINK("http://optservis.net:5080/photo?tov_code_internet=142687","Увеличить")</f>
        <v>Увеличить</v>
      </c>
      <c r="D2042" s="3" t="s">
        <v>4067</v>
      </c>
      <c r="E2042" s="3"/>
      <c r="F2042" s="3" t="s">
        <v>280</v>
      </c>
      <c r="G2042" s="3" t="s">
        <v>788</v>
      </c>
      <c r="H2042" s="3">
        <v>1</v>
      </c>
      <c r="I2042" s="3">
        <v>1</v>
      </c>
      <c r="J2042" s="3" t="s">
        <v>18</v>
      </c>
      <c r="K2042" s="5">
        <v>0.02</v>
      </c>
      <c r="L2042" s="6">
        <v>0</v>
      </c>
      <c r="M2042" s="7" t="s">
        <v>1260</v>
      </c>
      <c r="N2042" s="8">
        <f>VLOOKUP(B2042,'[1]новый без картинок'!$A$5:$F$2672,6,0)</f>
        <v>69</v>
      </c>
    </row>
    <row r="2043" spans="1:14" ht="181.9" customHeight="1" x14ac:dyDescent="0.2">
      <c r="A2043" s="3">
        <v>2041</v>
      </c>
      <c r="B2043" s="3">
        <v>142688</v>
      </c>
      <c r="C2043" s="4" t="str">
        <f>HYPERLINK("http://optservis.net:5080/photo?tov_code_internet=142688","Увеличить")</f>
        <v>Увеличить</v>
      </c>
      <c r="D2043" s="3" t="s">
        <v>4067</v>
      </c>
      <c r="E2043" s="3"/>
      <c r="F2043" s="3" t="s">
        <v>1148</v>
      </c>
      <c r="G2043" s="3" t="s">
        <v>788</v>
      </c>
      <c r="H2043" s="3">
        <v>1</v>
      </c>
      <c r="I2043" s="3">
        <v>1</v>
      </c>
      <c r="J2043" s="3" t="s">
        <v>18</v>
      </c>
      <c r="K2043" s="5">
        <v>0.02</v>
      </c>
      <c r="L2043" s="6">
        <v>0</v>
      </c>
      <c r="M2043" s="7" t="s">
        <v>1260</v>
      </c>
      <c r="N2043" s="8">
        <f>VLOOKUP(B2043,'[1]новый без картинок'!$A$5:$F$2672,6,0)</f>
        <v>69</v>
      </c>
    </row>
    <row r="2044" spans="1:14" ht="181.9" customHeight="1" x14ac:dyDescent="0.2">
      <c r="A2044" s="3">
        <v>2042</v>
      </c>
      <c r="B2044" s="3">
        <v>142689</v>
      </c>
      <c r="C2044" s="4" t="str">
        <f>HYPERLINK("http://optservis.net:5080/photo?tov_code_internet=142689","Увеличить")</f>
        <v>Увеличить</v>
      </c>
      <c r="D2044" s="3" t="s">
        <v>4067</v>
      </c>
      <c r="E2044" s="3"/>
      <c r="F2044" s="3" t="s">
        <v>1321</v>
      </c>
      <c r="G2044" s="3" t="s">
        <v>788</v>
      </c>
      <c r="H2044" s="3">
        <v>1</v>
      </c>
      <c r="I2044" s="3">
        <v>1</v>
      </c>
      <c r="J2044" s="3" t="s">
        <v>18</v>
      </c>
      <c r="K2044" s="5">
        <v>0.02</v>
      </c>
      <c r="L2044" s="6">
        <v>0</v>
      </c>
      <c r="M2044" s="7" t="s">
        <v>1260</v>
      </c>
      <c r="N2044" s="8">
        <f>VLOOKUP(B2044,'[1]новый без картинок'!$A$5:$F$2672,6,0)</f>
        <v>69</v>
      </c>
    </row>
    <row r="2045" spans="1:14" ht="151.15" customHeight="1" x14ac:dyDescent="0.2">
      <c r="A2045" s="3">
        <v>2043</v>
      </c>
      <c r="B2045" s="3">
        <v>211360</v>
      </c>
      <c r="C2045" s="4" t="str">
        <f>HYPERLINK("http://optservis.net:5080/photo?tov_code_internet=211360","Увеличить")</f>
        <v>Увеличить</v>
      </c>
      <c r="D2045" s="3" t="s">
        <v>4067</v>
      </c>
      <c r="E2045" s="3"/>
      <c r="F2045" s="3" t="s">
        <v>4062</v>
      </c>
      <c r="G2045" s="3" t="s">
        <v>788</v>
      </c>
      <c r="H2045" s="3">
        <v>1</v>
      </c>
      <c r="I2045" s="3">
        <v>1</v>
      </c>
      <c r="J2045" s="3" t="s">
        <v>18</v>
      </c>
      <c r="K2045" s="5">
        <v>0.02</v>
      </c>
      <c r="L2045" s="6">
        <v>0</v>
      </c>
      <c r="M2045" s="7" t="s">
        <v>1260</v>
      </c>
      <c r="N2045" s="8">
        <f>VLOOKUP(B2045,'[1]новый без картинок'!$A$5:$F$2672,6,0)</f>
        <v>69</v>
      </c>
    </row>
    <row r="2046" spans="1:14" ht="151.15" customHeight="1" x14ac:dyDescent="0.2">
      <c r="A2046" s="3">
        <v>2044</v>
      </c>
      <c r="B2046" s="3">
        <v>211847</v>
      </c>
      <c r="C2046" s="4" t="str">
        <f>HYPERLINK("http://optservis.net:5080/photo?tov_code_internet=211847","Увеличить")</f>
        <v>Увеличить</v>
      </c>
      <c r="D2046" s="3" t="s">
        <v>4067</v>
      </c>
      <c r="E2046" s="3"/>
      <c r="F2046" s="3" t="s">
        <v>1173</v>
      </c>
      <c r="G2046" s="3" t="s">
        <v>788</v>
      </c>
      <c r="H2046" s="3">
        <v>1</v>
      </c>
      <c r="I2046" s="3">
        <v>1</v>
      </c>
      <c r="J2046" s="3" t="s">
        <v>18</v>
      </c>
      <c r="K2046" s="5">
        <v>0.02</v>
      </c>
      <c r="L2046" s="6">
        <v>0</v>
      </c>
      <c r="M2046" s="7" t="s">
        <v>1260</v>
      </c>
      <c r="N2046" s="8">
        <f>VLOOKUP(B2046,'[1]новый без картинок'!$A$5:$F$2672,6,0)</f>
        <v>69</v>
      </c>
    </row>
    <row r="2047" spans="1:14" ht="181.9" customHeight="1" x14ac:dyDescent="0.2">
      <c r="A2047" s="3">
        <v>2045</v>
      </c>
      <c r="B2047" s="3">
        <v>142683</v>
      </c>
      <c r="C2047" s="4" t="str">
        <f>HYPERLINK("http://optservis.net:5080/photo?tov_code_internet=142683","Увеличить")</f>
        <v>Увеличить</v>
      </c>
      <c r="D2047" s="3" t="s">
        <v>4067</v>
      </c>
      <c r="E2047" s="3"/>
      <c r="F2047" s="3" t="s">
        <v>165</v>
      </c>
      <c r="G2047" s="3" t="s">
        <v>788</v>
      </c>
      <c r="H2047" s="3">
        <v>1</v>
      </c>
      <c r="I2047" s="3">
        <v>1</v>
      </c>
      <c r="J2047" s="3" t="s">
        <v>18</v>
      </c>
      <c r="K2047" s="5">
        <v>0.02</v>
      </c>
      <c r="L2047" s="6">
        <v>0</v>
      </c>
      <c r="M2047" s="7" t="s">
        <v>1260</v>
      </c>
      <c r="N2047" s="8">
        <f>VLOOKUP(B2047,'[1]новый без картинок'!$A$5:$F$2672,6,0)</f>
        <v>69</v>
      </c>
    </row>
    <row r="2048" spans="1:14" ht="151.15" customHeight="1" x14ac:dyDescent="0.2">
      <c r="A2048" s="3">
        <v>2046</v>
      </c>
      <c r="B2048" s="3">
        <v>966227</v>
      </c>
      <c r="C2048" s="4" t="str">
        <f>HYPERLINK("http://optservis.net:5080/photo?tov_code_internet=966227","Увеличить")</f>
        <v>Увеличить</v>
      </c>
      <c r="D2048" s="3" t="s">
        <v>4068</v>
      </c>
      <c r="E2048" s="3" t="s">
        <v>4069</v>
      </c>
      <c r="F2048" s="3" t="s">
        <v>4030</v>
      </c>
      <c r="G2048" s="3" t="s">
        <v>4031</v>
      </c>
      <c r="H2048" s="3">
        <v>2</v>
      </c>
      <c r="I2048" s="3">
        <v>1</v>
      </c>
      <c r="J2048" s="3" t="s">
        <v>18</v>
      </c>
      <c r="K2048" s="5">
        <v>0.02</v>
      </c>
      <c r="L2048" s="6">
        <v>4640020774817</v>
      </c>
      <c r="M2048" s="7" t="s">
        <v>4070</v>
      </c>
      <c r="N2048" s="8">
        <f>VLOOKUP(B2048,'[1]новый без картинок'!$A$5:$F$2672,6,0)</f>
        <v>172</v>
      </c>
    </row>
    <row r="2049" spans="1:14" ht="138.6" customHeight="1" x14ac:dyDescent="0.2">
      <c r="A2049" s="3">
        <v>2047</v>
      </c>
      <c r="B2049" s="3">
        <v>966337</v>
      </c>
      <c r="C2049" s="4" t="str">
        <f>HYPERLINK("http://optservis.net:5080/photo?tov_code_internet=966337","Увеличить")</f>
        <v>Увеличить</v>
      </c>
      <c r="D2049" s="3" t="s">
        <v>4068</v>
      </c>
      <c r="E2049" s="3" t="s">
        <v>4069</v>
      </c>
      <c r="F2049" s="3" t="s">
        <v>34</v>
      </c>
      <c r="G2049" s="3" t="s">
        <v>4031</v>
      </c>
      <c r="H2049" s="3">
        <v>2</v>
      </c>
      <c r="I2049" s="3">
        <v>1</v>
      </c>
      <c r="J2049" s="3" t="s">
        <v>18</v>
      </c>
      <c r="K2049" s="5">
        <v>0.02</v>
      </c>
      <c r="L2049" s="6">
        <v>4640020777115</v>
      </c>
      <c r="M2049" s="7" t="s">
        <v>4071</v>
      </c>
      <c r="N2049" s="8">
        <f>VLOOKUP(B2049,'[1]новый без картинок'!$A$5:$F$2672,6,0)</f>
        <v>99</v>
      </c>
    </row>
    <row r="2050" spans="1:14" ht="149.44999999999999" customHeight="1" x14ac:dyDescent="0.2">
      <c r="A2050" s="3">
        <v>2048</v>
      </c>
      <c r="B2050" s="3">
        <v>12876</v>
      </c>
      <c r="C2050" s="4" t="str">
        <f>HYPERLINK("http://optservis.net:5080/photo?tov_code_internet=12876","Увеличить")</f>
        <v>Увеличить</v>
      </c>
      <c r="D2050" s="3" t="s">
        <v>4072</v>
      </c>
      <c r="E2050" s="3" t="s">
        <v>4073</v>
      </c>
      <c r="F2050" s="3" t="s">
        <v>1155</v>
      </c>
      <c r="G2050" s="3" t="s">
        <v>788</v>
      </c>
      <c r="H2050" s="3">
        <v>10</v>
      </c>
      <c r="I2050" s="3">
        <v>1</v>
      </c>
      <c r="J2050" s="3" t="s">
        <v>18</v>
      </c>
      <c r="K2050" s="5">
        <v>0.08</v>
      </c>
      <c r="L2050" s="6">
        <v>4640020779881</v>
      </c>
      <c r="M2050" s="7" t="s">
        <v>4074</v>
      </c>
      <c r="N2050" s="8">
        <f>VLOOKUP(B2050,'[1]новый без картинок'!$A$5:$F$2672,6,0)</f>
        <v>23</v>
      </c>
    </row>
    <row r="2051" spans="1:14" ht="151.15" customHeight="1" x14ac:dyDescent="0.2">
      <c r="A2051" s="3">
        <v>2049</v>
      </c>
      <c r="B2051" s="3">
        <v>12906</v>
      </c>
      <c r="C2051" s="4" t="str">
        <f>HYPERLINK("http://optservis.net:5080/photo?tov_code_internet=12906","Увеличить")</f>
        <v>Увеличить</v>
      </c>
      <c r="D2051" s="3" t="s">
        <v>4072</v>
      </c>
      <c r="E2051" s="3" t="s">
        <v>4073</v>
      </c>
      <c r="F2051" s="3" t="s">
        <v>68</v>
      </c>
      <c r="G2051" s="3" t="s">
        <v>788</v>
      </c>
      <c r="H2051" s="3">
        <v>10</v>
      </c>
      <c r="I2051" s="3">
        <v>1</v>
      </c>
      <c r="J2051" s="3" t="s">
        <v>18</v>
      </c>
      <c r="K2051" s="5">
        <v>0.08</v>
      </c>
      <c r="L2051" s="6">
        <v>4640020779898</v>
      </c>
      <c r="M2051" s="7" t="s">
        <v>4074</v>
      </c>
      <c r="N2051" s="8">
        <f>VLOOKUP(B2051,'[1]новый без картинок'!$A$5:$F$2672,6,0)</f>
        <v>23</v>
      </c>
    </row>
    <row r="2052" spans="1:14" ht="151.15" customHeight="1" x14ac:dyDescent="0.2">
      <c r="A2052" s="3">
        <v>2050</v>
      </c>
      <c r="B2052" s="3">
        <v>377351</v>
      </c>
      <c r="C2052" s="4" t="str">
        <f>HYPERLINK("http://optservis.net:5080/photo?tov_code_internet=377351","Увеличить")</f>
        <v>Увеличить</v>
      </c>
      <c r="D2052" s="3" t="s">
        <v>4072</v>
      </c>
      <c r="E2052" s="3" t="s">
        <v>4073</v>
      </c>
      <c r="F2052" s="3" t="s">
        <v>3840</v>
      </c>
      <c r="G2052" s="3" t="s">
        <v>788</v>
      </c>
      <c r="H2052" s="3">
        <v>10</v>
      </c>
      <c r="I2052" s="3">
        <v>1</v>
      </c>
      <c r="J2052" s="3" t="s">
        <v>18</v>
      </c>
      <c r="K2052" s="5">
        <v>0.08</v>
      </c>
      <c r="L2052" s="6">
        <v>4640020779904</v>
      </c>
      <c r="M2052" s="7" t="s">
        <v>4074</v>
      </c>
      <c r="N2052" s="8">
        <f>VLOOKUP(B2052,'[1]новый без картинок'!$A$5:$F$2672,6,0)</f>
        <v>23</v>
      </c>
    </row>
    <row r="2053" spans="1:14" ht="153" customHeight="1" x14ac:dyDescent="0.2">
      <c r="A2053" s="3">
        <v>2051</v>
      </c>
      <c r="B2053" s="3">
        <v>175841</v>
      </c>
      <c r="C2053" s="4" t="str">
        <f>HYPERLINK("http://optservis.net:5080/photo?tov_code_internet=175841","Увеличить")</f>
        <v>Увеличить</v>
      </c>
      <c r="D2053" s="3" t="s">
        <v>4072</v>
      </c>
      <c r="E2053" s="3" t="s">
        <v>4073</v>
      </c>
      <c r="F2053" s="3" t="s">
        <v>4075</v>
      </c>
      <c r="G2053" s="3" t="s">
        <v>788</v>
      </c>
      <c r="H2053" s="3">
        <v>10</v>
      </c>
      <c r="I2053" s="3">
        <v>1</v>
      </c>
      <c r="J2053" s="3" t="s">
        <v>18</v>
      </c>
      <c r="K2053" s="5">
        <v>0.08</v>
      </c>
      <c r="L2053" s="6">
        <v>4690654010492</v>
      </c>
      <c r="M2053" s="7" t="s">
        <v>4076</v>
      </c>
      <c r="N2053" s="8">
        <f>VLOOKUP(B2053,'[1]новый без картинок'!$A$5:$F$2672,6,0)</f>
        <v>23</v>
      </c>
    </row>
    <row r="2054" spans="1:14" ht="153" customHeight="1" x14ac:dyDescent="0.2">
      <c r="A2054" s="3">
        <v>2052</v>
      </c>
      <c r="B2054" s="3">
        <v>168748</v>
      </c>
      <c r="C2054" s="4" t="str">
        <f>HYPERLINK("http://optservis.net:5080/photo?tov_code_internet=168748","Увеличить")</f>
        <v>Увеличить</v>
      </c>
      <c r="D2054" s="3" t="s">
        <v>4072</v>
      </c>
      <c r="E2054" s="3" t="s">
        <v>4073</v>
      </c>
      <c r="F2054" s="3" t="s">
        <v>3813</v>
      </c>
      <c r="G2054" s="3" t="s">
        <v>788</v>
      </c>
      <c r="H2054" s="3">
        <v>10</v>
      </c>
      <c r="I2054" s="3">
        <v>1</v>
      </c>
      <c r="J2054" s="3" t="s">
        <v>18</v>
      </c>
      <c r="K2054" s="5">
        <v>0.08</v>
      </c>
      <c r="L2054" s="6">
        <v>4690654010553</v>
      </c>
      <c r="M2054" s="7" t="s">
        <v>4074</v>
      </c>
      <c r="N2054" s="8">
        <f>VLOOKUP(B2054,'[1]новый без картинок'!$A$5:$F$2672,6,0)</f>
        <v>23</v>
      </c>
    </row>
    <row r="2055" spans="1:14" ht="153" customHeight="1" x14ac:dyDescent="0.2">
      <c r="A2055" s="3">
        <v>2053</v>
      </c>
      <c r="B2055" s="3">
        <v>169998</v>
      </c>
      <c r="C2055" s="4" t="str">
        <f>HYPERLINK("http://optservis.net:5080/photo?tov_code_internet=169998","Увеличить")</f>
        <v>Увеличить</v>
      </c>
      <c r="D2055" s="3" t="s">
        <v>4072</v>
      </c>
      <c r="E2055" s="3" t="s">
        <v>4073</v>
      </c>
      <c r="F2055" s="3" t="s">
        <v>3795</v>
      </c>
      <c r="G2055" s="3" t="s">
        <v>788</v>
      </c>
      <c r="H2055" s="3">
        <v>10</v>
      </c>
      <c r="I2055" s="3">
        <v>1</v>
      </c>
      <c r="J2055" s="3" t="s">
        <v>18</v>
      </c>
      <c r="K2055" s="5">
        <v>0.08</v>
      </c>
      <c r="L2055" s="6">
        <v>4690654008611</v>
      </c>
      <c r="M2055" s="7" t="s">
        <v>4076</v>
      </c>
      <c r="N2055" s="8">
        <f>VLOOKUP(B2055,'[1]новый без картинок'!$A$5:$F$2672,6,0)</f>
        <v>23</v>
      </c>
    </row>
    <row r="2056" spans="1:14" ht="153" customHeight="1" x14ac:dyDescent="0.2">
      <c r="A2056" s="3">
        <v>2054</v>
      </c>
      <c r="B2056" s="3">
        <v>180319</v>
      </c>
      <c r="C2056" s="4" t="str">
        <f>HYPERLINK("http://optservis.net:5080/photo?tov_code_internet=180319","Увеличить")</f>
        <v>Увеличить</v>
      </c>
      <c r="D2056" s="3" t="s">
        <v>4072</v>
      </c>
      <c r="E2056" s="3" t="s">
        <v>4073</v>
      </c>
      <c r="F2056" s="3" t="s">
        <v>4012</v>
      </c>
      <c r="G2056" s="3" t="s">
        <v>788</v>
      </c>
      <c r="H2056" s="3">
        <v>10</v>
      </c>
      <c r="I2056" s="3">
        <v>1</v>
      </c>
      <c r="J2056" s="3" t="s">
        <v>18</v>
      </c>
      <c r="K2056" s="5">
        <v>0.08</v>
      </c>
      <c r="L2056" s="6">
        <v>4690654010898</v>
      </c>
      <c r="M2056" s="7" t="s">
        <v>4076</v>
      </c>
      <c r="N2056" s="8">
        <f>VLOOKUP(B2056,'[1]новый без картинок'!$A$5:$F$2672,6,0)</f>
        <v>23</v>
      </c>
    </row>
    <row r="2057" spans="1:14" ht="153" customHeight="1" x14ac:dyDescent="0.2">
      <c r="A2057" s="3">
        <v>2055</v>
      </c>
      <c r="B2057" s="3">
        <v>175843</v>
      </c>
      <c r="C2057" s="4" t="str">
        <f>HYPERLINK("http://optservis.net:5080/photo?tov_code_internet=175843","Увеличить")</f>
        <v>Увеличить</v>
      </c>
      <c r="D2057" s="3" t="s">
        <v>4072</v>
      </c>
      <c r="E2057" s="3" t="s">
        <v>4073</v>
      </c>
      <c r="F2057" s="3" t="s">
        <v>4013</v>
      </c>
      <c r="G2057" s="3" t="s">
        <v>788</v>
      </c>
      <c r="H2057" s="3">
        <v>10</v>
      </c>
      <c r="I2057" s="3">
        <v>1</v>
      </c>
      <c r="J2057" s="3" t="s">
        <v>18</v>
      </c>
      <c r="K2057" s="5">
        <v>0.08</v>
      </c>
      <c r="L2057" s="6">
        <v>4690654010508</v>
      </c>
      <c r="M2057" s="7" t="s">
        <v>4076</v>
      </c>
      <c r="N2057" s="8">
        <f>VLOOKUP(B2057,'[1]новый без картинок'!$A$5:$F$2672,6,0)</f>
        <v>23</v>
      </c>
    </row>
    <row r="2058" spans="1:14" ht="149.44999999999999" customHeight="1" x14ac:dyDescent="0.2">
      <c r="A2058" s="3">
        <v>2056</v>
      </c>
      <c r="B2058" s="3">
        <v>12724</v>
      </c>
      <c r="C2058" s="4" t="str">
        <f>HYPERLINK("http://optservis.net:5080/photo?tov_code_internet=12724","Увеличить")</f>
        <v>Увеличить</v>
      </c>
      <c r="D2058" s="3" t="s">
        <v>4072</v>
      </c>
      <c r="E2058" s="3" t="s">
        <v>4073</v>
      </c>
      <c r="F2058" s="3" t="s">
        <v>20</v>
      </c>
      <c r="G2058" s="3" t="s">
        <v>788</v>
      </c>
      <c r="H2058" s="3">
        <v>10</v>
      </c>
      <c r="I2058" s="3">
        <v>1</v>
      </c>
      <c r="J2058" s="3" t="s">
        <v>18</v>
      </c>
      <c r="K2058" s="5">
        <v>0.08</v>
      </c>
      <c r="L2058" s="6">
        <v>4640020779911</v>
      </c>
      <c r="M2058" s="7" t="s">
        <v>4074</v>
      </c>
      <c r="N2058" s="8">
        <f>VLOOKUP(B2058,'[1]новый без картинок'!$A$5:$F$2672,6,0)</f>
        <v>23</v>
      </c>
    </row>
    <row r="2059" spans="1:14" ht="151.15" customHeight="1" x14ac:dyDescent="0.2">
      <c r="A2059" s="3">
        <v>2057</v>
      </c>
      <c r="B2059" s="3">
        <v>149929</v>
      </c>
      <c r="C2059" s="4" t="str">
        <f>HYPERLINK("http://optservis.net:5080/photo?tov_code_internet=149929","Увеличить")</f>
        <v>Увеличить</v>
      </c>
      <c r="D2059" s="3" t="s">
        <v>4077</v>
      </c>
      <c r="E2059" s="3" t="s">
        <v>4078</v>
      </c>
      <c r="F2059" s="3" t="s">
        <v>34</v>
      </c>
      <c r="G2059" s="3" t="s">
        <v>4017</v>
      </c>
      <c r="H2059" s="3">
        <v>4</v>
      </c>
      <c r="I2059" s="3">
        <v>1</v>
      </c>
      <c r="J2059" s="3" t="s">
        <v>18</v>
      </c>
      <c r="K2059" s="5">
        <v>0.02</v>
      </c>
      <c r="L2059" s="6">
        <v>4690654005306</v>
      </c>
      <c r="M2059" s="7" t="s">
        <v>4079</v>
      </c>
      <c r="N2059" s="8">
        <f>VLOOKUP(B2059,'[1]новый без картинок'!$A$5:$F$2672,6,0)</f>
        <v>354</v>
      </c>
    </row>
    <row r="2060" spans="1:14" ht="151.15" customHeight="1" x14ac:dyDescent="0.2">
      <c r="A2060" s="3">
        <v>2058</v>
      </c>
      <c r="B2060" s="3">
        <v>163200</v>
      </c>
      <c r="C2060" s="4" t="str">
        <f>HYPERLINK("http://optservis.net:5080/photo?tov_code_internet=163200","Увеличить")</f>
        <v>Увеличить</v>
      </c>
      <c r="D2060" s="3" t="s">
        <v>4080</v>
      </c>
      <c r="E2060" s="3" t="s">
        <v>4081</v>
      </c>
      <c r="F2060" s="3" t="s">
        <v>1027</v>
      </c>
      <c r="G2060" s="3" t="s">
        <v>788</v>
      </c>
      <c r="H2060" s="3">
        <v>10</v>
      </c>
      <c r="I2060" s="3">
        <v>1</v>
      </c>
      <c r="J2060" s="3" t="s">
        <v>18</v>
      </c>
      <c r="K2060" s="5">
        <v>7.0000000000000007E-2</v>
      </c>
      <c r="L2060" s="6">
        <v>4690654007034</v>
      </c>
      <c r="M2060" s="7" t="s">
        <v>4082</v>
      </c>
      <c r="N2060" s="8">
        <f>VLOOKUP(B2060,'[1]новый без картинок'!$A$5:$F$2672,6,0)</f>
        <v>30</v>
      </c>
    </row>
    <row r="2061" spans="1:14" ht="153" customHeight="1" x14ac:dyDescent="0.2">
      <c r="A2061" s="3">
        <v>2059</v>
      </c>
      <c r="B2061" s="3">
        <v>164616</v>
      </c>
      <c r="C2061" s="4" t="str">
        <f>HYPERLINK("http://optservis.net:5080/photo?tov_code_internet=164616","Увеличить")</f>
        <v>Увеличить</v>
      </c>
      <c r="D2061" s="3" t="s">
        <v>4080</v>
      </c>
      <c r="E2061" s="3" t="s">
        <v>4081</v>
      </c>
      <c r="F2061" s="3" t="s">
        <v>68</v>
      </c>
      <c r="G2061" s="3" t="s">
        <v>788</v>
      </c>
      <c r="H2061" s="3">
        <v>10</v>
      </c>
      <c r="I2061" s="3">
        <v>1</v>
      </c>
      <c r="J2061" s="3" t="s">
        <v>18</v>
      </c>
      <c r="K2061" s="5">
        <v>0.08</v>
      </c>
      <c r="L2061" s="6">
        <v>4690654007256</v>
      </c>
      <c r="M2061" s="7" t="s">
        <v>4083</v>
      </c>
      <c r="N2061" s="8">
        <f>VLOOKUP(B2061,'[1]новый без картинок'!$A$5:$F$2672,6,0)</f>
        <v>30</v>
      </c>
    </row>
    <row r="2062" spans="1:14" ht="151.15" customHeight="1" x14ac:dyDescent="0.2">
      <c r="A2062" s="3">
        <v>2060</v>
      </c>
      <c r="B2062" s="3">
        <v>163199</v>
      </c>
      <c r="C2062" s="4" t="str">
        <f>HYPERLINK("http://optservis.net:5080/photo?tov_code_internet=163199","Увеличить")</f>
        <v>Увеличить</v>
      </c>
      <c r="D2062" s="3" t="s">
        <v>4080</v>
      </c>
      <c r="E2062" s="3" t="s">
        <v>4081</v>
      </c>
      <c r="F2062" s="3" t="s">
        <v>3813</v>
      </c>
      <c r="G2062" s="3" t="s">
        <v>788</v>
      </c>
      <c r="H2062" s="3">
        <v>10</v>
      </c>
      <c r="I2062" s="3">
        <v>1</v>
      </c>
      <c r="J2062" s="3" t="s">
        <v>18</v>
      </c>
      <c r="K2062" s="5">
        <v>0.08</v>
      </c>
      <c r="L2062" s="6">
        <v>4690654007041</v>
      </c>
      <c r="M2062" s="7" t="s">
        <v>4082</v>
      </c>
      <c r="N2062" s="8">
        <f>VLOOKUP(B2062,'[1]новый без картинок'!$A$5:$F$2672,6,0)</f>
        <v>30</v>
      </c>
    </row>
    <row r="2063" spans="1:14" ht="153" customHeight="1" x14ac:dyDescent="0.2">
      <c r="A2063" s="3">
        <v>2061</v>
      </c>
      <c r="B2063" s="3">
        <v>176891</v>
      </c>
      <c r="C2063" s="4" t="str">
        <f>HYPERLINK("http://optservis.net:5080/photo?tov_code_internet=176891","Увеличить")</f>
        <v>Увеличить</v>
      </c>
      <c r="D2063" s="3" t="s">
        <v>4080</v>
      </c>
      <c r="E2063" s="3" t="s">
        <v>4081</v>
      </c>
      <c r="F2063" s="3" t="s">
        <v>1138</v>
      </c>
      <c r="G2063" s="3" t="s">
        <v>788</v>
      </c>
      <c r="H2063" s="3">
        <v>10</v>
      </c>
      <c r="I2063" s="3">
        <v>1</v>
      </c>
      <c r="J2063" s="3" t="s">
        <v>18</v>
      </c>
      <c r="K2063" s="5">
        <v>7.0000000000000007E-2</v>
      </c>
      <c r="L2063" s="6">
        <v>4690654010799</v>
      </c>
      <c r="M2063" s="7" t="s">
        <v>4083</v>
      </c>
      <c r="N2063" s="8">
        <f>VLOOKUP(B2063,'[1]новый без картинок'!$A$5:$F$2672,6,0)</f>
        <v>30</v>
      </c>
    </row>
    <row r="2064" spans="1:14" ht="151.15" customHeight="1" x14ac:dyDescent="0.2">
      <c r="A2064" s="3">
        <v>2062</v>
      </c>
      <c r="B2064" s="3">
        <v>163198</v>
      </c>
      <c r="C2064" s="4" t="str">
        <f>HYPERLINK("http://optservis.net:5080/photo?tov_code_internet=163198","Увеличить")</f>
        <v>Увеличить</v>
      </c>
      <c r="D2064" s="3" t="s">
        <v>4080</v>
      </c>
      <c r="E2064" s="3" t="s">
        <v>4081</v>
      </c>
      <c r="F2064" s="3" t="s">
        <v>20</v>
      </c>
      <c r="G2064" s="3" t="s">
        <v>788</v>
      </c>
      <c r="H2064" s="3">
        <v>10</v>
      </c>
      <c r="I2064" s="3">
        <v>1</v>
      </c>
      <c r="J2064" s="3" t="s">
        <v>18</v>
      </c>
      <c r="K2064" s="5">
        <v>0.08</v>
      </c>
      <c r="L2064" s="6">
        <v>4690654007058</v>
      </c>
      <c r="M2064" s="7" t="s">
        <v>4082</v>
      </c>
      <c r="N2064" s="8">
        <f>VLOOKUP(B2064,'[1]новый без картинок'!$A$5:$F$2672,6,0)</f>
        <v>33</v>
      </c>
    </row>
    <row r="2065" spans="1:14" ht="138.6" customHeight="1" x14ac:dyDescent="0.2">
      <c r="A2065" s="3">
        <v>2063</v>
      </c>
      <c r="B2065" s="3">
        <v>148557</v>
      </c>
      <c r="C2065" s="4" t="str">
        <f>HYPERLINK("http://optservis.net:5080/photo?tov_code_internet=148557","Увеличить")</f>
        <v>Увеличить</v>
      </c>
      <c r="D2065" s="3" t="s">
        <v>4084</v>
      </c>
      <c r="E2065" s="3" t="s">
        <v>4085</v>
      </c>
      <c r="F2065" s="3" t="s">
        <v>3891</v>
      </c>
      <c r="G2065" s="3" t="s">
        <v>3823</v>
      </c>
      <c r="H2065" s="3">
        <v>10</v>
      </c>
      <c r="I2065" s="3">
        <v>1</v>
      </c>
      <c r="J2065" s="3" t="s">
        <v>18</v>
      </c>
      <c r="K2065" s="5">
        <v>0.08</v>
      </c>
      <c r="L2065" s="6">
        <v>4690654004811</v>
      </c>
      <c r="M2065" s="7" t="s">
        <v>4086</v>
      </c>
      <c r="N2065" s="8">
        <f>VLOOKUP(B2065,'[1]новый без картинок'!$A$5:$F$2672,6,0)</f>
        <v>64</v>
      </c>
    </row>
    <row r="2066" spans="1:14" ht="149.44999999999999" customHeight="1" x14ac:dyDescent="0.2">
      <c r="A2066" s="3">
        <v>2064</v>
      </c>
      <c r="B2066" s="3">
        <v>148556</v>
      </c>
      <c r="C2066" s="4" t="str">
        <f>HYPERLINK("http://optservis.net:5080/photo?tov_code_internet=148556","Увеличить")</f>
        <v>Увеличить</v>
      </c>
      <c r="D2066" s="3" t="s">
        <v>4084</v>
      </c>
      <c r="E2066" s="3" t="s">
        <v>4085</v>
      </c>
      <c r="F2066" s="3" t="s">
        <v>46</v>
      </c>
      <c r="G2066" s="3" t="s">
        <v>3977</v>
      </c>
      <c r="H2066" s="3">
        <v>10</v>
      </c>
      <c r="I2066" s="3">
        <v>1</v>
      </c>
      <c r="J2066" s="3" t="s">
        <v>18</v>
      </c>
      <c r="K2066" s="5">
        <v>7.0000000000000007E-2</v>
      </c>
      <c r="L2066" s="6">
        <v>4690654004828</v>
      </c>
      <c r="M2066" s="7" t="s">
        <v>4087</v>
      </c>
      <c r="N2066" s="8">
        <f>VLOOKUP(B2066,'[1]новый без картинок'!$A$5:$F$2672,6,0)</f>
        <v>61</v>
      </c>
    </row>
    <row r="2067" spans="1:14" ht="138.6" customHeight="1" x14ac:dyDescent="0.2">
      <c r="A2067" s="3">
        <v>2065</v>
      </c>
      <c r="B2067" s="3">
        <v>175842</v>
      </c>
      <c r="C2067" s="4" t="str">
        <f>HYPERLINK("http://optservis.net:5080/photo?tov_code_internet=175842","Увеличить")</f>
        <v>Увеличить</v>
      </c>
      <c r="D2067" s="3" t="s">
        <v>4088</v>
      </c>
      <c r="E2067" s="3" t="s">
        <v>4089</v>
      </c>
      <c r="F2067" s="3" t="s">
        <v>4090</v>
      </c>
      <c r="G2067" s="3" t="s">
        <v>17</v>
      </c>
      <c r="H2067" s="3">
        <v>0.5</v>
      </c>
      <c r="I2067" s="3">
        <v>0</v>
      </c>
      <c r="J2067" s="3" t="s">
        <v>18</v>
      </c>
      <c r="K2067" s="5">
        <v>0.05</v>
      </c>
      <c r="L2067" s="6">
        <v>4690654011864</v>
      </c>
      <c r="M2067" s="7" t="s">
        <v>4091</v>
      </c>
      <c r="N2067" s="8">
        <f>VLOOKUP(B2067,'[1]новый без картинок'!$A$5:$F$2672,6,0)</f>
        <v>755</v>
      </c>
    </row>
    <row r="2068" spans="1:14" ht="151.15" customHeight="1" x14ac:dyDescent="0.2">
      <c r="A2068" s="3">
        <v>2066</v>
      </c>
      <c r="B2068" s="3">
        <v>203274</v>
      </c>
      <c r="C2068" s="4" t="str">
        <f>HYPERLINK("http://optservis.net:5080/photo?tov_code_internet=203274","Увеличить")</f>
        <v>Увеличить</v>
      </c>
      <c r="D2068" s="3" t="s">
        <v>4092</v>
      </c>
      <c r="E2068" s="3" t="s">
        <v>4093</v>
      </c>
      <c r="F2068" s="3" t="s">
        <v>71</v>
      </c>
      <c r="G2068" s="3" t="s">
        <v>17</v>
      </c>
      <c r="H2068" s="3">
        <v>1</v>
      </c>
      <c r="I2068" s="3">
        <v>1</v>
      </c>
      <c r="J2068" s="3" t="s">
        <v>18</v>
      </c>
      <c r="K2068" s="5">
        <v>0.02</v>
      </c>
      <c r="L2068" s="6">
        <v>4690654017859</v>
      </c>
      <c r="M2068" s="7" t="s">
        <v>4094</v>
      </c>
      <c r="N2068" s="8">
        <f>VLOOKUP(B2068,'[1]новый без картинок'!$A$5:$F$2672,6,0)</f>
        <v>130</v>
      </c>
    </row>
    <row r="2069" spans="1:14" ht="149.44999999999999" customHeight="1" x14ac:dyDescent="0.2">
      <c r="A2069" s="3">
        <v>2067</v>
      </c>
      <c r="B2069" s="3">
        <v>203276</v>
      </c>
      <c r="C2069" s="4" t="str">
        <f>HYPERLINK("http://optservis.net:5080/photo?tov_code_internet=203276","Увеличить")</f>
        <v>Увеличить</v>
      </c>
      <c r="D2069" s="3" t="s">
        <v>4092</v>
      </c>
      <c r="E2069" s="3" t="s">
        <v>4093</v>
      </c>
      <c r="F2069" s="3" t="s">
        <v>3641</v>
      </c>
      <c r="G2069" s="3" t="s">
        <v>17</v>
      </c>
      <c r="H2069" s="3">
        <v>1</v>
      </c>
      <c r="I2069" s="3">
        <v>1</v>
      </c>
      <c r="J2069" s="3" t="s">
        <v>18</v>
      </c>
      <c r="K2069" s="5">
        <v>0.03</v>
      </c>
      <c r="L2069" s="6">
        <v>4690654019105</v>
      </c>
      <c r="M2069" s="7" t="s">
        <v>4095</v>
      </c>
      <c r="N2069" s="8">
        <f>VLOOKUP(B2069,'[1]новый без картинок'!$A$5:$F$2672,6,0)</f>
        <v>133</v>
      </c>
    </row>
    <row r="2070" spans="1:14" ht="138.6" customHeight="1" x14ac:dyDescent="0.2">
      <c r="A2070" s="3">
        <v>2068</v>
      </c>
      <c r="B2070" s="3">
        <v>210736</v>
      </c>
      <c r="C2070" s="4" t="str">
        <f>HYPERLINK("http://optservis.net:5080/photo?tov_code_internet=210736","Увеличить")</f>
        <v>Увеличить</v>
      </c>
      <c r="D2070" s="3" t="s">
        <v>4096</v>
      </c>
      <c r="E2070" s="3" t="s">
        <v>4097</v>
      </c>
      <c r="F2070" s="3" t="s">
        <v>491</v>
      </c>
      <c r="G2070" s="3" t="s">
        <v>17</v>
      </c>
      <c r="H2070" s="3">
        <v>2</v>
      </c>
      <c r="I2070" s="3">
        <v>1</v>
      </c>
      <c r="J2070" s="3" t="s">
        <v>18</v>
      </c>
      <c r="K2070" s="5">
        <v>0.32</v>
      </c>
      <c r="L2070" s="6">
        <v>4690654018818</v>
      </c>
      <c r="M2070" s="7" t="s">
        <v>4098</v>
      </c>
      <c r="N2070" s="8">
        <f>VLOOKUP(B2070,'[1]новый без картинок'!$A$5:$F$2672,6,0)</f>
        <v>96</v>
      </c>
    </row>
    <row r="2071" spans="1:14" ht="138.6" customHeight="1" x14ac:dyDescent="0.2">
      <c r="A2071" s="3">
        <v>2069</v>
      </c>
      <c r="B2071" s="3">
        <v>909885</v>
      </c>
      <c r="C2071" s="4" t="str">
        <f>HYPERLINK("http://optservis.net:5080/photo?tov_code_internet=909885","Увеличить")</f>
        <v>Увеличить</v>
      </c>
      <c r="D2071" s="3" t="s">
        <v>4096</v>
      </c>
      <c r="E2071" s="3" t="s">
        <v>4097</v>
      </c>
      <c r="F2071" s="3" t="s">
        <v>3644</v>
      </c>
      <c r="G2071" s="3" t="s">
        <v>17</v>
      </c>
      <c r="H2071" s="3">
        <v>2</v>
      </c>
      <c r="I2071" s="3">
        <v>1</v>
      </c>
      <c r="J2071" s="3" t="s">
        <v>18</v>
      </c>
      <c r="K2071" s="5">
        <v>0.32</v>
      </c>
      <c r="L2071" s="6">
        <v>4640020771243</v>
      </c>
      <c r="M2071" s="7" t="s">
        <v>4099</v>
      </c>
      <c r="N2071" s="8">
        <f>VLOOKUP(B2071,'[1]новый без картинок'!$A$5:$F$2672,6,0)</f>
        <v>96</v>
      </c>
    </row>
    <row r="2072" spans="1:14" ht="138.6" customHeight="1" x14ac:dyDescent="0.2">
      <c r="A2072" s="3">
        <v>2070</v>
      </c>
      <c r="B2072" s="3">
        <v>909886</v>
      </c>
      <c r="C2072" s="4" t="str">
        <f>HYPERLINK("http://optservis.net:5080/photo?tov_code_internet=909886","Увеличить")</f>
        <v>Увеличить</v>
      </c>
      <c r="D2072" s="3" t="s">
        <v>4096</v>
      </c>
      <c r="E2072" s="3" t="s">
        <v>4097</v>
      </c>
      <c r="F2072" s="3" t="s">
        <v>3618</v>
      </c>
      <c r="G2072" s="3" t="s">
        <v>17</v>
      </c>
      <c r="H2072" s="3">
        <v>2</v>
      </c>
      <c r="I2072" s="3">
        <v>1</v>
      </c>
      <c r="J2072" s="3" t="s">
        <v>18</v>
      </c>
      <c r="K2072" s="5">
        <v>0.32</v>
      </c>
      <c r="L2072" s="6">
        <v>4640020771250</v>
      </c>
      <c r="M2072" s="7" t="s">
        <v>4099</v>
      </c>
      <c r="N2072" s="8">
        <f>VLOOKUP(B2072,'[1]новый без картинок'!$A$5:$F$2672,6,0)</f>
        <v>105</v>
      </c>
    </row>
    <row r="2073" spans="1:14" ht="138.6" customHeight="1" x14ac:dyDescent="0.2">
      <c r="A2073" s="3">
        <v>2071</v>
      </c>
      <c r="B2073" s="3">
        <v>909887</v>
      </c>
      <c r="C2073" s="4" t="str">
        <f>HYPERLINK("http://optservis.net:5080/photo?tov_code_internet=909887","Увеличить")</f>
        <v>Увеличить</v>
      </c>
      <c r="D2073" s="3" t="s">
        <v>4096</v>
      </c>
      <c r="E2073" s="3" t="s">
        <v>4097</v>
      </c>
      <c r="F2073" s="3" t="s">
        <v>71</v>
      </c>
      <c r="G2073" s="3" t="s">
        <v>17</v>
      </c>
      <c r="H2073" s="3">
        <v>2</v>
      </c>
      <c r="I2073" s="3">
        <v>1</v>
      </c>
      <c r="J2073" s="3" t="s">
        <v>18</v>
      </c>
      <c r="K2073" s="5">
        <v>0.32</v>
      </c>
      <c r="L2073" s="6">
        <v>4640020771267</v>
      </c>
      <c r="M2073" s="7" t="s">
        <v>4100</v>
      </c>
      <c r="N2073" s="8">
        <f>VLOOKUP(B2073,'[1]новый без картинок'!$A$5:$F$2672,6,0)</f>
        <v>96</v>
      </c>
    </row>
    <row r="2074" spans="1:14" ht="138.6" customHeight="1" x14ac:dyDescent="0.2">
      <c r="A2074" s="3">
        <v>2072</v>
      </c>
      <c r="B2074" s="3">
        <v>917505</v>
      </c>
      <c r="C2074" s="4" t="str">
        <f>HYPERLINK("http://optservis.net:5080/photo?tov_code_internet=917505","Увеличить")</f>
        <v>Увеличить</v>
      </c>
      <c r="D2074" s="3" t="s">
        <v>4096</v>
      </c>
      <c r="E2074" s="3" t="s">
        <v>4097</v>
      </c>
      <c r="F2074" s="3" t="s">
        <v>4101</v>
      </c>
      <c r="G2074" s="3" t="s">
        <v>17</v>
      </c>
      <c r="H2074" s="3">
        <v>2</v>
      </c>
      <c r="I2074" s="3">
        <v>1</v>
      </c>
      <c r="J2074" s="3" t="s">
        <v>18</v>
      </c>
      <c r="K2074" s="5">
        <v>0.32</v>
      </c>
      <c r="L2074" s="6">
        <v>4640020771953</v>
      </c>
      <c r="M2074" s="7" t="s">
        <v>4102</v>
      </c>
      <c r="N2074" s="8">
        <f>VLOOKUP(B2074,'[1]новый без картинок'!$A$5:$F$2672,6,0)</f>
        <v>96</v>
      </c>
    </row>
    <row r="2075" spans="1:14" ht="138.6" customHeight="1" x14ac:dyDescent="0.2">
      <c r="A2075" s="3">
        <v>2073</v>
      </c>
      <c r="B2075" s="3">
        <v>954625</v>
      </c>
      <c r="C2075" s="4" t="str">
        <f>HYPERLINK("http://optservis.net:5080/photo?tov_code_internet=954625","Увеличить")</f>
        <v>Увеличить</v>
      </c>
      <c r="D2075" s="3" t="s">
        <v>4103</v>
      </c>
      <c r="E2075" s="3" t="s">
        <v>4104</v>
      </c>
      <c r="F2075" s="3" t="s">
        <v>3746</v>
      </c>
      <c r="G2075" s="3" t="s">
        <v>31</v>
      </c>
      <c r="H2075" s="3">
        <v>1</v>
      </c>
      <c r="I2075" s="3">
        <v>1</v>
      </c>
      <c r="J2075" s="3" t="s">
        <v>18</v>
      </c>
      <c r="K2075" s="5">
        <v>0.03</v>
      </c>
      <c r="L2075" s="6">
        <v>4640020776163</v>
      </c>
      <c r="M2075" s="7" t="s">
        <v>4105</v>
      </c>
      <c r="N2075" s="8">
        <f>VLOOKUP(B2075,'[1]новый без картинок'!$A$5:$F$2672,6,0)</f>
        <v>326</v>
      </c>
    </row>
    <row r="2076" spans="1:14" ht="138.6" customHeight="1" x14ac:dyDescent="0.2">
      <c r="A2076" s="3">
        <v>2074</v>
      </c>
      <c r="B2076" s="3">
        <v>954626</v>
      </c>
      <c r="C2076" s="4" t="str">
        <f>HYPERLINK("http://optservis.net:5080/photo?tov_code_internet=954626","Увеличить")</f>
        <v>Увеличить</v>
      </c>
      <c r="D2076" s="3" t="s">
        <v>4103</v>
      </c>
      <c r="E2076" s="3" t="s">
        <v>4104</v>
      </c>
      <c r="F2076" s="3" t="s">
        <v>4030</v>
      </c>
      <c r="G2076" s="3" t="s">
        <v>31</v>
      </c>
      <c r="H2076" s="3">
        <v>1</v>
      </c>
      <c r="I2076" s="3">
        <v>1</v>
      </c>
      <c r="J2076" s="3" t="s">
        <v>18</v>
      </c>
      <c r="K2076" s="5">
        <v>0.04</v>
      </c>
      <c r="L2076" s="6">
        <v>4640020776170</v>
      </c>
      <c r="M2076" s="7" t="s">
        <v>4106</v>
      </c>
      <c r="N2076" s="8">
        <f>VLOOKUP(B2076,'[1]новый без картинок'!$A$5:$F$2672,6,0)</f>
        <v>443</v>
      </c>
    </row>
    <row r="2077" spans="1:14" ht="138.6" customHeight="1" x14ac:dyDescent="0.2">
      <c r="A2077" s="3">
        <v>2075</v>
      </c>
      <c r="B2077" s="3">
        <v>950362</v>
      </c>
      <c r="C2077" s="4" t="str">
        <f>HYPERLINK("http://optservis.net:5080/photo?tov_code_internet=950362","Увеличить")</f>
        <v>Увеличить</v>
      </c>
      <c r="D2077" s="3" t="s">
        <v>4103</v>
      </c>
      <c r="E2077" s="3" t="s">
        <v>4104</v>
      </c>
      <c r="F2077" s="3" t="s">
        <v>34</v>
      </c>
      <c r="G2077" s="3" t="s">
        <v>31</v>
      </c>
      <c r="H2077" s="3">
        <v>1</v>
      </c>
      <c r="I2077" s="3">
        <v>1</v>
      </c>
      <c r="J2077" s="3" t="s">
        <v>18</v>
      </c>
      <c r="K2077" s="5">
        <v>0.04</v>
      </c>
      <c r="L2077" s="6">
        <v>4640020774039</v>
      </c>
      <c r="M2077" s="7" t="s">
        <v>4107</v>
      </c>
      <c r="N2077" s="8">
        <f>VLOOKUP(B2077,'[1]новый без картинок'!$A$5:$F$2672,6,0)</f>
        <v>287</v>
      </c>
    </row>
    <row r="2078" spans="1:14" ht="138.6" customHeight="1" x14ac:dyDescent="0.2">
      <c r="A2078" s="3">
        <v>2076</v>
      </c>
      <c r="B2078" s="3">
        <v>954627</v>
      </c>
      <c r="C2078" s="4" t="str">
        <f>HYPERLINK("http://optservis.net:5080/photo?tov_code_internet=954627","Увеличить")</f>
        <v>Увеличить</v>
      </c>
      <c r="D2078" s="3" t="s">
        <v>4103</v>
      </c>
      <c r="E2078" s="3" t="s">
        <v>4104</v>
      </c>
      <c r="F2078" s="3" t="s">
        <v>4108</v>
      </c>
      <c r="G2078" s="3" t="s">
        <v>31</v>
      </c>
      <c r="H2078" s="3">
        <v>1</v>
      </c>
      <c r="I2078" s="3">
        <v>1</v>
      </c>
      <c r="J2078" s="3" t="s">
        <v>18</v>
      </c>
      <c r="K2078" s="5">
        <v>0.04</v>
      </c>
      <c r="L2078" s="6">
        <v>4640020776187</v>
      </c>
      <c r="M2078" s="7" t="s">
        <v>4107</v>
      </c>
      <c r="N2078" s="8">
        <f>VLOOKUP(B2078,'[1]новый без картинок'!$A$5:$F$2672,6,0)</f>
        <v>295</v>
      </c>
    </row>
    <row r="2079" spans="1:14" ht="138.6" customHeight="1" x14ac:dyDescent="0.2">
      <c r="A2079" s="3">
        <v>2077</v>
      </c>
      <c r="B2079" s="3">
        <v>919012</v>
      </c>
      <c r="C2079" s="4" t="str">
        <f>HYPERLINK("http://optservis.net:5080/photo?tov_code_internet=919012","Увеличить")</f>
        <v>Увеличить</v>
      </c>
      <c r="D2079" s="3" t="s">
        <v>4109</v>
      </c>
      <c r="E2079" s="3" t="s">
        <v>4110</v>
      </c>
      <c r="F2079" s="3" t="s">
        <v>3618</v>
      </c>
      <c r="G2079" s="3" t="s">
        <v>17</v>
      </c>
      <c r="H2079" s="3">
        <v>1</v>
      </c>
      <c r="I2079" s="3">
        <v>1</v>
      </c>
      <c r="J2079" s="3" t="s">
        <v>18</v>
      </c>
      <c r="K2079" s="5">
        <v>0.32</v>
      </c>
      <c r="L2079" s="6">
        <v>4640020772110</v>
      </c>
      <c r="M2079" s="7" t="s">
        <v>4111</v>
      </c>
      <c r="N2079" s="8">
        <f>VLOOKUP(B2079,'[1]новый без картинок'!$A$5:$F$2672,6,0)</f>
        <v>183</v>
      </c>
    </row>
    <row r="2080" spans="1:14" ht="138.6" customHeight="1" x14ac:dyDescent="0.2">
      <c r="A2080" s="3">
        <v>2078</v>
      </c>
      <c r="B2080" s="3">
        <v>914095</v>
      </c>
      <c r="C2080" s="4" t="str">
        <f>HYPERLINK("http://optservis.net:5080/photo?tov_code_internet=914095","Увеличить")</f>
        <v>Увеличить</v>
      </c>
      <c r="D2080" s="3" t="s">
        <v>4109</v>
      </c>
      <c r="E2080" s="3" t="s">
        <v>4110</v>
      </c>
      <c r="F2080" s="3" t="s">
        <v>71</v>
      </c>
      <c r="G2080" s="3" t="s">
        <v>17</v>
      </c>
      <c r="H2080" s="3">
        <v>1</v>
      </c>
      <c r="I2080" s="3">
        <v>1</v>
      </c>
      <c r="J2080" s="3" t="s">
        <v>18</v>
      </c>
      <c r="K2080" s="5">
        <v>0.32</v>
      </c>
      <c r="L2080" s="6">
        <v>4640020771588</v>
      </c>
      <c r="M2080" s="7" t="s">
        <v>4111</v>
      </c>
      <c r="N2080" s="8">
        <f>VLOOKUP(B2080,'[1]новый без картинок'!$A$5:$F$2672,6,0)</f>
        <v>174</v>
      </c>
    </row>
    <row r="2081" spans="1:14" ht="138.6" customHeight="1" x14ac:dyDescent="0.2">
      <c r="A2081" s="3">
        <v>2079</v>
      </c>
      <c r="B2081" s="3">
        <v>919765</v>
      </c>
      <c r="C2081" s="4" t="str">
        <f>HYPERLINK("http://optservis.net:5080/photo?tov_code_internet=919765","Увеличить")</f>
        <v>Увеличить</v>
      </c>
      <c r="D2081" s="3" t="s">
        <v>4109</v>
      </c>
      <c r="E2081" s="3" t="s">
        <v>4110</v>
      </c>
      <c r="F2081" s="3" t="s">
        <v>4112</v>
      </c>
      <c r="G2081" s="3" t="s">
        <v>17</v>
      </c>
      <c r="H2081" s="3">
        <v>1</v>
      </c>
      <c r="I2081" s="3">
        <v>1</v>
      </c>
      <c r="J2081" s="3" t="s">
        <v>18</v>
      </c>
      <c r="K2081" s="5">
        <v>0.33</v>
      </c>
      <c r="L2081" s="6">
        <v>4640020772172</v>
      </c>
      <c r="M2081" s="7" t="s">
        <v>4113</v>
      </c>
      <c r="N2081" s="8">
        <f>VLOOKUP(B2081,'[1]новый без картинок'!$A$5:$F$2672,6,0)</f>
        <v>163</v>
      </c>
    </row>
    <row r="2082" spans="1:14" ht="138.6" customHeight="1" x14ac:dyDescent="0.2">
      <c r="A2082" s="3">
        <v>2080</v>
      </c>
      <c r="B2082" s="3">
        <v>975822</v>
      </c>
      <c r="C2082" s="4" t="str">
        <f>HYPERLINK("http://optservis.net:5080/photo?tov_code_internet=975822","Увеличить")</f>
        <v>Увеличить</v>
      </c>
      <c r="D2082" s="3" t="s">
        <v>4114</v>
      </c>
      <c r="E2082" s="3" t="s">
        <v>4115</v>
      </c>
      <c r="F2082" s="3" t="s">
        <v>4116</v>
      </c>
      <c r="G2082" s="3" t="s">
        <v>17</v>
      </c>
      <c r="H2082" s="3">
        <v>1</v>
      </c>
      <c r="I2082" s="3">
        <v>1</v>
      </c>
      <c r="J2082" s="3" t="s">
        <v>18</v>
      </c>
      <c r="K2082" s="5">
        <v>0.03</v>
      </c>
      <c r="L2082" s="6">
        <v>4640020778198</v>
      </c>
      <c r="M2082" s="7" t="s">
        <v>4117</v>
      </c>
      <c r="N2082" s="8">
        <f>VLOOKUP(B2082,'[1]новый без картинок'!$A$5:$F$2672,6,0)</f>
        <v>117</v>
      </c>
    </row>
    <row r="2083" spans="1:14" ht="138.6" customHeight="1" x14ac:dyDescent="0.2">
      <c r="A2083" s="3">
        <v>2081</v>
      </c>
      <c r="B2083" s="3">
        <v>975821</v>
      </c>
      <c r="C2083" s="4" t="str">
        <f>HYPERLINK("http://optservis.net:5080/photo?tov_code_internet=975821","Увеличить")</f>
        <v>Увеличить</v>
      </c>
      <c r="D2083" s="3" t="s">
        <v>4114</v>
      </c>
      <c r="E2083" s="3" t="s">
        <v>4115</v>
      </c>
      <c r="F2083" s="3" t="s">
        <v>3649</v>
      </c>
      <c r="G2083" s="3" t="s">
        <v>17</v>
      </c>
      <c r="H2083" s="3">
        <v>1</v>
      </c>
      <c r="I2083" s="3">
        <v>1</v>
      </c>
      <c r="J2083" s="3" t="s">
        <v>18</v>
      </c>
      <c r="K2083" s="5">
        <v>0.03</v>
      </c>
      <c r="L2083" s="6">
        <v>4640020778204</v>
      </c>
      <c r="M2083" s="7" t="s">
        <v>4117</v>
      </c>
      <c r="N2083" s="8">
        <f>VLOOKUP(B2083,'[1]новый без картинок'!$A$5:$F$2672,6,0)</f>
        <v>117</v>
      </c>
    </row>
    <row r="2084" spans="1:14" ht="149.44999999999999" customHeight="1" x14ac:dyDescent="0.2">
      <c r="A2084" s="3">
        <v>2082</v>
      </c>
      <c r="B2084" s="3">
        <v>992170</v>
      </c>
      <c r="C2084" s="4" t="str">
        <f>HYPERLINK("http://optservis.net:5080/photo?tov_code_internet=992170","Увеличить")</f>
        <v>Увеличить</v>
      </c>
      <c r="D2084" s="3" t="s">
        <v>4118</v>
      </c>
      <c r="E2084" s="3" t="s">
        <v>4119</v>
      </c>
      <c r="F2084" s="3" t="s">
        <v>1199</v>
      </c>
      <c r="G2084" s="3" t="s">
        <v>59</v>
      </c>
      <c r="H2084" s="3">
        <v>1</v>
      </c>
      <c r="I2084" s="3">
        <v>1</v>
      </c>
      <c r="J2084" s="3" t="s">
        <v>18</v>
      </c>
      <c r="K2084" s="5">
        <v>0.02</v>
      </c>
      <c r="L2084" s="6">
        <v>4690654003050</v>
      </c>
      <c r="M2084" s="7" t="s">
        <v>4120</v>
      </c>
      <c r="N2084" s="8">
        <f>VLOOKUP(B2084,'[1]новый без картинок'!$A$5:$F$2672,6,0)</f>
        <v>308</v>
      </c>
    </row>
    <row r="2085" spans="1:14" ht="138.6" customHeight="1" x14ac:dyDescent="0.2">
      <c r="A2085" s="3">
        <v>2083</v>
      </c>
      <c r="B2085" s="3">
        <v>951332</v>
      </c>
      <c r="C2085" s="4" t="str">
        <f>HYPERLINK("http://optservis.net:5080/photo?tov_code_internet=951332","Увеличить")</f>
        <v>Увеличить</v>
      </c>
      <c r="D2085" s="3" t="s">
        <v>4118</v>
      </c>
      <c r="E2085" s="3" t="s">
        <v>4119</v>
      </c>
      <c r="F2085" s="3" t="s">
        <v>4121</v>
      </c>
      <c r="G2085" s="3" t="s">
        <v>59</v>
      </c>
      <c r="H2085" s="3">
        <v>1</v>
      </c>
      <c r="I2085" s="3">
        <v>1</v>
      </c>
      <c r="J2085" s="3" t="s">
        <v>18</v>
      </c>
      <c r="K2085" s="5">
        <v>0.02</v>
      </c>
      <c r="L2085" s="6">
        <v>4640020775746</v>
      </c>
      <c r="M2085" s="7" t="s">
        <v>4120</v>
      </c>
      <c r="N2085" s="8">
        <f>VLOOKUP(B2085,'[1]новый без картинок'!$A$5:$F$2672,6,0)</f>
        <v>313</v>
      </c>
    </row>
    <row r="2086" spans="1:14" ht="149.44999999999999" customHeight="1" x14ac:dyDescent="0.2">
      <c r="A2086" s="3">
        <v>2084</v>
      </c>
      <c r="B2086" s="3">
        <v>951333</v>
      </c>
      <c r="C2086" s="4" t="str">
        <f>HYPERLINK("http://optservis.net:5080/photo?tov_code_internet=951333","Увеличить")</f>
        <v>Увеличить</v>
      </c>
      <c r="D2086" s="3" t="s">
        <v>4122</v>
      </c>
      <c r="E2086" s="3" t="s">
        <v>4123</v>
      </c>
      <c r="F2086" s="3" t="s">
        <v>4124</v>
      </c>
      <c r="G2086" s="3" t="s">
        <v>1399</v>
      </c>
      <c r="H2086" s="3">
        <v>1</v>
      </c>
      <c r="I2086" s="3">
        <v>1</v>
      </c>
      <c r="J2086" s="3" t="s">
        <v>18</v>
      </c>
      <c r="K2086" s="5">
        <v>0.01</v>
      </c>
      <c r="L2086" s="6">
        <v>4640020779188</v>
      </c>
      <c r="M2086" s="7" t="s">
        <v>4125</v>
      </c>
      <c r="N2086" s="8">
        <f>VLOOKUP(B2086,'[1]новый без картинок'!$A$5:$F$2672,6,0)</f>
        <v>324</v>
      </c>
    </row>
    <row r="2087" spans="1:14" ht="153" customHeight="1" x14ac:dyDescent="0.2">
      <c r="A2087" s="3">
        <v>2085</v>
      </c>
      <c r="B2087" s="3">
        <v>191241</v>
      </c>
      <c r="C2087" s="4" t="str">
        <f>HYPERLINK("http://optservis.net:5080/photo?tov_code_internet=191241","Увеличить")</f>
        <v>Увеличить</v>
      </c>
      <c r="D2087" s="3" t="s">
        <v>4126</v>
      </c>
      <c r="E2087" s="3" t="s">
        <v>4127</v>
      </c>
      <c r="F2087" s="3" t="s">
        <v>688</v>
      </c>
      <c r="G2087" s="3" t="s">
        <v>59</v>
      </c>
      <c r="H2087" s="3">
        <v>1</v>
      </c>
      <c r="I2087" s="3">
        <v>1</v>
      </c>
      <c r="J2087" s="3" t="s">
        <v>18</v>
      </c>
      <c r="K2087" s="5">
        <v>0.05</v>
      </c>
      <c r="L2087" s="6">
        <v>4640020778136</v>
      </c>
      <c r="M2087" s="7" t="s">
        <v>4128</v>
      </c>
      <c r="N2087" s="8">
        <f>VLOOKUP(B2087,'[1]новый без картинок'!$A$5:$F$2672,6,0)</f>
        <v>316</v>
      </c>
    </row>
    <row r="2088" spans="1:14" ht="138.6" customHeight="1" x14ac:dyDescent="0.2">
      <c r="A2088" s="3">
        <v>2086</v>
      </c>
      <c r="B2088" s="3">
        <v>191152</v>
      </c>
      <c r="C2088" s="4" t="str">
        <f>HYPERLINK("http://optservis.net:5080/photo?tov_code_internet=191152","Увеличить")</f>
        <v>Увеличить</v>
      </c>
      <c r="D2088" s="3" t="s">
        <v>4129</v>
      </c>
      <c r="E2088" s="3" t="s">
        <v>4130</v>
      </c>
      <c r="F2088" s="3" t="s">
        <v>71</v>
      </c>
      <c r="G2088" s="3" t="s">
        <v>17</v>
      </c>
      <c r="H2088" s="3">
        <v>1</v>
      </c>
      <c r="I2088" s="3">
        <v>1</v>
      </c>
      <c r="J2088" s="3" t="s">
        <v>18</v>
      </c>
      <c r="K2088" s="5">
        <v>0.02</v>
      </c>
      <c r="L2088" s="6">
        <v>4690654014186</v>
      </c>
      <c r="M2088" s="7" t="s">
        <v>4131</v>
      </c>
      <c r="N2088" s="8">
        <f>VLOOKUP(B2088,'[1]новый без картинок'!$A$5:$F$2672,6,0)</f>
        <v>129</v>
      </c>
    </row>
    <row r="2089" spans="1:14" ht="151.15" customHeight="1" x14ac:dyDescent="0.2">
      <c r="A2089" s="3">
        <v>2087</v>
      </c>
      <c r="B2089" s="3">
        <v>153863</v>
      </c>
      <c r="C2089" s="4" t="str">
        <f>HYPERLINK("http://optservis.net:5080/photo?tov_code_internet=153863","Увеличить")</f>
        <v>Увеличить</v>
      </c>
      <c r="D2089" s="3" t="s">
        <v>4132</v>
      </c>
      <c r="E2089" s="3" t="s">
        <v>4133</v>
      </c>
      <c r="F2089" s="3" t="s">
        <v>1199</v>
      </c>
      <c r="G2089" s="3" t="s">
        <v>59</v>
      </c>
      <c r="H2089" s="3">
        <v>1</v>
      </c>
      <c r="I2089" s="3">
        <v>1</v>
      </c>
      <c r="J2089" s="3" t="s">
        <v>18</v>
      </c>
      <c r="K2089" s="5">
        <v>0.02</v>
      </c>
      <c r="L2089" s="6">
        <v>4690654005993</v>
      </c>
      <c r="M2089" s="7" t="s">
        <v>4134</v>
      </c>
      <c r="N2089" s="8">
        <f>VLOOKUP(B2089,'[1]новый без картинок'!$A$5:$F$2672,6,0)</f>
        <v>306</v>
      </c>
    </row>
    <row r="2090" spans="1:14" ht="149.44999999999999" customHeight="1" x14ac:dyDescent="0.2">
      <c r="A2090" s="3">
        <v>2088</v>
      </c>
      <c r="B2090" s="3">
        <v>153864</v>
      </c>
      <c r="C2090" s="4" t="str">
        <f>HYPERLINK("http://optservis.net:5080/photo?tov_code_internet=153864","Увеличить")</f>
        <v>Увеличить</v>
      </c>
      <c r="D2090" s="3" t="s">
        <v>4132</v>
      </c>
      <c r="E2090" s="3" t="s">
        <v>4133</v>
      </c>
      <c r="F2090" s="3" t="s">
        <v>4121</v>
      </c>
      <c r="G2090" s="3" t="s">
        <v>59</v>
      </c>
      <c r="H2090" s="3">
        <v>1</v>
      </c>
      <c r="I2090" s="3">
        <v>1</v>
      </c>
      <c r="J2090" s="3" t="s">
        <v>18</v>
      </c>
      <c r="K2090" s="5">
        <v>0.02</v>
      </c>
      <c r="L2090" s="6">
        <v>4690654006006</v>
      </c>
      <c r="M2090" s="7" t="s">
        <v>4134</v>
      </c>
      <c r="N2090" s="8">
        <f>VLOOKUP(B2090,'[1]новый без картинок'!$A$5:$F$2672,6,0)</f>
        <v>308</v>
      </c>
    </row>
    <row r="2091" spans="1:14" ht="151.15" customHeight="1" x14ac:dyDescent="0.2">
      <c r="A2091" s="3">
        <v>2089</v>
      </c>
      <c r="B2091" s="3">
        <v>981573</v>
      </c>
      <c r="C2091" s="4" t="str">
        <f>HYPERLINK("http://optservis.net:5080/photo?tov_code_internet=981573","Увеличить")</f>
        <v>Увеличить</v>
      </c>
      <c r="D2091" s="3" t="s">
        <v>4135</v>
      </c>
      <c r="E2091" s="3" t="s">
        <v>4136</v>
      </c>
      <c r="F2091" s="3" t="s">
        <v>4137</v>
      </c>
      <c r="G2091" s="3" t="s">
        <v>59</v>
      </c>
      <c r="H2091" s="3">
        <v>1</v>
      </c>
      <c r="I2091" s="3">
        <v>1</v>
      </c>
      <c r="J2091" s="3" t="s">
        <v>18</v>
      </c>
      <c r="K2091" s="5">
        <v>0.03</v>
      </c>
      <c r="L2091" s="6">
        <v>4640020778150</v>
      </c>
      <c r="M2091" s="7" t="s">
        <v>4138</v>
      </c>
      <c r="N2091" s="8">
        <f>VLOOKUP(B2091,'[1]новый без картинок'!$A$5:$F$2672,6,0)</f>
        <v>417</v>
      </c>
    </row>
    <row r="2092" spans="1:14" ht="153" customHeight="1" x14ac:dyDescent="0.2">
      <c r="A2092" s="3">
        <v>2090</v>
      </c>
      <c r="B2092" s="3">
        <v>186409</v>
      </c>
      <c r="C2092" s="4" t="str">
        <f>HYPERLINK("http://optservis.net:5080/photo?tov_code_internet=186409","Увеличить")</f>
        <v>Увеличить</v>
      </c>
      <c r="D2092" s="3" t="s">
        <v>4139</v>
      </c>
      <c r="E2092" s="3" t="s">
        <v>4140</v>
      </c>
      <c r="F2092" s="3" t="s">
        <v>688</v>
      </c>
      <c r="G2092" s="3" t="s">
        <v>59</v>
      </c>
      <c r="H2092" s="3">
        <v>1</v>
      </c>
      <c r="I2092" s="3">
        <v>1</v>
      </c>
      <c r="J2092" s="3" t="s">
        <v>18</v>
      </c>
      <c r="K2092" s="5">
        <v>0.04</v>
      </c>
      <c r="L2092" s="6">
        <v>4690654015022</v>
      </c>
      <c r="M2092" s="7" t="s">
        <v>4141</v>
      </c>
      <c r="N2092" s="8">
        <f>VLOOKUP(B2092,'[1]новый без картинок'!$A$5:$F$2672,6,0)</f>
        <v>291</v>
      </c>
    </row>
    <row r="2093" spans="1:14" ht="151.15" customHeight="1" x14ac:dyDescent="0.2">
      <c r="A2093" s="3">
        <v>2091</v>
      </c>
      <c r="B2093" s="3">
        <v>148295</v>
      </c>
      <c r="C2093" s="4" t="str">
        <f>HYPERLINK("http://optservis.net:5080/photo?tov_code_internet=148295","Увеличить")</f>
        <v>Увеличить</v>
      </c>
      <c r="D2093" s="3" t="s">
        <v>4142</v>
      </c>
      <c r="E2093" s="3" t="s">
        <v>4143</v>
      </c>
      <c r="F2093" s="3" t="s">
        <v>3618</v>
      </c>
      <c r="G2093" s="3" t="s">
        <v>17</v>
      </c>
      <c r="H2093" s="3">
        <v>4</v>
      </c>
      <c r="I2093" s="3">
        <v>1</v>
      </c>
      <c r="J2093" s="3" t="s">
        <v>18</v>
      </c>
      <c r="K2093" s="5">
        <v>0.17</v>
      </c>
      <c r="L2093" s="6">
        <v>4690654005559</v>
      </c>
      <c r="M2093" s="7" t="s">
        <v>4144</v>
      </c>
      <c r="N2093" s="8">
        <f>VLOOKUP(B2093,'[1]новый без картинок'!$A$5:$F$2672,6,0)</f>
        <v>78</v>
      </c>
    </row>
    <row r="2094" spans="1:14" ht="151.15" customHeight="1" x14ac:dyDescent="0.2">
      <c r="A2094" s="3">
        <v>2092</v>
      </c>
      <c r="B2094" s="3">
        <v>148296</v>
      </c>
      <c r="C2094" s="4" t="str">
        <f>HYPERLINK("http://optservis.net:5080/photo?tov_code_internet=148296","Увеличить")</f>
        <v>Увеличить</v>
      </c>
      <c r="D2094" s="3" t="s">
        <v>4142</v>
      </c>
      <c r="E2094" s="3" t="s">
        <v>4143</v>
      </c>
      <c r="F2094" s="3" t="s">
        <v>71</v>
      </c>
      <c r="G2094" s="3" t="s">
        <v>17</v>
      </c>
      <c r="H2094" s="3">
        <v>4</v>
      </c>
      <c r="I2094" s="3">
        <v>1</v>
      </c>
      <c r="J2094" s="3" t="s">
        <v>18</v>
      </c>
      <c r="K2094" s="5">
        <v>0.17</v>
      </c>
      <c r="L2094" s="6">
        <v>4690654004538</v>
      </c>
      <c r="M2094" s="7" t="s">
        <v>4144</v>
      </c>
      <c r="N2094" s="8">
        <f>VLOOKUP(B2094,'[1]новый без картинок'!$A$5:$F$2672,6,0)</f>
        <v>70</v>
      </c>
    </row>
    <row r="2095" spans="1:14" ht="173.65" customHeight="1" x14ac:dyDescent="0.2">
      <c r="A2095" s="3">
        <v>2093</v>
      </c>
      <c r="B2095" s="3">
        <v>173699</v>
      </c>
      <c r="C2095" s="4" t="str">
        <f>HYPERLINK("http://optservis.net:5080/photo?tov_code_internet=173699","Увеличить")</f>
        <v>Увеличить</v>
      </c>
      <c r="D2095" s="3" t="s">
        <v>4145</v>
      </c>
      <c r="E2095" s="3"/>
      <c r="F2095" s="3" t="s">
        <v>4146</v>
      </c>
      <c r="G2095" s="3" t="s">
        <v>17</v>
      </c>
      <c r="H2095" s="3">
        <v>2</v>
      </c>
      <c r="I2095" s="3">
        <v>1</v>
      </c>
      <c r="J2095" s="3" t="s">
        <v>18</v>
      </c>
      <c r="K2095" s="5">
        <v>0</v>
      </c>
      <c r="L2095" s="6">
        <v>0</v>
      </c>
      <c r="M2095" s="7" t="s">
        <v>4147</v>
      </c>
      <c r="N2095" s="8">
        <f>VLOOKUP(B2095,'[1]новый без картинок'!$A$5:$F$2672,6,0)</f>
        <v>74</v>
      </c>
    </row>
    <row r="2096" spans="1:14" ht="151.15" customHeight="1" x14ac:dyDescent="0.2">
      <c r="A2096" s="3">
        <v>2094</v>
      </c>
      <c r="B2096" s="3">
        <v>148303</v>
      </c>
      <c r="C2096" s="4" t="str">
        <f>HYPERLINK("http://optservis.net:5080/photo?tov_code_internet=148303","Увеличить")</f>
        <v>Увеличить</v>
      </c>
      <c r="D2096" s="3" t="s">
        <v>4145</v>
      </c>
      <c r="E2096" s="3" t="s">
        <v>4148</v>
      </c>
      <c r="F2096" s="3" t="s">
        <v>3618</v>
      </c>
      <c r="G2096" s="3" t="s">
        <v>17</v>
      </c>
      <c r="H2096" s="3">
        <v>2</v>
      </c>
      <c r="I2096" s="3">
        <v>1</v>
      </c>
      <c r="J2096" s="3" t="s">
        <v>18</v>
      </c>
      <c r="K2096" s="5">
        <v>0.14000000000000001</v>
      </c>
      <c r="L2096" s="6">
        <v>4690654004545</v>
      </c>
      <c r="M2096" s="7" t="s">
        <v>4149</v>
      </c>
      <c r="N2096" s="8">
        <f>VLOOKUP(B2096,'[1]новый без картинок'!$A$5:$F$2672,6,0)</f>
        <v>140</v>
      </c>
    </row>
    <row r="2097" spans="1:14" ht="151.15" customHeight="1" x14ac:dyDescent="0.2">
      <c r="A2097" s="3">
        <v>2095</v>
      </c>
      <c r="B2097" s="3">
        <v>148304</v>
      </c>
      <c r="C2097" s="4" t="str">
        <f>HYPERLINK("http://optservis.net:5080/photo?tov_code_internet=148304","Увеличить")</f>
        <v>Увеличить</v>
      </c>
      <c r="D2097" s="3" t="s">
        <v>4145</v>
      </c>
      <c r="E2097" s="3" t="s">
        <v>4148</v>
      </c>
      <c r="F2097" s="3" t="s">
        <v>71</v>
      </c>
      <c r="G2097" s="3" t="s">
        <v>17</v>
      </c>
      <c r="H2097" s="3">
        <v>2</v>
      </c>
      <c r="I2097" s="3">
        <v>1</v>
      </c>
      <c r="J2097" s="3" t="s">
        <v>18</v>
      </c>
      <c r="K2097" s="5">
        <v>0.14000000000000001</v>
      </c>
      <c r="L2097" s="6">
        <v>4690654004552</v>
      </c>
      <c r="M2097" s="7" t="s">
        <v>4149</v>
      </c>
      <c r="N2097" s="8">
        <f>VLOOKUP(B2097,'[1]новый без картинок'!$A$5:$F$2672,6,0)</f>
        <v>134</v>
      </c>
    </row>
    <row r="2098" spans="1:14" ht="149.44999999999999" customHeight="1" x14ac:dyDescent="0.2">
      <c r="A2098" s="3">
        <v>2096</v>
      </c>
      <c r="B2098" s="3">
        <v>149489</v>
      </c>
      <c r="C2098" s="4" t="str">
        <f>HYPERLINK("http://optservis.net:5080/photo?tov_code_internet=149489","Увеличить")</f>
        <v>Увеличить</v>
      </c>
      <c r="D2098" s="3" t="s">
        <v>4150</v>
      </c>
      <c r="E2098" s="3" t="s">
        <v>4151</v>
      </c>
      <c r="F2098" s="3" t="s">
        <v>3618</v>
      </c>
      <c r="G2098" s="3" t="s">
        <v>17</v>
      </c>
      <c r="H2098" s="3">
        <v>3</v>
      </c>
      <c r="I2098" s="3">
        <v>1</v>
      </c>
      <c r="J2098" s="3" t="s">
        <v>18</v>
      </c>
      <c r="K2098" s="5">
        <v>0.17</v>
      </c>
      <c r="L2098" s="6">
        <v>4690654006273</v>
      </c>
      <c r="M2098" s="7" t="s">
        <v>4152</v>
      </c>
      <c r="N2098" s="8">
        <f>VLOOKUP(B2098,'[1]новый без картинок'!$A$5:$F$2672,6,0)</f>
        <v>82</v>
      </c>
    </row>
    <row r="2099" spans="1:14" ht="151.15" customHeight="1" x14ac:dyDescent="0.2">
      <c r="A2099" s="3">
        <v>2097</v>
      </c>
      <c r="B2099" s="3">
        <v>149488</v>
      </c>
      <c r="C2099" s="4" t="str">
        <f>HYPERLINK("http://optservis.net:5080/photo?tov_code_internet=149488","Увеличить")</f>
        <v>Увеличить</v>
      </c>
      <c r="D2099" s="3" t="s">
        <v>4150</v>
      </c>
      <c r="E2099" s="3" t="s">
        <v>4151</v>
      </c>
      <c r="F2099" s="3" t="s">
        <v>71</v>
      </c>
      <c r="G2099" s="3" t="s">
        <v>17</v>
      </c>
      <c r="H2099" s="3">
        <v>3</v>
      </c>
      <c r="I2099" s="3">
        <v>1</v>
      </c>
      <c r="J2099" s="3" t="s">
        <v>18</v>
      </c>
      <c r="K2099" s="5">
        <v>0.17</v>
      </c>
      <c r="L2099" s="6">
        <v>4690654005016</v>
      </c>
      <c r="M2099" s="7" t="s">
        <v>4152</v>
      </c>
      <c r="N2099" s="8">
        <f>VLOOKUP(B2099,'[1]новый без картинок'!$A$5:$F$2672,6,0)</f>
        <v>75</v>
      </c>
    </row>
    <row r="2100" spans="1:14" ht="153.94999999999999" customHeight="1" x14ac:dyDescent="0.2">
      <c r="A2100" s="3">
        <v>2098</v>
      </c>
      <c r="B2100" s="3">
        <v>154245</v>
      </c>
      <c r="C2100" s="4" t="str">
        <f>HYPERLINK("http://optservis.net:5080/photo?tov_code_internet=154245","Увеличить")</f>
        <v>Увеличить</v>
      </c>
      <c r="D2100" s="3" t="s">
        <v>4153</v>
      </c>
      <c r="E2100" s="3" t="s">
        <v>4154</v>
      </c>
      <c r="F2100" s="3" t="s">
        <v>3618</v>
      </c>
      <c r="G2100" s="3" t="s">
        <v>17</v>
      </c>
      <c r="H2100" s="3">
        <v>4</v>
      </c>
      <c r="I2100" s="3">
        <v>1</v>
      </c>
      <c r="J2100" s="3" t="s">
        <v>18</v>
      </c>
      <c r="K2100" s="5">
        <v>0.18</v>
      </c>
      <c r="L2100" s="6">
        <v>4690654006860</v>
      </c>
      <c r="M2100" s="7" t="s">
        <v>4155</v>
      </c>
      <c r="N2100" s="8">
        <f>VLOOKUP(B2100,'[1]новый без картинок'!$A$5:$F$2672,6,0)</f>
        <v>170</v>
      </c>
    </row>
    <row r="2101" spans="1:14" ht="153.94999999999999" customHeight="1" x14ac:dyDescent="0.2">
      <c r="A2101" s="3">
        <v>2099</v>
      </c>
      <c r="B2101" s="3">
        <v>154244</v>
      </c>
      <c r="C2101" s="4" t="str">
        <f>HYPERLINK("http://optservis.net:5080/photo?tov_code_internet=154244","Увеличить")</f>
        <v>Увеличить</v>
      </c>
      <c r="D2101" s="3" t="s">
        <v>4153</v>
      </c>
      <c r="E2101" s="3" t="s">
        <v>4154</v>
      </c>
      <c r="F2101" s="3" t="s">
        <v>71</v>
      </c>
      <c r="G2101" s="3" t="s">
        <v>17</v>
      </c>
      <c r="H2101" s="3">
        <v>4</v>
      </c>
      <c r="I2101" s="3">
        <v>1</v>
      </c>
      <c r="J2101" s="3" t="s">
        <v>18</v>
      </c>
      <c r="K2101" s="5">
        <v>0.34</v>
      </c>
      <c r="L2101" s="6">
        <v>4690654006877</v>
      </c>
      <c r="M2101" s="7" t="s">
        <v>4155</v>
      </c>
      <c r="N2101" s="8">
        <f>VLOOKUP(B2101,'[1]новый без картинок'!$A$5:$F$2672,6,0)</f>
        <v>163</v>
      </c>
    </row>
    <row r="2102" spans="1:14" ht="149.44999999999999" customHeight="1" x14ac:dyDescent="0.2">
      <c r="A2102" s="3">
        <v>2100</v>
      </c>
      <c r="B2102" s="3">
        <v>154246</v>
      </c>
      <c r="C2102" s="4" t="str">
        <f>HYPERLINK("http://optservis.net:5080/photo?tov_code_internet=154246","Увеличить")</f>
        <v>Увеличить</v>
      </c>
      <c r="D2102" s="3" t="s">
        <v>4156</v>
      </c>
      <c r="E2102" s="3" t="s">
        <v>4157</v>
      </c>
      <c r="F2102" s="3" t="s">
        <v>71</v>
      </c>
      <c r="G2102" s="3" t="s">
        <v>17</v>
      </c>
      <c r="H2102" s="3">
        <v>4</v>
      </c>
      <c r="I2102" s="3">
        <v>1</v>
      </c>
      <c r="J2102" s="3" t="s">
        <v>18</v>
      </c>
      <c r="K2102" s="5">
        <v>0.17</v>
      </c>
      <c r="L2102" s="6">
        <v>4690654006884</v>
      </c>
      <c r="M2102" s="7" t="s">
        <v>4158</v>
      </c>
      <c r="N2102" s="8">
        <f>VLOOKUP(B2102,'[1]новый без картинок'!$A$5:$F$2672,6,0)</f>
        <v>125</v>
      </c>
    </row>
    <row r="2103" spans="1:14" ht="151.15" customHeight="1" x14ac:dyDescent="0.2">
      <c r="A2103" s="3">
        <v>2101</v>
      </c>
      <c r="B2103" s="3">
        <v>168064</v>
      </c>
      <c r="C2103" s="4" t="str">
        <f>HYPERLINK("http://optservis.net:5080/photo?tov_code_internet=168064","Увеличить")</f>
        <v>Увеличить</v>
      </c>
      <c r="D2103" s="3" t="s">
        <v>4159</v>
      </c>
      <c r="E2103" s="3" t="s">
        <v>4160</v>
      </c>
      <c r="F2103" s="3" t="s">
        <v>20</v>
      </c>
      <c r="G2103" s="3" t="s">
        <v>788</v>
      </c>
      <c r="H2103" s="3">
        <v>0.5</v>
      </c>
      <c r="I2103" s="3">
        <v>0</v>
      </c>
      <c r="J2103" s="3" t="s">
        <v>18</v>
      </c>
      <c r="K2103" s="5">
        <v>0.02</v>
      </c>
      <c r="L2103" s="6">
        <v>4690654008956</v>
      </c>
      <c r="M2103" s="7" t="s">
        <v>4161</v>
      </c>
      <c r="N2103" s="8">
        <f>VLOOKUP(B2103,'[1]новый без картинок'!$A$5:$F$2672,6,0)</f>
        <v>178</v>
      </c>
    </row>
    <row r="2104" spans="1:14" ht="151.15" customHeight="1" x14ac:dyDescent="0.2">
      <c r="A2104" s="3">
        <v>2102</v>
      </c>
      <c r="B2104" s="3">
        <v>170001</v>
      </c>
      <c r="C2104" s="4" t="str">
        <f>HYPERLINK("http://optservis.net:5080/photo?tov_code_internet=170001","Увеличить")</f>
        <v>Увеличить</v>
      </c>
      <c r="D2104" s="3" t="s">
        <v>4162</v>
      </c>
      <c r="E2104" s="3" t="s">
        <v>4163</v>
      </c>
      <c r="F2104" s="3" t="s">
        <v>20</v>
      </c>
      <c r="G2104" s="3" t="s">
        <v>788</v>
      </c>
      <c r="H2104" s="3">
        <v>0.5</v>
      </c>
      <c r="I2104" s="3">
        <v>0</v>
      </c>
      <c r="J2104" s="3" t="s">
        <v>18</v>
      </c>
      <c r="K2104" s="5">
        <v>0</v>
      </c>
      <c r="L2104" s="6">
        <v>4690654008963</v>
      </c>
      <c r="M2104" s="7" t="s">
        <v>4164</v>
      </c>
      <c r="N2104" s="8">
        <f>VLOOKUP(B2104,'[1]новый без картинок'!$A$5:$F$2672,6,0)</f>
        <v>140</v>
      </c>
    </row>
    <row r="2105" spans="1:14" ht="151.15" customHeight="1" x14ac:dyDescent="0.2">
      <c r="A2105" s="3">
        <v>2103</v>
      </c>
      <c r="B2105" s="3">
        <v>185330</v>
      </c>
      <c r="C2105" s="4" t="str">
        <f>HYPERLINK("http://optservis.net:5080/photo?tov_code_internet=185330","Увеличить")</f>
        <v>Увеличить</v>
      </c>
      <c r="D2105" s="3" t="s">
        <v>4165</v>
      </c>
      <c r="E2105" s="3" t="s">
        <v>4166</v>
      </c>
      <c r="F2105" s="3" t="s">
        <v>71</v>
      </c>
      <c r="G2105" s="3" t="s">
        <v>17</v>
      </c>
      <c r="H2105" s="3">
        <v>1</v>
      </c>
      <c r="I2105" s="3">
        <v>1</v>
      </c>
      <c r="J2105" s="3" t="s">
        <v>18</v>
      </c>
      <c r="K2105" s="5">
        <v>0</v>
      </c>
      <c r="L2105" s="6">
        <v>4690654011871</v>
      </c>
      <c r="M2105" s="7" t="s">
        <v>4167</v>
      </c>
      <c r="N2105" s="8">
        <f>VLOOKUP(B2105,'[1]новый без картинок'!$A$5:$F$2672,6,0)</f>
        <v>77</v>
      </c>
    </row>
    <row r="2106" spans="1:14" ht="151.15" customHeight="1" x14ac:dyDescent="0.2">
      <c r="A2106" s="3">
        <v>2104</v>
      </c>
      <c r="B2106" s="3">
        <v>177436</v>
      </c>
      <c r="C2106" s="4" t="str">
        <f>HYPERLINK("http://optservis.net:5080/photo?tov_code_internet=177436","Увеличить")</f>
        <v>Увеличить</v>
      </c>
      <c r="D2106" s="3" t="s">
        <v>4168</v>
      </c>
      <c r="E2106" s="3"/>
      <c r="F2106" s="3" t="s">
        <v>71</v>
      </c>
      <c r="G2106" s="3" t="s">
        <v>17</v>
      </c>
      <c r="H2106" s="3">
        <v>0.5</v>
      </c>
      <c r="I2106" s="3">
        <v>0</v>
      </c>
      <c r="J2106" s="3" t="s">
        <v>18</v>
      </c>
      <c r="K2106" s="5">
        <v>0.01</v>
      </c>
      <c r="L2106" s="6">
        <v>0</v>
      </c>
      <c r="M2106" s="7" t="s">
        <v>4169</v>
      </c>
      <c r="N2106" s="8">
        <f>VLOOKUP(B2106,'[1]новый без картинок'!$A$5:$F$2672,6,0)</f>
        <v>228</v>
      </c>
    </row>
    <row r="2107" spans="1:14" ht="151.15" customHeight="1" x14ac:dyDescent="0.2">
      <c r="A2107" s="3">
        <v>2105</v>
      </c>
      <c r="B2107" s="3">
        <v>199866</v>
      </c>
      <c r="C2107" s="4" t="str">
        <f>HYPERLINK("http://optservis.net:5080/photo?tov_code_internet=199866","Увеличить")</f>
        <v>Увеличить</v>
      </c>
      <c r="D2107" s="3" t="s">
        <v>4170</v>
      </c>
      <c r="E2107" s="3" t="s">
        <v>4171</v>
      </c>
      <c r="F2107" s="3" t="s">
        <v>71</v>
      </c>
      <c r="G2107" s="3" t="s">
        <v>17</v>
      </c>
      <c r="H2107" s="3">
        <v>1</v>
      </c>
      <c r="I2107" s="3">
        <v>1</v>
      </c>
      <c r="J2107" s="3" t="s">
        <v>18</v>
      </c>
      <c r="K2107" s="5">
        <v>0.02</v>
      </c>
      <c r="L2107" s="6">
        <v>4690654011369</v>
      </c>
      <c r="M2107" s="7" t="s">
        <v>4172</v>
      </c>
      <c r="N2107" s="8">
        <f>VLOOKUP(B2107,'[1]новый без картинок'!$A$5:$F$2672,6,0)</f>
        <v>151</v>
      </c>
    </row>
    <row r="2108" spans="1:14" ht="153" customHeight="1" x14ac:dyDescent="0.2">
      <c r="A2108" s="3">
        <v>2106</v>
      </c>
      <c r="B2108" s="3">
        <v>175720</v>
      </c>
      <c r="C2108" s="4" t="str">
        <f>HYPERLINK("http://optservis.net:5080/photo?tov_code_internet=175720","Увеличить")</f>
        <v>Увеличить</v>
      </c>
      <c r="D2108" s="3" t="s">
        <v>4173</v>
      </c>
      <c r="E2108" s="3"/>
      <c r="F2108" s="3" t="s">
        <v>20</v>
      </c>
      <c r="G2108" s="3" t="s">
        <v>788</v>
      </c>
      <c r="H2108" s="3">
        <v>1</v>
      </c>
      <c r="I2108" s="3">
        <v>1</v>
      </c>
      <c r="J2108" s="3" t="s">
        <v>18</v>
      </c>
      <c r="K2108" s="5">
        <v>0</v>
      </c>
      <c r="L2108" s="6">
        <v>0</v>
      </c>
      <c r="M2108" s="7" t="s">
        <v>4174</v>
      </c>
      <c r="N2108" s="8">
        <f>VLOOKUP(B2108,'[1]новый без картинок'!$A$5:$F$2672,6,0)</f>
        <v>64</v>
      </c>
    </row>
    <row r="2109" spans="1:14" ht="153" customHeight="1" x14ac:dyDescent="0.2">
      <c r="A2109" s="3">
        <v>2107</v>
      </c>
      <c r="B2109" s="3">
        <v>175719</v>
      </c>
      <c r="C2109" s="4" t="str">
        <f>HYPERLINK("http://optservis.net:5080/photo?tov_code_internet=175719","Увеличить")</f>
        <v>Увеличить</v>
      </c>
      <c r="D2109" s="3" t="s">
        <v>4175</v>
      </c>
      <c r="E2109" s="3" t="s">
        <v>4176</v>
      </c>
      <c r="F2109" s="3" t="s">
        <v>20</v>
      </c>
      <c r="G2109" s="3" t="s">
        <v>788</v>
      </c>
      <c r="H2109" s="3">
        <v>1</v>
      </c>
      <c r="I2109" s="3">
        <v>1</v>
      </c>
      <c r="J2109" s="3" t="s">
        <v>18</v>
      </c>
      <c r="K2109" s="5">
        <v>0.03</v>
      </c>
      <c r="L2109" s="6">
        <v>4690654010768</v>
      </c>
      <c r="M2109" s="7" t="s">
        <v>4172</v>
      </c>
      <c r="N2109" s="8">
        <f>VLOOKUP(B2109,'[1]новый без картинок'!$A$5:$F$2672,6,0)</f>
        <v>103</v>
      </c>
    </row>
    <row r="2110" spans="1:14" ht="151.15" customHeight="1" x14ac:dyDescent="0.2">
      <c r="A2110" s="3">
        <v>2108</v>
      </c>
      <c r="B2110" s="3">
        <v>185987</v>
      </c>
      <c r="C2110" s="4" t="str">
        <f>HYPERLINK("http://optservis.net:5080/photo?tov_code_internet=185987","Увеличить")</f>
        <v>Увеличить</v>
      </c>
      <c r="D2110" s="3" t="s">
        <v>4177</v>
      </c>
      <c r="E2110" s="3"/>
      <c r="F2110" s="3" t="s">
        <v>71</v>
      </c>
      <c r="G2110" s="3" t="s">
        <v>17</v>
      </c>
      <c r="H2110" s="3">
        <v>0.5</v>
      </c>
      <c r="I2110" s="3">
        <v>0</v>
      </c>
      <c r="J2110" s="3" t="s">
        <v>18</v>
      </c>
      <c r="K2110" s="5">
        <v>0.03</v>
      </c>
      <c r="L2110" s="6">
        <v>0</v>
      </c>
      <c r="M2110" s="7" t="s">
        <v>4178</v>
      </c>
      <c r="N2110" s="8">
        <f>VLOOKUP(B2110,'[1]новый без картинок'!$A$5:$F$2672,6,0)</f>
        <v>257</v>
      </c>
    </row>
    <row r="2111" spans="1:14" ht="163.9" customHeight="1" x14ac:dyDescent="0.2">
      <c r="A2111" s="3">
        <v>2109</v>
      </c>
      <c r="B2111" s="3">
        <v>175718</v>
      </c>
      <c r="C2111" s="4" t="str">
        <f>HYPERLINK("http://optservis.net:5080/photo?tov_code_internet=175718","Увеличить")</f>
        <v>Увеличить</v>
      </c>
      <c r="D2111" s="3" t="s">
        <v>4179</v>
      </c>
      <c r="E2111" s="3" t="s">
        <v>4180</v>
      </c>
      <c r="F2111" s="3" t="s">
        <v>71</v>
      </c>
      <c r="G2111" s="3" t="s">
        <v>17</v>
      </c>
      <c r="H2111" s="3">
        <v>2</v>
      </c>
      <c r="I2111" s="3">
        <v>1</v>
      </c>
      <c r="J2111" s="3" t="s">
        <v>18</v>
      </c>
      <c r="K2111" s="5">
        <v>0.06</v>
      </c>
      <c r="L2111" s="6">
        <v>4690654010751</v>
      </c>
      <c r="M2111" s="7" t="s">
        <v>4181</v>
      </c>
      <c r="N2111" s="8">
        <f>VLOOKUP(B2111,'[1]новый без картинок'!$A$5:$F$2672,6,0)</f>
        <v>107</v>
      </c>
    </row>
    <row r="2112" spans="1:14" ht="149.44999999999999" customHeight="1" x14ac:dyDescent="0.2">
      <c r="A2112" s="3">
        <v>2110</v>
      </c>
      <c r="B2112" s="3">
        <v>210688</v>
      </c>
      <c r="C2112" s="4" t="str">
        <f>HYPERLINK("http://optservis.net:5080/photo?tov_code_internet=210688","Увеличить")</f>
        <v>Увеличить</v>
      </c>
      <c r="D2112" s="3" t="s">
        <v>4182</v>
      </c>
      <c r="E2112" s="3" t="s">
        <v>4183</v>
      </c>
      <c r="F2112" s="3" t="s">
        <v>4184</v>
      </c>
      <c r="G2112" s="3" t="s">
        <v>4185</v>
      </c>
      <c r="H2112" s="3">
        <v>1</v>
      </c>
      <c r="I2112" s="3">
        <v>1</v>
      </c>
      <c r="J2112" s="3" t="s">
        <v>18</v>
      </c>
      <c r="K2112" s="5">
        <v>0.02</v>
      </c>
      <c r="L2112" s="6">
        <v>4690654019716</v>
      </c>
      <c r="M2112" s="7" t="s">
        <v>4186</v>
      </c>
      <c r="N2112" s="8">
        <f>VLOOKUP(B2112,'[1]новый без картинок'!$A$5:$F$2672,6,0)</f>
        <v>263</v>
      </c>
    </row>
    <row r="2113" spans="1:14" ht="151.15" customHeight="1" x14ac:dyDescent="0.2">
      <c r="A2113" s="3">
        <v>2111</v>
      </c>
      <c r="B2113" s="3">
        <v>191559</v>
      </c>
      <c r="C2113" s="4" t="str">
        <f>HYPERLINK("http://optservis.net:5080/photo?tov_code_internet=191559","Увеличить")</f>
        <v>Увеличить</v>
      </c>
      <c r="D2113" s="3" t="s">
        <v>4187</v>
      </c>
      <c r="E2113" s="3" t="s">
        <v>4188</v>
      </c>
      <c r="F2113" s="3" t="s">
        <v>3636</v>
      </c>
      <c r="G2113" s="3" t="s">
        <v>17</v>
      </c>
      <c r="H2113" s="3">
        <v>1</v>
      </c>
      <c r="I2113" s="3">
        <v>1</v>
      </c>
      <c r="J2113" s="3" t="s">
        <v>18</v>
      </c>
      <c r="K2113" s="5">
        <v>0.01</v>
      </c>
      <c r="L2113" s="6">
        <v>4690654017842</v>
      </c>
      <c r="M2113" s="7" t="s">
        <v>4189</v>
      </c>
      <c r="N2113" s="8">
        <f>VLOOKUP(B2113,'[1]новый без картинок'!$A$5:$F$2672,6,0)</f>
        <v>79</v>
      </c>
    </row>
    <row r="2114" spans="1:14" ht="151.15" customHeight="1" x14ac:dyDescent="0.2">
      <c r="A2114" s="3">
        <v>2112</v>
      </c>
      <c r="B2114" s="3">
        <v>203268</v>
      </c>
      <c r="C2114" s="4" t="str">
        <f>HYPERLINK("http://optservis.net:5080/photo?tov_code_internet=203268","Увеличить")</f>
        <v>Увеличить</v>
      </c>
      <c r="D2114" s="3" t="s">
        <v>4187</v>
      </c>
      <c r="E2114" s="3" t="s">
        <v>4188</v>
      </c>
      <c r="F2114" s="3" t="s">
        <v>4190</v>
      </c>
      <c r="G2114" s="3" t="s">
        <v>17</v>
      </c>
      <c r="H2114" s="3">
        <v>1</v>
      </c>
      <c r="I2114" s="3">
        <v>1</v>
      </c>
      <c r="J2114" s="3" t="s">
        <v>18</v>
      </c>
      <c r="K2114" s="5">
        <v>0</v>
      </c>
      <c r="L2114" s="6">
        <v>4690654018016</v>
      </c>
      <c r="M2114" s="7" t="s">
        <v>4191</v>
      </c>
      <c r="N2114" s="8">
        <f>VLOOKUP(B2114,'[1]новый без картинок'!$A$5:$F$2672,6,0)</f>
        <v>140</v>
      </c>
    </row>
    <row r="2115" spans="1:14" ht="149.44999999999999" customHeight="1" x14ac:dyDescent="0.2">
      <c r="A2115" s="3">
        <v>2113</v>
      </c>
      <c r="B2115" s="3">
        <v>191153</v>
      </c>
      <c r="C2115" s="4" t="str">
        <f>HYPERLINK("http://optservis.net:5080/photo?tov_code_internet=191153","Увеличить")</f>
        <v>Увеличить</v>
      </c>
      <c r="D2115" s="3" t="s">
        <v>4187</v>
      </c>
      <c r="E2115" s="3" t="s">
        <v>4188</v>
      </c>
      <c r="F2115" s="3" t="s">
        <v>71</v>
      </c>
      <c r="G2115" s="3" t="s">
        <v>17</v>
      </c>
      <c r="H2115" s="3">
        <v>1</v>
      </c>
      <c r="I2115" s="3">
        <v>1</v>
      </c>
      <c r="J2115" s="3" t="s">
        <v>18</v>
      </c>
      <c r="K2115" s="5">
        <v>0.01</v>
      </c>
      <c r="L2115" s="6">
        <v>4690654017767</v>
      </c>
      <c r="M2115" s="7" t="s">
        <v>4192</v>
      </c>
      <c r="N2115" s="8">
        <f>VLOOKUP(B2115,'[1]новый без картинок'!$A$5:$F$2672,6,0)</f>
        <v>72</v>
      </c>
    </row>
    <row r="2116" spans="1:14" ht="153" customHeight="1" x14ac:dyDescent="0.2">
      <c r="A2116" s="3">
        <v>2114</v>
      </c>
      <c r="B2116" s="3">
        <v>176063</v>
      </c>
      <c r="C2116" s="4" t="str">
        <f>HYPERLINK("http://optservis.net:5080/photo?tov_code_internet=176063","Увеличить")</f>
        <v>Увеличить</v>
      </c>
      <c r="D2116" s="3" t="s">
        <v>4193</v>
      </c>
      <c r="E2116" s="3" t="s">
        <v>4194</v>
      </c>
      <c r="F2116" s="3" t="s">
        <v>3618</v>
      </c>
      <c r="G2116" s="3" t="s">
        <v>17</v>
      </c>
      <c r="H2116" s="3">
        <v>4</v>
      </c>
      <c r="I2116" s="3">
        <v>1</v>
      </c>
      <c r="J2116" s="3" t="s">
        <v>18</v>
      </c>
      <c r="K2116" s="5">
        <v>0.23</v>
      </c>
      <c r="L2116" s="6">
        <v>4690654010713</v>
      </c>
      <c r="M2116" s="7" t="s">
        <v>4195</v>
      </c>
      <c r="N2116" s="8">
        <f>VLOOKUP(B2116,'[1]новый без картинок'!$A$5:$F$2672,6,0)</f>
        <v>90</v>
      </c>
    </row>
    <row r="2117" spans="1:14" ht="153" customHeight="1" x14ac:dyDescent="0.2">
      <c r="A2117" s="3">
        <v>2115</v>
      </c>
      <c r="B2117" s="3">
        <v>181651</v>
      </c>
      <c r="C2117" s="4" t="str">
        <f>HYPERLINK("http://optservis.net:5080/photo?tov_code_internet=181651","Увеличить")</f>
        <v>Увеличить</v>
      </c>
      <c r="D2117" s="3" t="s">
        <v>4193</v>
      </c>
      <c r="E2117" s="3" t="s">
        <v>4194</v>
      </c>
      <c r="F2117" s="3" t="s">
        <v>71</v>
      </c>
      <c r="G2117" s="3" t="s">
        <v>17</v>
      </c>
      <c r="H2117" s="3">
        <v>4</v>
      </c>
      <c r="I2117" s="3">
        <v>1</v>
      </c>
      <c r="J2117" s="3" t="s">
        <v>18</v>
      </c>
      <c r="K2117" s="5">
        <v>0.23</v>
      </c>
      <c r="L2117" s="6">
        <v>4690654013240</v>
      </c>
      <c r="M2117" s="7" t="s">
        <v>4195</v>
      </c>
      <c r="N2117" s="8">
        <f>VLOOKUP(B2117,'[1]новый без картинок'!$A$5:$F$2672,6,0)</f>
        <v>73</v>
      </c>
    </row>
    <row r="2118" spans="1:14" ht="138.6" customHeight="1" x14ac:dyDescent="0.2">
      <c r="A2118" s="3">
        <v>2116</v>
      </c>
      <c r="B2118" s="3">
        <v>933762</v>
      </c>
      <c r="C2118" s="4" t="str">
        <f>HYPERLINK("http://optservis.net:5080/photo?tov_code_internet=933762","Увеличить")</f>
        <v>Увеличить</v>
      </c>
      <c r="D2118" s="3" t="s">
        <v>4196</v>
      </c>
      <c r="E2118" s="3" t="s">
        <v>4197</v>
      </c>
      <c r="F2118" s="3" t="s">
        <v>3638</v>
      </c>
      <c r="G2118" s="3" t="s">
        <v>17</v>
      </c>
      <c r="H2118" s="3">
        <v>4</v>
      </c>
      <c r="I2118" s="3">
        <v>1</v>
      </c>
      <c r="J2118" s="3" t="s">
        <v>18</v>
      </c>
      <c r="K2118" s="5">
        <v>0.28000000000000003</v>
      </c>
      <c r="L2118" s="6">
        <v>4640020773070</v>
      </c>
      <c r="M2118" s="7" t="s">
        <v>4198</v>
      </c>
      <c r="N2118" s="8">
        <f>VLOOKUP(B2118,'[1]новый без картинок'!$A$5:$F$2672,6,0)</f>
        <v>46</v>
      </c>
    </row>
    <row r="2119" spans="1:14" ht="138.6" customHeight="1" x14ac:dyDescent="0.2">
      <c r="A2119" s="3">
        <v>2117</v>
      </c>
      <c r="B2119" s="3">
        <v>980610</v>
      </c>
      <c r="C2119" s="4" t="str">
        <f>HYPERLINK("http://optservis.net:5080/photo?tov_code_internet=980610","Увеличить")</f>
        <v>Увеличить</v>
      </c>
      <c r="D2119" s="3" t="s">
        <v>4196</v>
      </c>
      <c r="E2119" s="3" t="s">
        <v>4197</v>
      </c>
      <c r="F2119" s="3" t="s">
        <v>3825</v>
      </c>
      <c r="G2119" s="3" t="s">
        <v>4199</v>
      </c>
      <c r="H2119" s="3">
        <v>4</v>
      </c>
      <c r="I2119" s="3">
        <v>1</v>
      </c>
      <c r="J2119" s="3" t="s">
        <v>18</v>
      </c>
      <c r="K2119" s="5">
        <v>0.23</v>
      </c>
      <c r="L2119" s="6">
        <v>4640020778853</v>
      </c>
      <c r="M2119" s="7" t="s">
        <v>4200</v>
      </c>
      <c r="N2119" s="8">
        <f>VLOOKUP(B2119,'[1]новый без картинок'!$A$5:$F$2672,6,0)</f>
        <v>57</v>
      </c>
    </row>
    <row r="2120" spans="1:14" ht="138.6" customHeight="1" x14ac:dyDescent="0.2">
      <c r="A2120" s="3">
        <v>2118</v>
      </c>
      <c r="B2120" s="3">
        <v>909892</v>
      </c>
      <c r="C2120" s="4" t="str">
        <f>HYPERLINK("http://optservis.net:5080/photo?tov_code_internet=909892","Увеличить")</f>
        <v>Увеличить</v>
      </c>
      <c r="D2120" s="3" t="s">
        <v>4196</v>
      </c>
      <c r="E2120" s="3" t="s">
        <v>4197</v>
      </c>
      <c r="F2120" s="3" t="s">
        <v>3618</v>
      </c>
      <c r="G2120" s="3" t="s">
        <v>17</v>
      </c>
      <c r="H2120" s="3">
        <v>4</v>
      </c>
      <c r="I2120" s="3">
        <v>1</v>
      </c>
      <c r="J2120" s="3" t="s">
        <v>18</v>
      </c>
      <c r="K2120" s="5">
        <v>0.23</v>
      </c>
      <c r="L2120" s="6">
        <v>4640020771007</v>
      </c>
      <c r="M2120" s="7" t="s">
        <v>4198</v>
      </c>
      <c r="N2120" s="8">
        <f>VLOOKUP(B2120,'[1]новый без картинок'!$A$5:$F$2672,6,0)</f>
        <v>69</v>
      </c>
    </row>
    <row r="2121" spans="1:14" ht="138.6" customHeight="1" x14ac:dyDescent="0.2">
      <c r="A2121" s="3">
        <v>2119</v>
      </c>
      <c r="B2121" s="3">
        <v>909893</v>
      </c>
      <c r="C2121" s="4" t="str">
        <f>HYPERLINK("http://optservis.net:5080/photo?tov_code_internet=909893","Увеличить")</f>
        <v>Увеличить</v>
      </c>
      <c r="D2121" s="3" t="s">
        <v>4196</v>
      </c>
      <c r="E2121" s="3" t="s">
        <v>4197</v>
      </c>
      <c r="F2121" s="3" t="s">
        <v>71</v>
      </c>
      <c r="G2121" s="3" t="s">
        <v>17</v>
      </c>
      <c r="H2121" s="3">
        <v>4</v>
      </c>
      <c r="I2121" s="3">
        <v>1</v>
      </c>
      <c r="J2121" s="3" t="s">
        <v>18</v>
      </c>
      <c r="K2121" s="5">
        <v>0.23</v>
      </c>
      <c r="L2121" s="6">
        <v>4640020771014</v>
      </c>
      <c r="M2121" s="7" t="s">
        <v>4198</v>
      </c>
      <c r="N2121" s="8">
        <f>VLOOKUP(B2121,'[1]новый без картинок'!$A$5:$F$2672,6,0)</f>
        <v>55</v>
      </c>
    </row>
    <row r="2122" spans="1:14" ht="138.6" customHeight="1" x14ac:dyDescent="0.2">
      <c r="A2122" s="3">
        <v>2120</v>
      </c>
      <c r="B2122" s="3">
        <v>981214</v>
      </c>
      <c r="C2122" s="4" t="str">
        <f>HYPERLINK("http://optservis.net:5080/photo?tov_code_internet=981214","Увеличить")</f>
        <v>Увеличить</v>
      </c>
      <c r="D2122" s="3" t="s">
        <v>4201</v>
      </c>
      <c r="E2122" s="3" t="s">
        <v>4202</v>
      </c>
      <c r="F2122" s="3" t="s">
        <v>4203</v>
      </c>
      <c r="G2122" s="3" t="s">
        <v>17</v>
      </c>
      <c r="H2122" s="3">
        <v>4</v>
      </c>
      <c r="I2122" s="3">
        <v>1</v>
      </c>
      <c r="J2122" s="3" t="s">
        <v>18</v>
      </c>
      <c r="K2122" s="5">
        <v>0.23</v>
      </c>
      <c r="L2122" s="6">
        <v>4640020777771</v>
      </c>
      <c r="M2122" s="7" t="s">
        <v>4204</v>
      </c>
      <c r="N2122" s="8">
        <f>VLOOKUP(B2122,'[1]новый без картинок'!$A$5:$F$2672,6,0)</f>
        <v>122</v>
      </c>
    </row>
    <row r="2123" spans="1:14" ht="138.6" customHeight="1" x14ac:dyDescent="0.2">
      <c r="A2123" s="3">
        <v>2121</v>
      </c>
      <c r="B2123" s="3">
        <v>912873</v>
      </c>
      <c r="C2123" s="4" t="str">
        <f>HYPERLINK("http://optservis.net:5080/photo?tov_code_internet=912873","Увеличить")</f>
        <v>Увеличить</v>
      </c>
      <c r="D2123" s="3" t="s">
        <v>4201</v>
      </c>
      <c r="E2123" s="3" t="s">
        <v>4202</v>
      </c>
      <c r="F2123" s="3" t="s">
        <v>3618</v>
      </c>
      <c r="G2123" s="3" t="s">
        <v>17</v>
      </c>
      <c r="H2123" s="3">
        <v>4</v>
      </c>
      <c r="I2123" s="3">
        <v>1</v>
      </c>
      <c r="J2123" s="3" t="s">
        <v>18</v>
      </c>
      <c r="K2123" s="5">
        <v>0.23</v>
      </c>
      <c r="L2123" s="6">
        <v>4640020772356</v>
      </c>
      <c r="M2123" s="7" t="s">
        <v>4204</v>
      </c>
      <c r="N2123" s="8">
        <f>VLOOKUP(B2123,'[1]новый без картинок'!$A$5:$F$2672,6,0)</f>
        <v>90</v>
      </c>
    </row>
    <row r="2124" spans="1:14" ht="138.6" customHeight="1" x14ac:dyDescent="0.2">
      <c r="A2124" s="3">
        <v>2122</v>
      </c>
      <c r="B2124" s="3">
        <v>904</v>
      </c>
      <c r="C2124" s="4" t="str">
        <f>HYPERLINK("http://optservis.net:5080/photo?tov_code_internet=904","Увеличить")</f>
        <v>Увеличить</v>
      </c>
      <c r="D2124" s="3" t="s">
        <v>4201</v>
      </c>
      <c r="E2124" s="3" t="s">
        <v>4202</v>
      </c>
      <c r="F2124" s="3" t="s">
        <v>71</v>
      </c>
      <c r="G2124" s="3" t="s">
        <v>17</v>
      </c>
      <c r="H2124" s="3">
        <v>4</v>
      </c>
      <c r="I2124" s="3">
        <v>1</v>
      </c>
      <c r="J2124" s="3" t="s">
        <v>18</v>
      </c>
      <c r="K2124" s="5">
        <v>0.23</v>
      </c>
      <c r="L2124" s="6">
        <v>4640020779447</v>
      </c>
      <c r="M2124" s="7" t="s">
        <v>4204</v>
      </c>
      <c r="N2124" s="8">
        <f>VLOOKUP(B2124,'[1]новый без картинок'!$A$5:$F$2672,6,0)</f>
        <v>90</v>
      </c>
    </row>
    <row r="2125" spans="1:14" ht="138.6" customHeight="1" x14ac:dyDescent="0.2">
      <c r="A2125" s="3">
        <v>2123</v>
      </c>
      <c r="B2125" s="3">
        <v>211411</v>
      </c>
      <c r="C2125" s="4" t="str">
        <f>HYPERLINK("http://optservis.net:5080/photo?tov_code_internet=211411","Увеличить")</f>
        <v>Увеличить</v>
      </c>
      <c r="D2125" s="3" t="s">
        <v>4205</v>
      </c>
      <c r="E2125" s="3" t="s">
        <v>4206</v>
      </c>
      <c r="F2125" s="3" t="s">
        <v>4207</v>
      </c>
      <c r="G2125" s="3" t="s">
        <v>17</v>
      </c>
      <c r="H2125" s="3">
        <v>4</v>
      </c>
      <c r="I2125" s="3">
        <v>1</v>
      </c>
      <c r="J2125" s="3" t="s">
        <v>18</v>
      </c>
      <c r="K2125" s="5">
        <v>0.21</v>
      </c>
      <c r="L2125" s="6">
        <v>4690654020538</v>
      </c>
      <c r="M2125" s="7" t="s">
        <v>4208</v>
      </c>
      <c r="N2125" s="8">
        <f>VLOOKUP(B2125,'[1]новый без картинок'!$A$5:$F$2672,6,0)</f>
        <v>60</v>
      </c>
    </row>
    <row r="2126" spans="1:14" ht="138.6" customHeight="1" x14ac:dyDescent="0.2">
      <c r="A2126" s="3">
        <v>2124</v>
      </c>
      <c r="B2126" s="3">
        <v>182939</v>
      </c>
      <c r="C2126" s="4" t="str">
        <f>HYPERLINK("http://optservis.net:5080/photo?tov_code_internet=182939","Увеличить")</f>
        <v>Увеличить</v>
      </c>
      <c r="D2126" s="3" t="s">
        <v>4205</v>
      </c>
      <c r="E2126" s="3" t="s">
        <v>4206</v>
      </c>
      <c r="F2126" s="3" t="s">
        <v>493</v>
      </c>
      <c r="G2126" s="3" t="s">
        <v>17</v>
      </c>
      <c r="H2126" s="3">
        <v>4</v>
      </c>
      <c r="I2126" s="3">
        <v>1</v>
      </c>
      <c r="J2126" s="3" t="s">
        <v>18</v>
      </c>
      <c r="K2126" s="5">
        <v>0.21</v>
      </c>
      <c r="L2126" s="6">
        <v>4690654012328</v>
      </c>
      <c r="M2126" s="7" t="s">
        <v>4209</v>
      </c>
      <c r="N2126" s="8">
        <f>VLOOKUP(B2126,'[1]новый без картинок'!$A$5:$F$2672,6,0)</f>
        <v>68</v>
      </c>
    </row>
    <row r="2127" spans="1:14" ht="151.15" customHeight="1" x14ac:dyDescent="0.2">
      <c r="A2127" s="3">
        <v>2125</v>
      </c>
      <c r="B2127" s="3">
        <v>909905</v>
      </c>
      <c r="C2127" s="4" t="str">
        <f>HYPERLINK("http://optservis.net:5080/photo?tov_code_internet=909905","Увеличить")</f>
        <v>Увеличить</v>
      </c>
      <c r="D2127" s="3" t="s">
        <v>4205</v>
      </c>
      <c r="E2127" s="3" t="s">
        <v>4206</v>
      </c>
      <c r="F2127" s="3" t="s">
        <v>3644</v>
      </c>
      <c r="G2127" s="3" t="s">
        <v>17</v>
      </c>
      <c r="H2127" s="3">
        <v>4</v>
      </c>
      <c r="I2127" s="3">
        <v>1</v>
      </c>
      <c r="J2127" s="3" t="s">
        <v>18</v>
      </c>
      <c r="K2127" s="5">
        <v>0.22</v>
      </c>
      <c r="L2127" s="6">
        <v>4640020770826</v>
      </c>
      <c r="M2127" s="7" t="s">
        <v>4210</v>
      </c>
      <c r="N2127" s="8">
        <f>VLOOKUP(B2127,'[1]новый без картинок'!$A$5:$F$2672,6,0)</f>
        <v>60</v>
      </c>
    </row>
    <row r="2128" spans="1:14" ht="151.15" customHeight="1" x14ac:dyDescent="0.2">
      <c r="A2128" s="3">
        <v>2126</v>
      </c>
      <c r="B2128" s="3">
        <v>909907</v>
      </c>
      <c r="C2128" s="4" t="str">
        <f>HYPERLINK("http://optservis.net:5080/photo?tov_code_internet=909907","Увеличить")</f>
        <v>Увеличить</v>
      </c>
      <c r="D2128" s="3" t="s">
        <v>4205</v>
      </c>
      <c r="E2128" s="3" t="s">
        <v>4206</v>
      </c>
      <c r="F2128" s="3" t="s">
        <v>3618</v>
      </c>
      <c r="G2128" s="3" t="s">
        <v>17</v>
      </c>
      <c r="H2128" s="3">
        <v>4</v>
      </c>
      <c r="I2128" s="3">
        <v>1</v>
      </c>
      <c r="J2128" s="3" t="s">
        <v>18</v>
      </c>
      <c r="K2128" s="5">
        <v>0.22</v>
      </c>
      <c r="L2128" s="6">
        <v>4640020770796</v>
      </c>
      <c r="M2128" s="7" t="s">
        <v>4210</v>
      </c>
      <c r="N2128" s="8">
        <f>VLOOKUP(B2128,'[1]новый без картинок'!$A$5:$F$2672,6,0)</f>
        <v>68</v>
      </c>
    </row>
    <row r="2129" spans="1:14" ht="151.15" customHeight="1" x14ac:dyDescent="0.2">
      <c r="A2129" s="3">
        <v>2127</v>
      </c>
      <c r="B2129" s="3">
        <v>909908</v>
      </c>
      <c r="C2129" s="4" t="str">
        <f>HYPERLINK("http://optservis.net:5080/photo?tov_code_internet=909908","Увеличить")</f>
        <v>Увеличить</v>
      </c>
      <c r="D2129" s="3" t="s">
        <v>4205</v>
      </c>
      <c r="E2129" s="3" t="s">
        <v>4206</v>
      </c>
      <c r="F2129" s="3" t="s">
        <v>71</v>
      </c>
      <c r="G2129" s="3" t="s">
        <v>17</v>
      </c>
      <c r="H2129" s="3">
        <v>4</v>
      </c>
      <c r="I2129" s="3">
        <v>1</v>
      </c>
      <c r="J2129" s="3" t="s">
        <v>18</v>
      </c>
      <c r="K2129" s="5">
        <v>0.21</v>
      </c>
      <c r="L2129" s="6">
        <v>4640020770802</v>
      </c>
      <c r="M2129" s="7" t="s">
        <v>4208</v>
      </c>
      <c r="N2129" s="8">
        <f>VLOOKUP(B2129,'[1]новый без картинок'!$A$5:$F$2672,6,0)</f>
        <v>60</v>
      </c>
    </row>
    <row r="2130" spans="1:14" ht="151.15" customHeight="1" x14ac:dyDescent="0.2">
      <c r="A2130" s="3">
        <v>2128</v>
      </c>
      <c r="B2130" s="3">
        <v>200550</v>
      </c>
      <c r="C2130" s="4" t="str">
        <f>HYPERLINK("http://optservis.net:5080/photo?tov_code_internet=200550","Увеличить")</f>
        <v>Увеличить</v>
      </c>
      <c r="D2130" s="3" t="s">
        <v>4211</v>
      </c>
      <c r="E2130" s="3" t="s">
        <v>4212</v>
      </c>
      <c r="F2130" s="3" t="s">
        <v>71</v>
      </c>
      <c r="G2130" s="3" t="s">
        <v>17</v>
      </c>
      <c r="H2130" s="3">
        <v>4</v>
      </c>
      <c r="I2130" s="3">
        <v>1</v>
      </c>
      <c r="J2130" s="3" t="s">
        <v>18</v>
      </c>
      <c r="K2130" s="5">
        <v>0.17</v>
      </c>
      <c r="L2130" s="6">
        <v>4690654015794</v>
      </c>
      <c r="M2130" s="7" t="s">
        <v>4213</v>
      </c>
      <c r="N2130" s="8">
        <f>VLOOKUP(B2130,'[1]новый без картинок'!$A$5:$F$2672,6,0)</f>
        <v>66</v>
      </c>
    </row>
    <row r="2131" spans="1:14" ht="151.15" customHeight="1" x14ac:dyDescent="0.2">
      <c r="A2131" s="3">
        <v>2129</v>
      </c>
      <c r="B2131" s="3">
        <v>909916</v>
      </c>
      <c r="C2131" s="4" t="str">
        <f>HYPERLINK("http://optservis.net:5080/photo?tov_code_internet=909916","Увеличить")</f>
        <v>Увеличить</v>
      </c>
      <c r="D2131" s="3" t="s">
        <v>4214</v>
      </c>
      <c r="E2131" s="3" t="s">
        <v>4215</v>
      </c>
      <c r="F2131" s="3" t="s">
        <v>3618</v>
      </c>
      <c r="G2131" s="3" t="s">
        <v>17</v>
      </c>
      <c r="H2131" s="3">
        <v>4</v>
      </c>
      <c r="I2131" s="3">
        <v>1</v>
      </c>
      <c r="J2131" s="3" t="s">
        <v>18</v>
      </c>
      <c r="K2131" s="5">
        <v>0.13</v>
      </c>
      <c r="L2131" s="6">
        <v>4640020771229</v>
      </c>
      <c r="M2131" s="7" t="s">
        <v>4216</v>
      </c>
      <c r="N2131" s="8">
        <f>VLOOKUP(B2131,'[1]новый без картинок'!$A$5:$F$2672,6,0)</f>
        <v>81</v>
      </c>
    </row>
    <row r="2132" spans="1:14" ht="151.15" customHeight="1" x14ac:dyDescent="0.2">
      <c r="A2132" s="3">
        <v>2130</v>
      </c>
      <c r="B2132" s="3">
        <v>909917</v>
      </c>
      <c r="C2132" s="4" t="str">
        <f>HYPERLINK("http://optservis.net:5080/photo?tov_code_internet=909917","Увеличить")</f>
        <v>Увеличить</v>
      </c>
      <c r="D2132" s="3" t="s">
        <v>4214</v>
      </c>
      <c r="E2132" s="3" t="s">
        <v>4215</v>
      </c>
      <c r="F2132" s="3" t="s">
        <v>71</v>
      </c>
      <c r="G2132" s="3" t="s">
        <v>17</v>
      </c>
      <c r="H2132" s="3">
        <v>4</v>
      </c>
      <c r="I2132" s="3">
        <v>1</v>
      </c>
      <c r="J2132" s="3" t="s">
        <v>18</v>
      </c>
      <c r="K2132" s="5">
        <v>0.13</v>
      </c>
      <c r="L2132" s="6">
        <v>4640020771212</v>
      </c>
      <c r="M2132" s="7" t="s">
        <v>4216</v>
      </c>
      <c r="N2132" s="8">
        <f>VLOOKUP(B2132,'[1]новый без картинок'!$A$5:$F$2672,6,0)</f>
        <v>70</v>
      </c>
    </row>
    <row r="2133" spans="1:14" ht="138.6" customHeight="1" x14ac:dyDescent="0.2">
      <c r="A2133" s="3">
        <v>2131</v>
      </c>
      <c r="B2133" s="3">
        <v>964673</v>
      </c>
      <c r="C2133" s="4" t="str">
        <f>HYPERLINK("http://optservis.net:5080/photo?tov_code_internet=964673","Увеличить")</f>
        <v>Увеличить</v>
      </c>
      <c r="D2133" s="3" t="s">
        <v>4217</v>
      </c>
      <c r="E2133" s="3" t="s">
        <v>4218</v>
      </c>
      <c r="F2133" s="3" t="s">
        <v>4219</v>
      </c>
      <c r="G2133" s="3" t="s">
        <v>1399</v>
      </c>
      <c r="H2133" s="3">
        <v>1</v>
      </c>
      <c r="I2133" s="3">
        <v>1</v>
      </c>
      <c r="J2133" s="3" t="s">
        <v>18</v>
      </c>
      <c r="K2133" s="5">
        <v>0.03</v>
      </c>
      <c r="L2133" s="6">
        <v>4640020776057</v>
      </c>
      <c r="M2133" s="7" t="s">
        <v>4220</v>
      </c>
      <c r="N2133" s="8">
        <f>VLOOKUP(B2133,'[1]новый без картинок'!$A$5:$F$2672,6,0)</f>
        <v>205</v>
      </c>
    </row>
    <row r="2134" spans="1:14" ht="138.6" customHeight="1" x14ac:dyDescent="0.2">
      <c r="A2134" s="3">
        <v>2132</v>
      </c>
      <c r="B2134" s="3">
        <v>979197</v>
      </c>
      <c r="C2134" s="4" t="str">
        <f>HYPERLINK("http://optservis.net:5080/photo?tov_code_internet=979197","Увеличить")</f>
        <v>Увеличить</v>
      </c>
      <c r="D2134" s="3" t="s">
        <v>4221</v>
      </c>
      <c r="E2134" s="3" t="s">
        <v>4218</v>
      </c>
      <c r="F2134" s="3" t="s">
        <v>4222</v>
      </c>
      <c r="G2134" s="3" t="s">
        <v>31</v>
      </c>
      <c r="H2134" s="3">
        <v>1</v>
      </c>
      <c r="I2134" s="3">
        <v>1</v>
      </c>
      <c r="J2134" s="3" t="s">
        <v>18</v>
      </c>
      <c r="K2134" s="5">
        <v>0.03</v>
      </c>
      <c r="L2134" s="6">
        <v>4640020777702</v>
      </c>
      <c r="M2134" s="7" t="s">
        <v>4223</v>
      </c>
      <c r="N2134" s="8">
        <f>VLOOKUP(B2134,'[1]новый без картинок'!$A$5:$F$2672,6,0)</f>
        <v>160</v>
      </c>
    </row>
    <row r="2135" spans="1:14" ht="138.6" customHeight="1" x14ac:dyDescent="0.2">
      <c r="A2135" s="3">
        <v>2133</v>
      </c>
      <c r="B2135" s="3">
        <v>986134</v>
      </c>
      <c r="C2135" s="4" t="str">
        <f>HYPERLINK("http://optservis.net:5080/photo?tov_code_internet=986134","Увеличить")</f>
        <v>Увеличить</v>
      </c>
      <c r="D2135" s="3" t="s">
        <v>4221</v>
      </c>
      <c r="E2135" s="3" t="s">
        <v>4218</v>
      </c>
      <c r="F2135" s="3" t="s">
        <v>4124</v>
      </c>
      <c r="G2135" s="3" t="s">
        <v>31</v>
      </c>
      <c r="H2135" s="3">
        <v>1</v>
      </c>
      <c r="I2135" s="3">
        <v>1</v>
      </c>
      <c r="J2135" s="3" t="s">
        <v>18</v>
      </c>
      <c r="K2135" s="5">
        <v>0.03</v>
      </c>
      <c r="L2135" s="6">
        <v>4640020778488</v>
      </c>
      <c r="M2135" s="7" t="s">
        <v>4224</v>
      </c>
      <c r="N2135" s="8">
        <f>VLOOKUP(B2135,'[1]новый без картинок'!$A$5:$F$2672,6,0)</f>
        <v>208</v>
      </c>
    </row>
    <row r="2136" spans="1:14" ht="138.6" customHeight="1" x14ac:dyDescent="0.2">
      <c r="A2136" s="3">
        <v>2134</v>
      </c>
      <c r="B2136" s="3">
        <v>964666</v>
      </c>
      <c r="C2136" s="4" t="str">
        <f>HYPERLINK("http://optservis.net:5080/photo?tov_code_internet=964666","Увеличить")</f>
        <v>Увеличить</v>
      </c>
      <c r="D2136" s="3" t="s">
        <v>4221</v>
      </c>
      <c r="E2136" s="3" t="s">
        <v>4218</v>
      </c>
      <c r="F2136" s="3" t="s">
        <v>3746</v>
      </c>
      <c r="G2136" s="3" t="s">
        <v>31</v>
      </c>
      <c r="H2136" s="3">
        <v>1</v>
      </c>
      <c r="I2136" s="3">
        <v>1</v>
      </c>
      <c r="J2136" s="3" t="s">
        <v>18</v>
      </c>
      <c r="K2136" s="5">
        <v>0.04</v>
      </c>
      <c r="L2136" s="6">
        <v>4640020770741</v>
      </c>
      <c r="M2136" s="7" t="s">
        <v>4225</v>
      </c>
      <c r="N2136" s="8">
        <f>VLOOKUP(B2136,'[1]новый без картинок'!$A$5:$F$2672,6,0)</f>
        <v>178</v>
      </c>
    </row>
    <row r="2137" spans="1:14" ht="138.6" customHeight="1" x14ac:dyDescent="0.2">
      <c r="A2137" s="3">
        <v>2135</v>
      </c>
      <c r="B2137" s="3">
        <v>964667</v>
      </c>
      <c r="C2137" s="4" t="str">
        <f>HYPERLINK("http://optservis.net:5080/photo?tov_code_internet=964667","Увеличить")</f>
        <v>Увеличить</v>
      </c>
      <c r="D2137" s="3" t="s">
        <v>4221</v>
      </c>
      <c r="E2137" s="3" t="s">
        <v>4218</v>
      </c>
      <c r="F2137" s="3" t="s">
        <v>4226</v>
      </c>
      <c r="G2137" s="3" t="s">
        <v>31</v>
      </c>
      <c r="H2137" s="3">
        <v>1</v>
      </c>
      <c r="I2137" s="3">
        <v>1</v>
      </c>
      <c r="J2137" s="3" t="s">
        <v>18</v>
      </c>
      <c r="K2137" s="5">
        <v>0.03</v>
      </c>
      <c r="L2137" s="6">
        <v>4640020770758</v>
      </c>
      <c r="M2137" s="7" t="s">
        <v>4227</v>
      </c>
      <c r="N2137" s="8">
        <f>VLOOKUP(B2137,'[1]новый без картинок'!$A$5:$F$2672,6,0)</f>
        <v>181</v>
      </c>
    </row>
    <row r="2138" spans="1:14" ht="138.6" customHeight="1" x14ac:dyDescent="0.2">
      <c r="A2138" s="3">
        <v>2136</v>
      </c>
      <c r="B2138" s="3">
        <v>964668</v>
      </c>
      <c r="C2138" s="4" t="str">
        <f>HYPERLINK("http://optservis.net:5080/photo?tov_code_internet=964668","Увеличить")</f>
        <v>Увеличить</v>
      </c>
      <c r="D2138" s="3" t="s">
        <v>4221</v>
      </c>
      <c r="E2138" s="3" t="s">
        <v>4218</v>
      </c>
      <c r="F2138" s="3" t="s">
        <v>3750</v>
      </c>
      <c r="G2138" s="3" t="s">
        <v>31</v>
      </c>
      <c r="H2138" s="3">
        <v>1</v>
      </c>
      <c r="I2138" s="3">
        <v>1</v>
      </c>
      <c r="J2138" s="3" t="s">
        <v>18</v>
      </c>
      <c r="K2138" s="5">
        <v>0.03</v>
      </c>
      <c r="L2138" s="6">
        <v>4640020773995</v>
      </c>
      <c r="M2138" s="7" t="s">
        <v>4225</v>
      </c>
      <c r="N2138" s="8">
        <f>VLOOKUP(B2138,'[1]новый без картинок'!$A$5:$F$2672,6,0)</f>
        <v>168</v>
      </c>
    </row>
    <row r="2139" spans="1:14" ht="138.6" customHeight="1" x14ac:dyDescent="0.2">
      <c r="A2139" s="3">
        <v>2137</v>
      </c>
      <c r="B2139" s="3">
        <v>964669</v>
      </c>
      <c r="C2139" s="4" t="str">
        <f>HYPERLINK("http://optservis.net:5080/photo?tov_code_internet=964669","Увеличить")</f>
        <v>Увеличить</v>
      </c>
      <c r="D2139" s="3" t="s">
        <v>4221</v>
      </c>
      <c r="E2139" s="3" t="s">
        <v>4218</v>
      </c>
      <c r="F2139" s="3" t="s">
        <v>4108</v>
      </c>
      <c r="G2139" s="3" t="s">
        <v>31</v>
      </c>
      <c r="H2139" s="3">
        <v>1</v>
      </c>
      <c r="I2139" s="3">
        <v>1</v>
      </c>
      <c r="J2139" s="3" t="s">
        <v>18</v>
      </c>
      <c r="K2139" s="5">
        <v>0.03</v>
      </c>
      <c r="L2139" s="6">
        <v>4640020770765</v>
      </c>
      <c r="M2139" s="7" t="s">
        <v>4228</v>
      </c>
      <c r="N2139" s="8">
        <f>VLOOKUP(B2139,'[1]новый без картинок'!$A$5:$F$2672,6,0)</f>
        <v>176</v>
      </c>
    </row>
    <row r="2140" spans="1:14" ht="138.6" customHeight="1" x14ac:dyDescent="0.2">
      <c r="A2140" s="3">
        <v>2138</v>
      </c>
      <c r="B2140" s="3">
        <v>964678</v>
      </c>
      <c r="C2140" s="4" t="str">
        <f>HYPERLINK("http://optservis.net:5080/photo?tov_code_internet=964678","Увеличить")</f>
        <v>Увеличить</v>
      </c>
      <c r="D2140" s="3" t="s">
        <v>4221</v>
      </c>
      <c r="E2140" s="3" t="s">
        <v>4218</v>
      </c>
      <c r="F2140" s="3" t="s">
        <v>4229</v>
      </c>
      <c r="G2140" s="3" t="s">
        <v>31</v>
      </c>
      <c r="H2140" s="3">
        <v>1</v>
      </c>
      <c r="I2140" s="3">
        <v>1</v>
      </c>
      <c r="J2140" s="3" t="s">
        <v>18</v>
      </c>
      <c r="K2140" s="5">
        <v>0.04</v>
      </c>
      <c r="L2140" s="6">
        <v>4640020772226</v>
      </c>
      <c r="M2140" s="7" t="s">
        <v>4225</v>
      </c>
      <c r="N2140" s="8">
        <f>VLOOKUP(B2140,'[1]новый без картинок'!$A$5:$F$2672,6,0)</f>
        <v>108</v>
      </c>
    </row>
    <row r="2141" spans="1:14" ht="151.15" customHeight="1" x14ac:dyDescent="0.2">
      <c r="A2141" s="3">
        <v>2139</v>
      </c>
      <c r="B2141" s="3">
        <v>964671</v>
      </c>
      <c r="C2141" s="4" t="str">
        <f>HYPERLINK("http://optservis.net:5080/photo?tov_code_internet=964671","Увеличить")</f>
        <v>Увеличить</v>
      </c>
      <c r="D2141" s="3" t="s">
        <v>4221</v>
      </c>
      <c r="E2141" s="3" t="s">
        <v>4218</v>
      </c>
      <c r="F2141" s="3" t="s">
        <v>4230</v>
      </c>
      <c r="G2141" s="3" t="s">
        <v>31</v>
      </c>
      <c r="H2141" s="3">
        <v>1</v>
      </c>
      <c r="I2141" s="3">
        <v>1</v>
      </c>
      <c r="J2141" s="3" t="s">
        <v>18</v>
      </c>
      <c r="K2141" s="5">
        <v>0.03</v>
      </c>
      <c r="L2141" s="6">
        <v>4640020770772</v>
      </c>
      <c r="M2141" s="7" t="s">
        <v>4225</v>
      </c>
      <c r="N2141" s="8">
        <f>VLOOKUP(B2141,'[1]новый без картинок'!$A$5:$F$2672,6,0)</f>
        <v>178</v>
      </c>
    </row>
    <row r="2142" spans="1:14" ht="138.6" customHeight="1" x14ac:dyDescent="0.2">
      <c r="A2142" s="3">
        <v>2140</v>
      </c>
      <c r="B2142" s="3">
        <v>384384</v>
      </c>
      <c r="C2142" s="4" t="str">
        <f>HYPERLINK("http://optservis.net:5080/photo?tov_code_internet=384384","Увеличить")</f>
        <v>Увеличить</v>
      </c>
      <c r="D2142" s="3" t="s">
        <v>4231</v>
      </c>
      <c r="E2142" s="3" t="s">
        <v>4232</v>
      </c>
      <c r="F2142" s="3" t="s">
        <v>3638</v>
      </c>
      <c r="G2142" s="3" t="s">
        <v>17</v>
      </c>
      <c r="H2142" s="3">
        <v>8</v>
      </c>
      <c r="I2142" s="3">
        <v>1</v>
      </c>
      <c r="J2142" s="3" t="s">
        <v>18</v>
      </c>
      <c r="K2142" s="5">
        <v>0.02</v>
      </c>
      <c r="L2142" s="6">
        <v>4640020779553</v>
      </c>
      <c r="M2142" s="7" t="s">
        <v>4233</v>
      </c>
      <c r="N2142" s="8">
        <f>VLOOKUP(B2142,'[1]новый без картинок'!$A$5:$F$2672,6,0)</f>
        <v>34</v>
      </c>
    </row>
    <row r="2143" spans="1:14" ht="138.6" customHeight="1" x14ac:dyDescent="0.2">
      <c r="A2143" s="3">
        <v>2141</v>
      </c>
      <c r="B2143" s="3">
        <v>955573</v>
      </c>
      <c r="C2143" s="4" t="str">
        <f>HYPERLINK("http://optservis.net:5080/photo?tov_code_internet=955573","Увеличить")</f>
        <v>Увеличить</v>
      </c>
      <c r="D2143" s="3" t="s">
        <v>4231</v>
      </c>
      <c r="E2143" s="3" t="s">
        <v>4232</v>
      </c>
      <c r="F2143" s="3" t="s">
        <v>4234</v>
      </c>
      <c r="G2143" s="3" t="s">
        <v>17</v>
      </c>
      <c r="H2143" s="3">
        <v>8</v>
      </c>
      <c r="I2143" s="3">
        <v>1</v>
      </c>
      <c r="J2143" s="3" t="s">
        <v>18</v>
      </c>
      <c r="K2143" s="5">
        <v>0.02</v>
      </c>
      <c r="L2143" s="6">
        <v>4640020775616</v>
      </c>
      <c r="M2143" s="7" t="s">
        <v>4235</v>
      </c>
      <c r="N2143" s="8">
        <f>VLOOKUP(B2143,'[1]новый без картинок'!$A$5:$F$2672,6,0)</f>
        <v>46</v>
      </c>
    </row>
    <row r="2144" spans="1:14" ht="138.6" customHeight="1" x14ac:dyDescent="0.2">
      <c r="A2144" s="3">
        <v>2142</v>
      </c>
      <c r="B2144" s="3">
        <v>987367</v>
      </c>
      <c r="C2144" s="4" t="str">
        <f>HYPERLINK("http://optservis.net:5080/photo?tov_code_internet=987367","Увеличить")</f>
        <v>Увеличить</v>
      </c>
      <c r="D2144" s="3" t="s">
        <v>4231</v>
      </c>
      <c r="E2144" s="3" t="s">
        <v>4232</v>
      </c>
      <c r="F2144" s="3" t="s">
        <v>70</v>
      </c>
      <c r="G2144" s="3" t="s">
        <v>17</v>
      </c>
      <c r="H2144" s="3">
        <v>8</v>
      </c>
      <c r="I2144" s="3">
        <v>1</v>
      </c>
      <c r="J2144" s="3" t="s">
        <v>18</v>
      </c>
      <c r="K2144" s="5">
        <v>0.02</v>
      </c>
      <c r="L2144" s="6">
        <v>4640020778839</v>
      </c>
      <c r="M2144" s="7" t="s">
        <v>4236</v>
      </c>
      <c r="N2144" s="8">
        <f>VLOOKUP(B2144,'[1]новый без картинок'!$A$5:$F$2672,6,0)</f>
        <v>33</v>
      </c>
    </row>
    <row r="2145" spans="1:14" ht="138.6" customHeight="1" x14ac:dyDescent="0.2">
      <c r="A2145" s="3">
        <v>2143</v>
      </c>
      <c r="B2145" s="3">
        <v>955569</v>
      </c>
      <c r="C2145" s="4" t="str">
        <f>HYPERLINK("http://optservis.net:5080/photo?tov_code_internet=955569","Увеличить")</f>
        <v>Увеличить</v>
      </c>
      <c r="D2145" s="3" t="s">
        <v>4231</v>
      </c>
      <c r="E2145" s="3" t="s">
        <v>4232</v>
      </c>
      <c r="F2145" s="3" t="s">
        <v>4237</v>
      </c>
      <c r="G2145" s="3" t="s">
        <v>17</v>
      </c>
      <c r="H2145" s="3">
        <v>8</v>
      </c>
      <c r="I2145" s="3">
        <v>1</v>
      </c>
      <c r="J2145" s="3" t="s">
        <v>18</v>
      </c>
      <c r="K2145" s="5">
        <v>0.02</v>
      </c>
      <c r="L2145" s="6">
        <v>4640020775586</v>
      </c>
      <c r="M2145" s="7" t="s">
        <v>4235</v>
      </c>
      <c r="N2145" s="8">
        <f>VLOOKUP(B2145,'[1]новый без картинок'!$A$5:$F$2672,6,0)</f>
        <v>44</v>
      </c>
    </row>
    <row r="2146" spans="1:14" ht="138.6" customHeight="1" x14ac:dyDescent="0.2">
      <c r="A2146" s="3">
        <v>2144</v>
      </c>
      <c r="B2146" s="3">
        <v>972092</v>
      </c>
      <c r="C2146" s="4" t="str">
        <f>HYPERLINK("http://optservis.net:5080/photo?tov_code_internet=972092","Увеличить")</f>
        <v>Увеличить</v>
      </c>
      <c r="D2146" s="3" t="s">
        <v>4231</v>
      </c>
      <c r="E2146" s="3" t="s">
        <v>4232</v>
      </c>
      <c r="F2146" s="3" t="s">
        <v>3618</v>
      </c>
      <c r="G2146" s="3" t="s">
        <v>17</v>
      </c>
      <c r="H2146" s="3">
        <v>8</v>
      </c>
      <c r="I2146" s="3">
        <v>1</v>
      </c>
      <c r="J2146" s="3" t="s">
        <v>18</v>
      </c>
      <c r="K2146" s="5">
        <v>0.02</v>
      </c>
      <c r="L2146" s="6">
        <v>4640020777399</v>
      </c>
      <c r="M2146" s="7" t="s">
        <v>4238</v>
      </c>
      <c r="N2146" s="8">
        <f>VLOOKUP(B2146,'[1]новый без картинок'!$A$5:$F$2672,6,0)</f>
        <v>35</v>
      </c>
    </row>
    <row r="2147" spans="1:14" ht="138.6" customHeight="1" x14ac:dyDescent="0.2">
      <c r="A2147" s="3">
        <v>2145</v>
      </c>
      <c r="B2147" s="3">
        <v>955575</v>
      </c>
      <c r="C2147" s="4" t="str">
        <f>HYPERLINK("http://optservis.net:5080/photo?tov_code_internet=955575","Увеличить")</f>
        <v>Увеличить</v>
      </c>
      <c r="D2147" s="3" t="s">
        <v>4231</v>
      </c>
      <c r="E2147" s="3" t="s">
        <v>4232</v>
      </c>
      <c r="F2147" s="3" t="s">
        <v>4239</v>
      </c>
      <c r="G2147" s="3" t="s">
        <v>17</v>
      </c>
      <c r="H2147" s="3">
        <v>8</v>
      </c>
      <c r="I2147" s="3">
        <v>1</v>
      </c>
      <c r="J2147" s="3" t="s">
        <v>18</v>
      </c>
      <c r="K2147" s="5">
        <v>0.02</v>
      </c>
      <c r="L2147" s="6">
        <v>4640020775623</v>
      </c>
      <c r="M2147" s="7" t="s">
        <v>4235</v>
      </c>
      <c r="N2147" s="8">
        <f>VLOOKUP(B2147,'[1]новый без картинок'!$A$5:$F$2672,6,0)</f>
        <v>55</v>
      </c>
    </row>
    <row r="2148" spans="1:14" ht="138.6" customHeight="1" x14ac:dyDescent="0.2">
      <c r="A2148" s="3">
        <v>2146</v>
      </c>
      <c r="B2148" s="3">
        <v>384136</v>
      </c>
      <c r="C2148" s="4" t="str">
        <f>HYPERLINK("http://optservis.net:5080/photo?tov_code_internet=384136","Увеличить")</f>
        <v>Увеличить</v>
      </c>
      <c r="D2148" s="3" t="s">
        <v>4231</v>
      </c>
      <c r="E2148" s="3" t="s">
        <v>4232</v>
      </c>
      <c r="F2148" s="3" t="s">
        <v>71</v>
      </c>
      <c r="G2148" s="3" t="s">
        <v>17</v>
      </c>
      <c r="H2148" s="3">
        <v>8</v>
      </c>
      <c r="I2148" s="3">
        <v>1</v>
      </c>
      <c r="J2148" s="3" t="s">
        <v>18</v>
      </c>
      <c r="K2148" s="5">
        <v>0.02</v>
      </c>
      <c r="L2148" s="6">
        <v>4640020779584</v>
      </c>
      <c r="M2148" s="7" t="s">
        <v>4233</v>
      </c>
      <c r="N2148" s="8">
        <f>VLOOKUP(B2148,'[1]новый без картинок'!$A$5:$F$2672,6,0)</f>
        <v>33</v>
      </c>
    </row>
    <row r="2149" spans="1:14" ht="138.6" customHeight="1" x14ac:dyDescent="0.2">
      <c r="A2149" s="3">
        <v>2147</v>
      </c>
      <c r="B2149" s="3">
        <v>955563</v>
      </c>
      <c r="C2149" s="4" t="str">
        <f>HYPERLINK("http://optservis.net:5080/photo?tov_code_internet=955563","Увеличить")</f>
        <v>Увеличить</v>
      </c>
      <c r="D2149" s="3" t="s">
        <v>4231</v>
      </c>
      <c r="E2149" s="3" t="s">
        <v>4232</v>
      </c>
      <c r="F2149" s="3" t="s">
        <v>4240</v>
      </c>
      <c r="G2149" s="3" t="s">
        <v>17</v>
      </c>
      <c r="H2149" s="3">
        <v>8</v>
      </c>
      <c r="I2149" s="3">
        <v>1</v>
      </c>
      <c r="J2149" s="3" t="s">
        <v>18</v>
      </c>
      <c r="K2149" s="5">
        <v>0.02</v>
      </c>
      <c r="L2149" s="6">
        <v>4640020775630</v>
      </c>
      <c r="M2149" s="7" t="s">
        <v>4235</v>
      </c>
      <c r="N2149" s="8">
        <f>VLOOKUP(B2149,'[1]новый без картинок'!$A$5:$F$2672,6,0)</f>
        <v>43</v>
      </c>
    </row>
    <row r="2150" spans="1:14" ht="138.6" customHeight="1" x14ac:dyDescent="0.2">
      <c r="A2150" s="3">
        <v>2148</v>
      </c>
      <c r="B2150" s="3">
        <v>972894</v>
      </c>
      <c r="C2150" s="4" t="str">
        <f>HYPERLINK("http://optservis.net:5080/photo?tov_code_internet=972894","Увеличить")</f>
        <v>Увеличить</v>
      </c>
      <c r="D2150" s="3" t="s">
        <v>4241</v>
      </c>
      <c r="E2150" s="3" t="s">
        <v>4242</v>
      </c>
      <c r="F2150" s="3" t="s">
        <v>4116</v>
      </c>
      <c r="G2150" s="3" t="s">
        <v>17</v>
      </c>
      <c r="H2150" s="3">
        <v>8</v>
      </c>
      <c r="I2150" s="3">
        <v>1</v>
      </c>
      <c r="J2150" s="3" t="s">
        <v>18</v>
      </c>
      <c r="K2150" s="5">
        <v>0.02</v>
      </c>
      <c r="L2150" s="6">
        <v>4640020777412</v>
      </c>
      <c r="M2150" s="7" t="s">
        <v>4243</v>
      </c>
      <c r="N2150" s="8">
        <f>VLOOKUP(B2150,'[1]новый без картинок'!$A$5:$F$2672,6,0)</f>
        <v>52</v>
      </c>
    </row>
    <row r="2151" spans="1:14" ht="138.6" customHeight="1" x14ac:dyDescent="0.2">
      <c r="A2151" s="3">
        <v>2149</v>
      </c>
      <c r="B2151" s="3">
        <v>955631</v>
      </c>
      <c r="C2151" s="4" t="str">
        <f>HYPERLINK("http://optservis.net:5080/photo?tov_code_internet=955631","Увеличить")</f>
        <v>Увеличить</v>
      </c>
      <c r="D2151" s="3" t="s">
        <v>4241</v>
      </c>
      <c r="E2151" s="3" t="s">
        <v>4242</v>
      </c>
      <c r="F2151" s="3" t="s">
        <v>4244</v>
      </c>
      <c r="G2151" s="3" t="s">
        <v>17</v>
      </c>
      <c r="H2151" s="3">
        <v>8</v>
      </c>
      <c r="I2151" s="3">
        <v>1</v>
      </c>
      <c r="J2151" s="3" t="s">
        <v>18</v>
      </c>
      <c r="K2151" s="5">
        <v>0.02</v>
      </c>
      <c r="L2151" s="6">
        <v>4640020775784</v>
      </c>
      <c r="M2151" s="7" t="s">
        <v>4243</v>
      </c>
      <c r="N2151" s="8">
        <f>VLOOKUP(B2151,'[1]новый без картинок'!$A$5:$F$2672,6,0)</f>
        <v>55</v>
      </c>
    </row>
    <row r="2152" spans="1:14" ht="138.6" customHeight="1" x14ac:dyDescent="0.2">
      <c r="A2152" s="3">
        <v>2150</v>
      </c>
      <c r="B2152" s="3">
        <v>992686</v>
      </c>
      <c r="C2152" s="4" t="str">
        <f>HYPERLINK("http://optservis.net:5080/photo?tov_code_internet=992686","Увеличить")</f>
        <v>Увеличить</v>
      </c>
      <c r="D2152" s="3" t="s">
        <v>4241</v>
      </c>
      <c r="E2152" s="3" t="s">
        <v>4242</v>
      </c>
      <c r="F2152" s="3" t="s">
        <v>3649</v>
      </c>
      <c r="G2152" s="3" t="s">
        <v>17</v>
      </c>
      <c r="H2152" s="3">
        <v>8</v>
      </c>
      <c r="I2152" s="3">
        <v>1</v>
      </c>
      <c r="J2152" s="3" t="s">
        <v>18</v>
      </c>
      <c r="K2152" s="5">
        <v>0.02</v>
      </c>
      <c r="L2152" s="6">
        <v>4690654006280</v>
      </c>
      <c r="M2152" s="7" t="s">
        <v>4245</v>
      </c>
      <c r="N2152" s="8">
        <f>VLOOKUP(B2152,'[1]новый без картинок'!$A$5:$F$2672,6,0)</f>
        <v>52</v>
      </c>
    </row>
    <row r="2153" spans="1:14" ht="138.6" customHeight="1" x14ac:dyDescent="0.2">
      <c r="A2153" s="3">
        <v>2151</v>
      </c>
      <c r="B2153" s="3">
        <v>955632</v>
      </c>
      <c r="C2153" s="4" t="str">
        <f>HYPERLINK("http://optservis.net:5080/photo?tov_code_internet=955632","Увеличить")</f>
        <v>Увеличить</v>
      </c>
      <c r="D2153" s="3" t="s">
        <v>4241</v>
      </c>
      <c r="E2153" s="3" t="s">
        <v>4242</v>
      </c>
      <c r="F2153" s="3" t="s">
        <v>4246</v>
      </c>
      <c r="G2153" s="3" t="s">
        <v>17</v>
      </c>
      <c r="H2153" s="3">
        <v>8</v>
      </c>
      <c r="I2153" s="3">
        <v>1</v>
      </c>
      <c r="J2153" s="3" t="s">
        <v>18</v>
      </c>
      <c r="K2153" s="5">
        <v>0.02</v>
      </c>
      <c r="L2153" s="6">
        <v>4640020775791</v>
      </c>
      <c r="M2153" s="7" t="s">
        <v>4243</v>
      </c>
      <c r="N2153" s="8">
        <f>VLOOKUP(B2153,'[1]новый без картинок'!$A$5:$F$2672,6,0)</f>
        <v>56</v>
      </c>
    </row>
    <row r="2154" spans="1:14" ht="138.6" customHeight="1" x14ac:dyDescent="0.2">
      <c r="A2154" s="3">
        <v>2152</v>
      </c>
      <c r="B2154" s="3">
        <v>992684</v>
      </c>
      <c r="C2154" s="4" t="str">
        <f>HYPERLINK("http://optservis.net:5080/photo?tov_code_internet=992684","Увеличить")</f>
        <v>Увеличить</v>
      </c>
      <c r="D2154" s="3" t="s">
        <v>4241</v>
      </c>
      <c r="E2154" s="3" t="s">
        <v>4242</v>
      </c>
      <c r="F2154" s="3" t="s">
        <v>3618</v>
      </c>
      <c r="G2154" s="3" t="s">
        <v>17</v>
      </c>
      <c r="H2154" s="3">
        <v>8</v>
      </c>
      <c r="I2154" s="3">
        <v>1</v>
      </c>
      <c r="J2154" s="3" t="s">
        <v>18</v>
      </c>
      <c r="K2154" s="5">
        <v>0.02</v>
      </c>
      <c r="L2154" s="6">
        <v>4690654002831</v>
      </c>
      <c r="M2154" s="7" t="s">
        <v>4247</v>
      </c>
      <c r="N2154" s="8">
        <f>VLOOKUP(B2154,'[1]новый без картинок'!$A$5:$F$2672,6,0)</f>
        <v>47</v>
      </c>
    </row>
    <row r="2155" spans="1:14" ht="138.6" customHeight="1" x14ac:dyDescent="0.2">
      <c r="A2155" s="3">
        <v>2153</v>
      </c>
      <c r="B2155" s="3">
        <v>955629</v>
      </c>
      <c r="C2155" s="4" t="str">
        <f>HYPERLINK("http://optservis.net:5080/photo?tov_code_internet=955629","Увеличить")</f>
        <v>Увеличить</v>
      </c>
      <c r="D2155" s="3" t="s">
        <v>4241</v>
      </c>
      <c r="E2155" s="3" t="s">
        <v>4242</v>
      </c>
      <c r="F2155" s="3" t="s">
        <v>4239</v>
      </c>
      <c r="G2155" s="3" t="s">
        <v>17</v>
      </c>
      <c r="H2155" s="3">
        <v>8</v>
      </c>
      <c r="I2155" s="3">
        <v>1</v>
      </c>
      <c r="J2155" s="3" t="s">
        <v>18</v>
      </c>
      <c r="K2155" s="5">
        <v>0.02</v>
      </c>
      <c r="L2155" s="6">
        <v>4640020775807</v>
      </c>
      <c r="M2155" s="7" t="s">
        <v>4248</v>
      </c>
      <c r="N2155" s="8">
        <f>VLOOKUP(B2155,'[1]новый без картинок'!$A$5:$F$2672,6,0)</f>
        <v>56</v>
      </c>
    </row>
    <row r="2156" spans="1:14" ht="138.6" customHeight="1" x14ac:dyDescent="0.2">
      <c r="A2156" s="3">
        <v>2154</v>
      </c>
      <c r="B2156" s="3">
        <v>992685</v>
      </c>
      <c r="C2156" s="4" t="str">
        <f>HYPERLINK("http://optservis.net:5080/photo?tov_code_internet=992685","Увеличить")</f>
        <v>Увеличить</v>
      </c>
      <c r="D2156" s="3" t="s">
        <v>4241</v>
      </c>
      <c r="E2156" s="3" t="s">
        <v>4242</v>
      </c>
      <c r="F2156" s="3" t="s">
        <v>71</v>
      </c>
      <c r="G2156" s="3" t="s">
        <v>17</v>
      </c>
      <c r="H2156" s="3">
        <v>8</v>
      </c>
      <c r="I2156" s="3">
        <v>1</v>
      </c>
      <c r="J2156" s="3" t="s">
        <v>18</v>
      </c>
      <c r="K2156" s="5">
        <v>0.02</v>
      </c>
      <c r="L2156" s="6">
        <v>4690654002848</v>
      </c>
      <c r="M2156" s="7" t="s">
        <v>4247</v>
      </c>
      <c r="N2156" s="8">
        <f>VLOOKUP(B2156,'[1]новый без картинок'!$A$5:$F$2672,6,0)</f>
        <v>33</v>
      </c>
    </row>
    <row r="2157" spans="1:14" ht="138.6" customHeight="1" x14ac:dyDescent="0.2">
      <c r="A2157" s="3">
        <v>2155</v>
      </c>
      <c r="B2157" s="3">
        <v>955630</v>
      </c>
      <c r="C2157" s="4" t="str">
        <f>HYPERLINK("http://optservis.net:5080/photo?tov_code_internet=955630","Увеличить")</f>
        <v>Увеличить</v>
      </c>
      <c r="D2157" s="3" t="s">
        <v>4241</v>
      </c>
      <c r="E2157" s="3" t="s">
        <v>4242</v>
      </c>
      <c r="F2157" s="3" t="s">
        <v>4240</v>
      </c>
      <c r="G2157" s="3" t="s">
        <v>17</v>
      </c>
      <c r="H2157" s="3">
        <v>8</v>
      </c>
      <c r="I2157" s="3">
        <v>1</v>
      </c>
      <c r="J2157" s="3" t="s">
        <v>18</v>
      </c>
      <c r="K2157" s="5">
        <v>0.02</v>
      </c>
      <c r="L2157" s="6">
        <v>4640020775814</v>
      </c>
      <c r="M2157" s="7" t="s">
        <v>4248</v>
      </c>
      <c r="N2157" s="8">
        <f>VLOOKUP(B2157,'[1]новый без картинок'!$A$5:$F$2672,6,0)</f>
        <v>47</v>
      </c>
    </row>
    <row r="2158" spans="1:14" ht="138.6" customHeight="1" x14ac:dyDescent="0.2">
      <c r="A2158" s="3">
        <v>2156</v>
      </c>
      <c r="B2158" s="3">
        <v>205181</v>
      </c>
      <c r="C2158" s="4" t="str">
        <f>HYPERLINK("http://optservis.net:5080/photo?tov_code_internet=205181","Увеличить")</f>
        <v>Увеличить</v>
      </c>
      <c r="D2158" s="3" t="s">
        <v>4249</v>
      </c>
      <c r="E2158" s="3" t="s">
        <v>4250</v>
      </c>
      <c r="F2158" s="3" t="s">
        <v>71</v>
      </c>
      <c r="G2158" s="3" t="s">
        <v>17</v>
      </c>
      <c r="H2158" s="3">
        <v>2</v>
      </c>
      <c r="I2158" s="3">
        <v>1</v>
      </c>
      <c r="J2158" s="3" t="s">
        <v>18</v>
      </c>
      <c r="K2158" s="5">
        <v>0.11</v>
      </c>
      <c r="L2158" s="6">
        <v>4690654019310</v>
      </c>
      <c r="M2158" s="7" t="s">
        <v>4251</v>
      </c>
      <c r="N2158" s="8">
        <f>VLOOKUP(B2158,'[1]новый без картинок'!$A$5:$F$2672,6,0)</f>
        <v>81</v>
      </c>
    </row>
    <row r="2159" spans="1:14" ht="138.6" customHeight="1" x14ac:dyDescent="0.2">
      <c r="A2159" s="3">
        <v>2157</v>
      </c>
      <c r="B2159" s="3">
        <v>918628</v>
      </c>
      <c r="C2159" s="4" t="str">
        <f>HYPERLINK("http://optservis.net:5080/photo?tov_code_internet=918628","Увеличить")</f>
        <v>Увеличить</v>
      </c>
      <c r="D2159" s="3" t="s">
        <v>4252</v>
      </c>
      <c r="E2159" s="3" t="s">
        <v>4253</v>
      </c>
      <c r="F2159" s="3" t="s">
        <v>4116</v>
      </c>
      <c r="G2159" s="3" t="s">
        <v>17</v>
      </c>
      <c r="H2159" s="3">
        <v>4</v>
      </c>
      <c r="I2159" s="3">
        <v>4</v>
      </c>
      <c r="J2159" s="3" t="s">
        <v>18</v>
      </c>
      <c r="K2159" s="5">
        <v>0.05</v>
      </c>
      <c r="L2159" s="6">
        <v>4640020772097</v>
      </c>
      <c r="M2159" s="7" t="s">
        <v>4254</v>
      </c>
      <c r="N2159" s="8">
        <f>VLOOKUP(B2159,'[1]новый без картинок'!$A$5:$F$2672,6,0)</f>
        <v>69</v>
      </c>
    </row>
    <row r="2160" spans="1:14" ht="138.6" customHeight="1" x14ac:dyDescent="0.2">
      <c r="A2160" s="3">
        <v>2158</v>
      </c>
      <c r="B2160" s="3">
        <v>906269</v>
      </c>
      <c r="C2160" s="4" t="str">
        <f>HYPERLINK("http://optservis.net:5080/photo?tov_code_internet=906269","Увеличить")</f>
        <v>Увеличить</v>
      </c>
      <c r="D2160" s="3" t="s">
        <v>4252</v>
      </c>
      <c r="E2160" s="3" t="s">
        <v>4253</v>
      </c>
      <c r="F2160" s="3" t="s">
        <v>3618</v>
      </c>
      <c r="G2160" s="3" t="s">
        <v>17</v>
      </c>
      <c r="H2160" s="3">
        <v>4</v>
      </c>
      <c r="I2160" s="3">
        <v>4</v>
      </c>
      <c r="J2160" s="3" t="s">
        <v>18</v>
      </c>
      <c r="K2160" s="5">
        <v>0.05</v>
      </c>
      <c r="L2160" s="6">
        <v>4640020770420</v>
      </c>
      <c r="M2160" s="7" t="s">
        <v>4255</v>
      </c>
      <c r="N2160" s="8">
        <f>VLOOKUP(B2160,'[1]новый без картинок'!$A$5:$F$2672,6,0)</f>
        <v>61</v>
      </c>
    </row>
    <row r="2161" spans="1:14" ht="138.6" customHeight="1" x14ac:dyDescent="0.2">
      <c r="A2161" s="3">
        <v>2159</v>
      </c>
      <c r="B2161" s="3">
        <v>906268</v>
      </c>
      <c r="C2161" s="4" t="str">
        <f>HYPERLINK("http://optservis.net:5080/photo?tov_code_internet=906268","Увеличить")</f>
        <v>Увеличить</v>
      </c>
      <c r="D2161" s="3" t="s">
        <v>4252</v>
      </c>
      <c r="E2161" s="3" t="s">
        <v>4253</v>
      </c>
      <c r="F2161" s="3" t="s">
        <v>71</v>
      </c>
      <c r="G2161" s="3" t="s">
        <v>17</v>
      </c>
      <c r="H2161" s="3">
        <v>4</v>
      </c>
      <c r="I2161" s="3">
        <v>4</v>
      </c>
      <c r="J2161" s="3" t="s">
        <v>18</v>
      </c>
      <c r="K2161" s="5">
        <v>0.05</v>
      </c>
      <c r="L2161" s="6">
        <v>4640020770437</v>
      </c>
      <c r="M2161" s="7" t="s">
        <v>4255</v>
      </c>
      <c r="N2161" s="8">
        <f>VLOOKUP(B2161,'[1]новый без картинок'!$A$5:$F$2672,6,0)</f>
        <v>60</v>
      </c>
    </row>
    <row r="2162" spans="1:14" ht="138.6" customHeight="1" x14ac:dyDescent="0.2">
      <c r="A2162" s="3">
        <v>2160</v>
      </c>
      <c r="B2162" s="3">
        <v>909929</v>
      </c>
      <c r="C2162" s="4" t="str">
        <f>HYPERLINK("http://optservis.net:5080/photo?tov_code_internet=909929","Увеличить")</f>
        <v>Увеличить</v>
      </c>
      <c r="D2162" s="3" t="s">
        <v>4256</v>
      </c>
      <c r="E2162" s="3" t="s">
        <v>4257</v>
      </c>
      <c r="F2162" s="3" t="s">
        <v>3618</v>
      </c>
      <c r="G2162" s="3" t="s">
        <v>17</v>
      </c>
      <c r="H2162" s="3">
        <v>2</v>
      </c>
      <c r="I2162" s="3">
        <v>1</v>
      </c>
      <c r="J2162" s="3" t="s">
        <v>18</v>
      </c>
      <c r="K2162" s="5">
        <v>0.19</v>
      </c>
      <c r="L2162" s="6">
        <v>4640020771359</v>
      </c>
      <c r="M2162" s="7" t="s">
        <v>4258</v>
      </c>
      <c r="N2162" s="8">
        <f>VLOOKUP(B2162,'[1]новый без картинок'!$A$5:$F$2672,6,0)</f>
        <v>31</v>
      </c>
    </row>
    <row r="2163" spans="1:14" ht="138.6" customHeight="1" x14ac:dyDescent="0.2">
      <c r="A2163" s="3">
        <v>2161</v>
      </c>
      <c r="B2163" s="3">
        <v>909930</v>
      </c>
      <c r="C2163" s="4" t="str">
        <f>HYPERLINK("http://optservis.net:5080/photo?tov_code_internet=909930","Увеличить")</f>
        <v>Увеличить</v>
      </c>
      <c r="D2163" s="3" t="s">
        <v>4256</v>
      </c>
      <c r="E2163" s="3" t="s">
        <v>4257</v>
      </c>
      <c r="F2163" s="3" t="s">
        <v>71</v>
      </c>
      <c r="G2163" s="3" t="s">
        <v>17</v>
      </c>
      <c r="H2163" s="3">
        <v>2</v>
      </c>
      <c r="I2163" s="3">
        <v>1</v>
      </c>
      <c r="J2163" s="3" t="s">
        <v>18</v>
      </c>
      <c r="K2163" s="5">
        <v>0.19</v>
      </c>
      <c r="L2163" s="6">
        <v>4640020771342</v>
      </c>
      <c r="M2163" s="7" t="s">
        <v>4258</v>
      </c>
      <c r="N2163" s="8">
        <f>VLOOKUP(B2163,'[1]новый без картинок'!$A$5:$F$2672,6,0)</f>
        <v>31</v>
      </c>
    </row>
    <row r="2164" spans="1:14" ht="149.44999999999999" customHeight="1" x14ac:dyDescent="0.2">
      <c r="A2164" s="3">
        <v>2162</v>
      </c>
      <c r="B2164" s="3">
        <v>982333</v>
      </c>
      <c r="C2164" s="4" t="str">
        <f>HYPERLINK("http://optservis.net:5080/photo?tov_code_internet=982333","Увеличить")</f>
        <v>Увеличить</v>
      </c>
      <c r="D2164" s="3" t="s">
        <v>4259</v>
      </c>
      <c r="E2164" s="3" t="s">
        <v>4260</v>
      </c>
      <c r="F2164" s="3" t="s">
        <v>34</v>
      </c>
      <c r="G2164" s="3" t="s">
        <v>1186</v>
      </c>
      <c r="H2164" s="3">
        <v>1</v>
      </c>
      <c r="I2164" s="3">
        <v>1</v>
      </c>
      <c r="J2164" s="3" t="s">
        <v>18</v>
      </c>
      <c r="K2164" s="5">
        <v>0.28000000000000003</v>
      </c>
      <c r="L2164" s="6">
        <v>4640020778242</v>
      </c>
      <c r="M2164" s="7" t="s">
        <v>4261</v>
      </c>
      <c r="N2164" s="8">
        <f>VLOOKUP(B2164,'[1]новый без картинок'!$A$5:$F$2672,6,0)</f>
        <v>709</v>
      </c>
    </row>
    <row r="2165" spans="1:14" ht="151.15" customHeight="1" x14ac:dyDescent="0.2">
      <c r="A2165" s="3">
        <v>2163</v>
      </c>
      <c r="B2165" s="3">
        <v>987501</v>
      </c>
      <c r="C2165" s="4" t="str">
        <f>HYPERLINK("http://optservis.net:5080/photo?tov_code_internet=987501","Увеличить")</f>
        <v>Увеличить</v>
      </c>
      <c r="D2165" s="3" t="s">
        <v>4259</v>
      </c>
      <c r="E2165" s="3" t="s">
        <v>4260</v>
      </c>
      <c r="F2165" s="3" t="s">
        <v>34</v>
      </c>
      <c r="G2165" s="3" t="s">
        <v>1189</v>
      </c>
      <c r="H2165" s="3">
        <v>1</v>
      </c>
      <c r="I2165" s="3">
        <v>1</v>
      </c>
      <c r="J2165" s="3" t="s">
        <v>18</v>
      </c>
      <c r="K2165" s="5">
        <v>0.28000000000000003</v>
      </c>
      <c r="L2165" s="6">
        <v>4640020778983</v>
      </c>
      <c r="M2165" s="7" t="s">
        <v>4262</v>
      </c>
      <c r="N2165" s="8">
        <f>VLOOKUP(B2165,'[1]новый без картинок'!$A$5:$F$2672,6,0)</f>
        <v>585</v>
      </c>
    </row>
    <row r="2166" spans="1:14" ht="138.6" customHeight="1" x14ac:dyDescent="0.2">
      <c r="A2166" s="3">
        <v>2164</v>
      </c>
      <c r="B2166" s="3">
        <v>917768</v>
      </c>
      <c r="C2166" s="4" t="str">
        <f>HYPERLINK("http://optservis.net:5080/photo?tov_code_internet=917768","Увеличить")</f>
        <v>Увеличить</v>
      </c>
      <c r="D2166" s="3" t="s">
        <v>4263</v>
      </c>
      <c r="E2166" s="3" t="s">
        <v>4264</v>
      </c>
      <c r="F2166" s="3" t="s">
        <v>3618</v>
      </c>
      <c r="G2166" s="3" t="s">
        <v>17</v>
      </c>
      <c r="H2166" s="3">
        <v>2</v>
      </c>
      <c r="I2166" s="3">
        <v>1</v>
      </c>
      <c r="J2166" s="3" t="s">
        <v>18</v>
      </c>
      <c r="K2166" s="5">
        <v>0.14000000000000001</v>
      </c>
      <c r="L2166" s="6">
        <v>4640020772011</v>
      </c>
      <c r="M2166" s="7" t="s">
        <v>4152</v>
      </c>
      <c r="N2166" s="8">
        <f>VLOOKUP(B2166,'[1]новый без картинок'!$A$5:$F$2672,6,0)</f>
        <v>83</v>
      </c>
    </row>
    <row r="2167" spans="1:14" ht="138.6" customHeight="1" x14ac:dyDescent="0.2">
      <c r="A2167" s="3">
        <v>2165</v>
      </c>
      <c r="B2167" s="3">
        <v>907486</v>
      </c>
      <c r="C2167" s="4" t="str">
        <f>HYPERLINK("http://optservis.net:5080/photo?tov_code_internet=907486","Увеличить")</f>
        <v>Увеличить</v>
      </c>
      <c r="D2167" s="3" t="s">
        <v>4263</v>
      </c>
      <c r="E2167" s="3" t="s">
        <v>4264</v>
      </c>
      <c r="F2167" s="3" t="s">
        <v>71</v>
      </c>
      <c r="G2167" s="3" t="s">
        <v>17</v>
      </c>
      <c r="H2167" s="3">
        <v>2</v>
      </c>
      <c r="I2167" s="3">
        <v>1</v>
      </c>
      <c r="J2167" s="3" t="s">
        <v>18</v>
      </c>
      <c r="K2167" s="5">
        <v>0.14000000000000001</v>
      </c>
      <c r="L2167" s="6">
        <v>4640020770857</v>
      </c>
      <c r="M2167" s="7" t="s">
        <v>4265</v>
      </c>
      <c r="N2167" s="8">
        <f>VLOOKUP(B2167,'[1]новый без картинок'!$A$5:$F$2672,6,0)</f>
        <v>74</v>
      </c>
    </row>
    <row r="2168" spans="1:14" ht="138.6" customHeight="1" x14ac:dyDescent="0.2">
      <c r="A2168" s="3">
        <v>2166</v>
      </c>
      <c r="B2168" s="3">
        <v>986396</v>
      </c>
      <c r="C2168" s="4" t="str">
        <f>HYPERLINK("http://optservis.net:5080/photo?tov_code_internet=986396","Увеличить")</f>
        <v>Увеличить</v>
      </c>
      <c r="D2168" s="3" t="s">
        <v>4266</v>
      </c>
      <c r="E2168" s="3" t="s">
        <v>4267</v>
      </c>
      <c r="F2168" s="3" t="s">
        <v>688</v>
      </c>
      <c r="G2168" s="3" t="s">
        <v>59</v>
      </c>
      <c r="H2168" s="3">
        <v>1</v>
      </c>
      <c r="I2168" s="3">
        <v>1</v>
      </c>
      <c r="J2168" s="3" t="s">
        <v>18</v>
      </c>
      <c r="K2168" s="5">
        <v>0.01</v>
      </c>
      <c r="L2168" s="6">
        <v>4640020778693</v>
      </c>
      <c r="M2168" s="7" t="s">
        <v>4268</v>
      </c>
      <c r="N2168" s="8">
        <f>VLOOKUP(B2168,'[1]новый без картинок'!$A$5:$F$2672,6,0)</f>
        <v>181</v>
      </c>
    </row>
    <row r="2169" spans="1:14" ht="151.15" customHeight="1" x14ac:dyDescent="0.2">
      <c r="A2169" s="3">
        <v>2167</v>
      </c>
      <c r="B2169" s="3">
        <v>918986</v>
      </c>
      <c r="C2169" s="4" t="str">
        <f>HYPERLINK("http://optservis.net:5080/photo?tov_code_internet=918986","Увеличить")</f>
        <v>Увеличить</v>
      </c>
      <c r="D2169" s="3" t="s">
        <v>4266</v>
      </c>
      <c r="E2169" s="3" t="s">
        <v>4267</v>
      </c>
      <c r="F2169" s="3" t="s">
        <v>4121</v>
      </c>
      <c r="G2169" s="3" t="s">
        <v>59</v>
      </c>
      <c r="H2169" s="3">
        <v>1</v>
      </c>
      <c r="I2169" s="3">
        <v>1</v>
      </c>
      <c r="J2169" s="3" t="s">
        <v>18</v>
      </c>
      <c r="K2169" s="5">
        <v>0.01</v>
      </c>
      <c r="L2169" s="6">
        <v>4640020772127</v>
      </c>
      <c r="M2169" s="7" t="s">
        <v>4268</v>
      </c>
      <c r="N2169" s="8">
        <f>VLOOKUP(B2169,'[1]новый без картинок'!$A$5:$F$2672,6,0)</f>
        <v>185</v>
      </c>
    </row>
    <row r="2170" spans="1:14" ht="138.6" customHeight="1" x14ac:dyDescent="0.2">
      <c r="A2170" s="3">
        <v>2168</v>
      </c>
      <c r="B2170" s="3">
        <v>918987</v>
      </c>
      <c r="C2170" s="4" t="str">
        <f>HYPERLINK("http://optservis.net:5080/photo?tov_code_internet=918987","Увеличить")</f>
        <v>Увеличить</v>
      </c>
      <c r="D2170" s="3" t="s">
        <v>4269</v>
      </c>
      <c r="E2170" s="3" t="s">
        <v>4270</v>
      </c>
      <c r="F2170" s="3" t="s">
        <v>1398</v>
      </c>
      <c r="G2170" s="3" t="s">
        <v>4271</v>
      </c>
      <c r="H2170" s="3">
        <v>1</v>
      </c>
      <c r="I2170" s="3">
        <v>1</v>
      </c>
      <c r="J2170" s="3" t="s">
        <v>18</v>
      </c>
      <c r="K2170" s="5">
        <v>0.01</v>
      </c>
      <c r="L2170" s="6">
        <v>4640020772134</v>
      </c>
      <c r="M2170" s="7" t="s">
        <v>4272</v>
      </c>
      <c r="N2170" s="8">
        <f>VLOOKUP(B2170,'[1]новый без картинок'!$A$5:$F$2672,6,0)</f>
        <v>273</v>
      </c>
    </row>
    <row r="2171" spans="1:14" ht="138.6" customHeight="1" x14ac:dyDescent="0.2">
      <c r="A2171" s="3">
        <v>2169</v>
      </c>
      <c r="B2171" s="3">
        <v>957557</v>
      </c>
      <c r="C2171" s="4" t="str">
        <f>HYPERLINK("http://optservis.net:5080/photo?tov_code_internet=957557","Увеличить")</f>
        <v>Увеличить</v>
      </c>
      <c r="D2171" s="3" t="s">
        <v>4273</v>
      </c>
      <c r="E2171" s="3" t="s">
        <v>4274</v>
      </c>
      <c r="F2171" s="3" t="s">
        <v>4275</v>
      </c>
      <c r="G2171" s="3" t="s">
        <v>17</v>
      </c>
      <c r="H2171" s="3">
        <v>1</v>
      </c>
      <c r="I2171" s="3">
        <v>1</v>
      </c>
      <c r="J2171" s="3" t="s">
        <v>18</v>
      </c>
      <c r="K2171" s="5">
        <v>0.11</v>
      </c>
      <c r="L2171" s="6">
        <v>4640020775722</v>
      </c>
      <c r="M2171" s="7" t="s">
        <v>4276</v>
      </c>
      <c r="N2171" s="8">
        <f>VLOOKUP(B2171,'[1]новый без картинок'!$A$5:$F$2672,6,0)</f>
        <v>368</v>
      </c>
    </row>
    <row r="2172" spans="1:14" ht="151.15" customHeight="1" x14ac:dyDescent="0.2">
      <c r="A2172" s="3">
        <v>2170</v>
      </c>
      <c r="B2172" s="3">
        <v>377333</v>
      </c>
      <c r="C2172" s="4" t="str">
        <f>HYPERLINK("http://optservis.net:5080/photo?tov_code_internet=377333","Увеличить")</f>
        <v>Увеличить</v>
      </c>
      <c r="D2172" s="3" t="s">
        <v>4277</v>
      </c>
      <c r="E2172" s="3" t="s">
        <v>4278</v>
      </c>
      <c r="F2172" s="3" t="s">
        <v>1155</v>
      </c>
      <c r="G2172" s="3" t="s">
        <v>788</v>
      </c>
      <c r="H2172" s="3">
        <v>5</v>
      </c>
      <c r="I2172" s="3">
        <v>1</v>
      </c>
      <c r="J2172" s="3" t="s">
        <v>18</v>
      </c>
      <c r="K2172" s="5">
        <v>0.28999999999999998</v>
      </c>
      <c r="L2172" s="6">
        <v>4640020779829</v>
      </c>
      <c r="M2172" s="7" t="s">
        <v>4279</v>
      </c>
      <c r="N2172" s="8">
        <f>VLOOKUP(B2172,'[1]новый без картинок'!$A$5:$F$2672,6,0)</f>
        <v>105</v>
      </c>
    </row>
    <row r="2173" spans="1:14" ht="151.15" customHeight="1" x14ac:dyDescent="0.2">
      <c r="A2173" s="3">
        <v>2171</v>
      </c>
      <c r="B2173" s="3">
        <v>12684</v>
      </c>
      <c r="C2173" s="4" t="str">
        <f>HYPERLINK("http://optservis.net:5080/photo?tov_code_internet=12684","Увеличить")</f>
        <v>Увеличить</v>
      </c>
      <c r="D2173" s="3" t="s">
        <v>4277</v>
      </c>
      <c r="E2173" s="3" t="s">
        <v>4278</v>
      </c>
      <c r="F2173" s="3" t="s">
        <v>20</v>
      </c>
      <c r="G2173" s="3" t="s">
        <v>788</v>
      </c>
      <c r="H2173" s="3">
        <v>5</v>
      </c>
      <c r="I2173" s="3">
        <v>1</v>
      </c>
      <c r="J2173" s="3" t="s">
        <v>18</v>
      </c>
      <c r="K2173" s="5">
        <v>0.28999999999999998</v>
      </c>
      <c r="L2173" s="6">
        <v>4640020779836</v>
      </c>
      <c r="M2173" s="7" t="s">
        <v>4279</v>
      </c>
      <c r="N2173" s="8">
        <f>VLOOKUP(B2173,'[1]новый без картинок'!$A$5:$F$2672,6,0)</f>
        <v>105</v>
      </c>
    </row>
    <row r="2174" spans="1:14" ht="151.15" customHeight="1" x14ac:dyDescent="0.2">
      <c r="A2174" s="3">
        <v>2172</v>
      </c>
      <c r="B2174" s="3">
        <v>147589</v>
      </c>
      <c r="C2174" s="4" t="str">
        <f>HYPERLINK("http://optservis.net:5080/photo?tov_code_internet=147589","Увеличить")</f>
        <v>Увеличить</v>
      </c>
      <c r="D2174" s="3" t="s">
        <v>4280</v>
      </c>
      <c r="E2174" s="3" t="s">
        <v>4281</v>
      </c>
      <c r="F2174" s="3" t="s">
        <v>3618</v>
      </c>
      <c r="G2174" s="3" t="s">
        <v>17</v>
      </c>
      <c r="H2174" s="3">
        <v>6</v>
      </c>
      <c r="I2174" s="3">
        <v>1</v>
      </c>
      <c r="J2174" s="3" t="s">
        <v>18</v>
      </c>
      <c r="K2174" s="5">
        <v>0.33</v>
      </c>
      <c r="L2174" s="6">
        <v>4690654004767</v>
      </c>
      <c r="M2174" s="7" t="s">
        <v>4282</v>
      </c>
      <c r="N2174" s="8">
        <f>VLOOKUP(B2174,'[1]новый без картинок'!$A$5:$F$2672,6,0)</f>
        <v>94</v>
      </c>
    </row>
    <row r="2175" spans="1:14" ht="151.15" customHeight="1" x14ac:dyDescent="0.2">
      <c r="A2175" s="3">
        <v>2173</v>
      </c>
      <c r="B2175" s="3">
        <v>147588</v>
      </c>
      <c r="C2175" s="4" t="str">
        <f>HYPERLINK("http://optservis.net:5080/photo?tov_code_internet=147588","Увеличить")</f>
        <v>Увеличить</v>
      </c>
      <c r="D2175" s="3" t="s">
        <v>4280</v>
      </c>
      <c r="E2175" s="3" t="s">
        <v>4281</v>
      </c>
      <c r="F2175" s="3" t="s">
        <v>71</v>
      </c>
      <c r="G2175" s="3" t="s">
        <v>17</v>
      </c>
      <c r="H2175" s="3">
        <v>6</v>
      </c>
      <c r="I2175" s="3">
        <v>1</v>
      </c>
      <c r="J2175" s="3" t="s">
        <v>18</v>
      </c>
      <c r="K2175" s="5">
        <v>0.33</v>
      </c>
      <c r="L2175" s="6">
        <v>4690654004774</v>
      </c>
      <c r="M2175" s="7" t="s">
        <v>4282</v>
      </c>
      <c r="N2175" s="8">
        <f>VLOOKUP(B2175,'[1]новый без картинок'!$A$5:$F$2672,6,0)</f>
        <v>82</v>
      </c>
    </row>
    <row r="2176" spans="1:14" ht="151.15" customHeight="1" x14ac:dyDescent="0.2">
      <c r="A2176" s="3">
        <v>2174</v>
      </c>
      <c r="B2176" s="3">
        <v>170540</v>
      </c>
      <c r="C2176" s="4" t="str">
        <f>HYPERLINK("http://optservis.net:5080/photo?tov_code_internet=170540","Увеличить")</f>
        <v>Увеличить</v>
      </c>
      <c r="D2176" s="3" t="s">
        <v>4283</v>
      </c>
      <c r="E2176" s="3" t="s">
        <v>4284</v>
      </c>
      <c r="F2176" s="3" t="s">
        <v>3618</v>
      </c>
      <c r="G2176" s="3" t="s">
        <v>17</v>
      </c>
      <c r="H2176" s="3">
        <v>6</v>
      </c>
      <c r="I2176" s="3">
        <v>1</v>
      </c>
      <c r="J2176" s="3" t="s">
        <v>18</v>
      </c>
      <c r="K2176" s="5">
        <v>0.31</v>
      </c>
      <c r="L2176" s="6">
        <v>4690654009021</v>
      </c>
      <c r="M2176" s="7" t="s">
        <v>1305</v>
      </c>
      <c r="N2176" s="8">
        <f>VLOOKUP(B2176,'[1]новый без картинок'!$A$5:$F$2672,6,0)</f>
        <v>151</v>
      </c>
    </row>
    <row r="2177" spans="1:14" ht="151.15" customHeight="1" x14ac:dyDescent="0.2">
      <c r="A2177" s="3">
        <v>2175</v>
      </c>
      <c r="B2177" s="3">
        <v>170539</v>
      </c>
      <c r="C2177" s="4" t="str">
        <f>HYPERLINK("http://optservis.net:5080/photo?tov_code_internet=170539","Увеличить")</f>
        <v>Увеличить</v>
      </c>
      <c r="D2177" s="3" t="s">
        <v>4283</v>
      </c>
      <c r="E2177" s="3" t="s">
        <v>4284</v>
      </c>
      <c r="F2177" s="3" t="s">
        <v>71</v>
      </c>
      <c r="G2177" s="3" t="s">
        <v>17</v>
      </c>
      <c r="H2177" s="3">
        <v>6</v>
      </c>
      <c r="I2177" s="3">
        <v>1</v>
      </c>
      <c r="J2177" s="3" t="s">
        <v>18</v>
      </c>
      <c r="K2177" s="5">
        <v>0.32</v>
      </c>
      <c r="L2177" s="6">
        <v>4690654009038</v>
      </c>
      <c r="M2177" s="7" t="s">
        <v>4285</v>
      </c>
      <c r="N2177" s="8">
        <f>VLOOKUP(B2177,'[1]новый без картинок'!$A$5:$F$2672,6,0)</f>
        <v>134</v>
      </c>
    </row>
    <row r="2178" spans="1:14" ht="138.6" customHeight="1" x14ac:dyDescent="0.2">
      <c r="A2178" s="3">
        <v>2176</v>
      </c>
      <c r="B2178" s="3">
        <v>952123</v>
      </c>
      <c r="C2178" s="4" t="str">
        <f>HYPERLINK("http://optservis.net:5080/photo?tov_code_internet=952123","Увеличить")</f>
        <v>Увеличить</v>
      </c>
      <c r="D2178" s="3" t="s">
        <v>4286</v>
      </c>
      <c r="E2178" s="3" t="s">
        <v>4287</v>
      </c>
      <c r="F2178" s="3" t="s">
        <v>71</v>
      </c>
      <c r="G2178" s="3" t="s">
        <v>17</v>
      </c>
      <c r="H2178" s="3">
        <v>4</v>
      </c>
      <c r="I2178" s="3">
        <v>1</v>
      </c>
      <c r="J2178" s="3" t="s">
        <v>18</v>
      </c>
      <c r="K2178" s="5">
        <v>0.23</v>
      </c>
      <c r="L2178" s="6">
        <v>4640020775159</v>
      </c>
      <c r="M2178" s="7" t="s">
        <v>4288</v>
      </c>
      <c r="N2178" s="8">
        <f>VLOOKUP(B2178,'[1]новый без картинок'!$A$5:$F$2672,6,0)</f>
        <v>52</v>
      </c>
    </row>
    <row r="2179" spans="1:14" ht="153" customHeight="1" x14ac:dyDescent="0.2">
      <c r="A2179" s="3">
        <v>2177</v>
      </c>
      <c r="B2179" s="3">
        <v>964749</v>
      </c>
      <c r="C2179" s="4" t="str">
        <f>HYPERLINK("http://optservis.net:5080/photo?tov_code_internet=964749","Увеличить")</f>
        <v>Увеличить</v>
      </c>
      <c r="D2179" s="3" t="s">
        <v>4289</v>
      </c>
      <c r="E2179" s="3" t="s">
        <v>4290</v>
      </c>
      <c r="F2179" s="3" t="s">
        <v>3618</v>
      </c>
      <c r="G2179" s="3" t="s">
        <v>17</v>
      </c>
      <c r="H2179" s="3">
        <v>4</v>
      </c>
      <c r="I2179" s="3">
        <v>1</v>
      </c>
      <c r="J2179" s="3" t="s">
        <v>18</v>
      </c>
      <c r="K2179" s="5">
        <v>0.24</v>
      </c>
      <c r="L2179" s="6">
        <v>4640020776828</v>
      </c>
      <c r="M2179" s="7" t="s">
        <v>4291</v>
      </c>
      <c r="N2179" s="8">
        <f>VLOOKUP(B2179,'[1]новый без картинок'!$A$5:$F$2672,6,0)</f>
        <v>81</v>
      </c>
    </row>
    <row r="2180" spans="1:14" ht="153" customHeight="1" x14ac:dyDescent="0.2">
      <c r="A2180" s="3">
        <v>2178</v>
      </c>
      <c r="B2180" s="3">
        <v>166416</v>
      </c>
      <c r="C2180" s="4" t="str">
        <f>HYPERLINK("http://optservis.net:5080/photo?tov_code_internet=166416","Увеличить")</f>
        <v>Увеличить</v>
      </c>
      <c r="D2180" s="3" t="s">
        <v>4289</v>
      </c>
      <c r="E2180" s="3" t="s">
        <v>4290</v>
      </c>
      <c r="F2180" s="3" t="s">
        <v>71</v>
      </c>
      <c r="G2180" s="3" t="s">
        <v>17</v>
      </c>
      <c r="H2180" s="3">
        <v>4</v>
      </c>
      <c r="I2180" s="3">
        <v>1</v>
      </c>
      <c r="J2180" s="3" t="s">
        <v>18</v>
      </c>
      <c r="K2180" s="5">
        <v>0.24</v>
      </c>
      <c r="L2180" s="6">
        <v>4690654007607</v>
      </c>
      <c r="M2180" s="7" t="s">
        <v>4292</v>
      </c>
      <c r="N2180" s="8">
        <f>VLOOKUP(B2180,'[1]новый без картинок'!$A$5:$F$2672,6,0)</f>
        <v>70</v>
      </c>
    </row>
    <row r="2181" spans="1:14" ht="151.15" customHeight="1" x14ac:dyDescent="0.2">
      <c r="A2181" s="3">
        <v>2179</v>
      </c>
      <c r="B2181" s="3">
        <v>151469</v>
      </c>
      <c r="C2181" s="4" t="str">
        <f>HYPERLINK("http://optservis.net:5080/photo?tov_code_internet=151469","Увеличить")</f>
        <v>Увеличить</v>
      </c>
      <c r="D2181" s="3" t="s">
        <v>4293</v>
      </c>
      <c r="E2181" s="3" t="s">
        <v>4294</v>
      </c>
      <c r="F2181" s="3" t="s">
        <v>4137</v>
      </c>
      <c r="G2181" s="3" t="s">
        <v>59</v>
      </c>
      <c r="H2181" s="3">
        <v>1</v>
      </c>
      <c r="I2181" s="3">
        <v>1</v>
      </c>
      <c r="J2181" s="3" t="s">
        <v>18</v>
      </c>
      <c r="K2181" s="5">
        <v>0.03</v>
      </c>
      <c r="L2181" s="6">
        <v>0</v>
      </c>
      <c r="M2181" s="7" t="s">
        <v>4138</v>
      </c>
      <c r="N2181" s="8">
        <f>VLOOKUP(B2181,'[1]новый без картинок'!$A$5:$F$2672,6,0)</f>
        <v>438</v>
      </c>
    </row>
    <row r="2182" spans="1:14" ht="138.6" customHeight="1" x14ac:dyDescent="0.2">
      <c r="A2182" s="3">
        <v>2180</v>
      </c>
      <c r="B2182" s="3">
        <v>192705</v>
      </c>
      <c r="C2182" s="4" t="str">
        <f>HYPERLINK("http://optservis.net:5080/photo?tov_code_internet=192705","Увеличить")</f>
        <v>Увеличить</v>
      </c>
      <c r="D2182" s="3" t="s">
        <v>4295</v>
      </c>
      <c r="E2182" s="3" t="s">
        <v>4296</v>
      </c>
      <c r="F2182" s="3" t="s">
        <v>491</v>
      </c>
      <c r="G2182" s="3" t="s">
        <v>17</v>
      </c>
      <c r="H2182" s="3">
        <v>2</v>
      </c>
      <c r="I2182" s="3">
        <v>1</v>
      </c>
      <c r="J2182" s="3" t="s">
        <v>18</v>
      </c>
      <c r="K2182" s="5">
        <v>0.14000000000000001</v>
      </c>
      <c r="L2182" s="6">
        <v>4690654014124</v>
      </c>
      <c r="M2182" s="7" t="s">
        <v>4297</v>
      </c>
      <c r="N2182" s="8">
        <f>VLOOKUP(B2182,'[1]новый без картинок'!$A$5:$F$2672,6,0)</f>
        <v>86</v>
      </c>
    </row>
    <row r="2183" spans="1:14" ht="138.6" customHeight="1" x14ac:dyDescent="0.2">
      <c r="A2183" s="3">
        <v>2181</v>
      </c>
      <c r="B2183" s="3">
        <v>167149</v>
      </c>
      <c r="C2183" s="4" t="str">
        <f>HYPERLINK("http://optservis.net:5080/photo?tov_code_internet=167149","Увеличить")</f>
        <v>Увеличить</v>
      </c>
      <c r="D2183" s="3" t="s">
        <v>4295</v>
      </c>
      <c r="E2183" s="3" t="s">
        <v>4296</v>
      </c>
      <c r="F2183" s="3" t="s">
        <v>71</v>
      </c>
      <c r="G2183" s="3" t="s">
        <v>17</v>
      </c>
      <c r="H2183" s="3">
        <v>2</v>
      </c>
      <c r="I2183" s="3">
        <v>1</v>
      </c>
      <c r="J2183" s="3" t="s">
        <v>18</v>
      </c>
      <c r="K2183" s="5">
        <v>0.14000000000000001</v>
      </c>
      <c r="L2183" s="6">
        <v>4690654013073</v>
      </c>
      <c r="M2183" s="7" t="s">
        <v>4297</v>
      </c>
      <c r="N2183" s="8">
        <f>VLOOKUP(B2183,'[1]новый без картинок'!$A$5:$F$2672,6,0)</f>
        <v>85</v>
      </c>
    </row>
    <row r="2184" spans="1:14" ht="138.6" customHeight="1" x14ac:dyDescent="0.2">
      <c r="A2184" s="3">
        <v>2182</v>
      </c>
      <c r="B2184" s="3">
        <v>189656</v>
      </c>
      <c r="C2184" s="4" t="str">
        <f>HYPERLINK("http://optservis.net:5080/photo?tov_code_internet=189656","Увеличить")</f>
        <v>Увеличить</v>
      </c>
      <c r="D2184" s="3" t="s">
        <v>4295</v>
      </c>
      <c r="E2184" s="3" t="s">
        <v>4296</v>
      </c>
      <c r="F2184" s="3" t="s">
        <v>3641</v>
      </c>
      <c r="G2184" s="3" t="s">
        <v>17</v>
      </c>
      <c r="H2184" s="3">
        <v>2</v>
      </c>
      <c r="I2184" s="3">
        <v>1</v>
      </c>
      <c r="J2184" s="3" t="s">
        <v>18</v>
      </c>
      <c r="K2184" s="5">
        <v>0.14000000000000001</v>
      </c>
      <c r="L2184" s="6">
        <v>4690654013417</v>
      </c>
      <c r="M2184" s="7" t="s">
        <v>4298</v>
      </c>
      <c r="N2184" s="8">
        <f>VLOOKUP(B2184,'[1]новый без картинок'!$A$5:$F$2672,6,0)</f>
        <v>87</v>
      </c>
    </row>
    <row r="2185" spans="1:14" ht="138.6" customHeight="1" x14ac:dyDescent="0.2">
      <c r="A2185" s="3">
        <v>2183</v>
      </c>
      <c r="B2185" s="3">
        <v>981218</v>
      </c>
      <c r="C2185" s="4" t="str">
        <f>HYPERLINK("http://optservis.net:5080/photo?tov_code_internet=981218","Увеличить")</f>
        <v>Увеличить</v>
      </c>
      <c r="D2185" s="3" t="s">
        <v>4299</v>
      </c>
      <c r="E2185" s="3" t="s">
        <v>4300</v>
      </c>
      <c r="F2185" s="3" t="s">
        <v>3618</v>
      </c>
      <c r="G2185" s="3" t="s">
        <v>17</v>
      </c>
      <c r="H2185" s="3">
        <v>16</v>
      </c>
      <c r="I2185" s="3">
        <v>1</v>
      </c>
      <c r="J2185" s="3" t="s">
        <v>18</v>
      </c>
      <c r="K2185" s="5">
        <v>2.06</v>
      </c>
      <c r="L2185" s="6">
        <v>4640020778990</v>
      </c>
      <c r="M2185" s="7" t="s">
        <v>4301</v>
      </c>
      <c r="N2185" s="8">
        <f>VLOOKUP(B2185,'[1]новый без картинок'!$A$5:$F$2672,6,0)</f>
        <v>125</v>
      </c>
    </row>
    <row r="2186" spans="1:14" ht="138.6" customHeight="1" x14ac:dyDescent="0.2">
      <c r="A2186" s="3">
        <v>2184</v>
      </c>
      <c r="B2186" s="3">
        <v>948715</v>
      </c>
      <c r="C2186" s="4" t="str">
        <f>HYPERLINK("http://optservis.net:5080/photo?tov_code_internet=948715","Увеличить")</f>
        <v>Увеличить</v>
      </c>
      <c r="D2186" s="3" t="s">
        <v>4302</v>
      </c>
      <c r="E2186" s="3" t="s">
        <v>4303</v>
      </c>
      <c r="F2186" s="3" t="s">
        <v>71</v>
      </c>
      <c r="G2186" s="3" t="s">
        <v>17</v>
      </c>
      <c r="H2186" s="3">
        <v>2</v>
      </c>
      <c r="I2186" s="3">
        <v>1</v>
      </c>
      <c r="J2186" s="3" t="s">
        <v>18</v>
      </c>
      <c r="K2186" s="5">
        <v>0.32</v>
      </c>
      <c r="L2186" s="6">
        <v>4640020774879</v>
      </c>
      <c r="M2186" s="7" t="s">
        <v>4304</v>
      </c>
      <c r="N2186" s="8">
        <f>VLOOKUP(B2186,'[1]новый без картинок'!$A$5:$F$2672,6,0)</f>
        <v>95</v>
      </c>
    </row>
    <row r="2187" spans="1:14" ht="138.6" customHeight="1" x14ac:dyDescent="0.2">
      <c r="A2187" s="3">
        <v>2185</v>
      </c>
      <c r="B2187" s="3">
        <v>950914</v>
      </c>
      <c r="C2187" s="4" t="str">
        <f>HYPERLINK("http://optservis.net:5080/photo?tov_code_internet=950914","Увеличить")</f>
        <v>Увеличить</v>
      </c>
      <c r="D2187" s="3" t="s">
        <v>4305</v>
      </c>
      <c r="E2187" s="3" t="s">
        <v>4306</v>
      </c>
      <c r="F2187" s="3" t="s">
        <v>33</v>
      </c>
      <c r="G2187" s="3" t="s">
        <v>31</v>
      </c>
      <c r="H2187" s="3">
        <v>1</v>
      </c>
      <c r="I2187" s="3">
        <v>1</v>
      </c>
      <c r="J2187" s="3" t="s">
        <v>18</v>
      </c>
      <c r="K2187" s="5">
        <v>0.03</v>
      </c>
      <c r="L2187" s="6">
        <v>4640020775074</v>
      </c>
      <c r="M2187" s="7" t="s">
        <v>4307</v>
      </c>
      <c r="N2187" s="8">
        <f>VLOOKUP(B2187,'[1]новый без картинок'!$A$5:$F$2672,6,0)</f>
        <v>329</v>
      </c>
    </row>
    <row r="2188" spans="1:14" ht="138.6" customHeight="1" x14ac:dyDescent="0.2">
      <c r="A2188" s="3">
        <v>2186</v>
      </c>
      <c r="B2188" s="3">
        <v>180684</v>
      </c>
      <c r="C2188" s="4" t="str">
        <f>HYPERLINK("http://optservis.net:5080/photo?tov_code_internet=180684","Увеличить")</f>
        <v>Увеличить</v>
      </c>
      <c r="D2188" s="3" t="s">
        <v>4305</v>
      </c>
      <c r="E2188" s="3" t="s">
        <v>4306</v>
      </c>
      <c r="F2188" s="3" t="s">
        <v>34</v>
      </c>
      <c r="G2188" s="3" t="s">
        <v>31</v>
      </c>
      <c r="H2188" s="3">
        <v>1</v>
      </c>
      <c r="I2188" s="3">
        <v>1</v>
      </c>
      <c r="J2188" s="3" t="s">
        <v>18</v>
      </c>
      <c r="K2188" s="5">
        <v>0.03</v>
      </c>
      <c r="L2188" s="6">
        <v>4690654015244</v>
      </c>
      <c r="M2188" s="7" t="s">
        <v>4308</v>
      </c>
      <c r="N2188" s="8">
        <f>VLOOKUP(B2188,'[1]новый без картинок'!$A$5:$F$2672,6,0)</f>
        <v>289</v>
      </c>
    </row>
    <row r="2189" spans="1:14" ht="138.6" customHeight="1" x14ac:dyDescent="0.2">
      <c r="A2189" s="3">
        <v>2187</v>
      </c>
      <c r="B2189" s="3">
        <v>950913</v>
      </c>
      <c r="C2189" s="4" t="str">
        <f>HYPERLINK("http://optservis.net:5080/photo?tov_code_internet=950913","Увеличить")</f>
        <v>Увеличить</v>
      </c>
      <c r="D2189" s="3" t="s">
        <v>4305</v>
      </c>
      <c r="E2189" s="3" t="s">
        <v>4306</v>
      </c>
      <c r="F2189" s="3" t="s">
        <v>4116</v>
      </c>
      <c r="G2189" s="3" t="s">
        <v>31</v>
      </c>
      <c r="H2189" s="3">
        <v>1</v>
      </c>
      <c r="I2189" s="3">
        <v>1</v>
      </c>
      <c r="J2189" s="3" t="s">
        <v>18</v>
      </c>
      <c r="K2189" s="5">
        <v>0.03</v>
      </c>
      <c r="L2189" s="6">
        <v>4640020775098</v>
      </c>
      <c r="M2189" s="7" t="s">
        <v>4308</v>
      </c>
      <c r="N2189" s="8">
        <f>VLOOKUP(B2189,'[1]новый без картинок'!$A$5:$F$2672,6,0)</f>
        <v>295</v>
      </c>
    </row>
    <row r="2190" spans="1:14" ht="149.44999999999999" customHeight="1" x14ac:dyDescent="0.2">
      <c r="A2190" s="3">
        <v>2188</v>
      </c>
      <c r="B2190" s="3">
        <v>950912</v>
      </c>
      <c r="C2190" s="4" t="str">
        <f>HYPERLINK("http://optservis.net:5080/photo?tov_code_internet=950912","Увеличить")</f>
        <v>Увеличить</v>
      </c>
      <c r="D2190" s="3" t="s">
        <v>4309</v>
      </c>
      <c r="E2190" s="3" t="s">
        <v>4310</v>
      </c>
      <c r="F2190" s="3" t="s">
        <v>3618</v>
      </c>
      <c r="G2190" s="3" t="s">
        <v>17</v>
      </c>
      <c r="H2190" s="3">
        <v>1</v>
      </c>
      <c r="I2190" s="3">
        <v>1</v>
      </c>
      <c r="J2190" s="3" t="s">
        <v>18</v>
      </c>
      <c r="K2190" s="5">
        <v>0.22</v>
      </c>
      <c r="L2190" s="6">
        <v>4640020775050</v>
      </c>
      <c r="M2190" s="7" t="s">
        <v>4111</v>
      </c>
      <c r="N2190" s="8">
        <f>VLOOKUP(B2190,'[1]новый без картинок'!$A$5:$F$2672,6,0)</f>
        <v>173</v>
      </c>
    </row>
    <row r="2191" spans="1:14" ht="149.44999999999999" customHeight="1" x14ac:dyDescent="0.2">
      <c r="A2191" s="3">
        <v>2189</v>
      </c>
      <c r="B2191" s="3">
        <v>948716</v>
      </c>
      <c r="C2191" s="4" t="str">
        <f>HYPERLINK("http://optservis.net:5080/photo?tov_code_internet=948716","Увеличить")</f>
        <v>Увеличить</v>
      </c>
      <c r="D2191" s="3" t="s">
        <v>4309</v>
      </c>
      <c r="E2191" s="3" t="s">
        <v>4310</v>
      </c>
      <c r="F2191" s="3" t="s">
        <v>71</v>
      </c>
      <c r="G2191" s="3" t="s">
        <v>17</v>
      </c>
      <c r="H2191" s="3">
        <v>1</v>
      </c>
      <c r="I2191" s="3">
        <v>1</v>
      </c>
      <c r="J2191" s="3" t="s">
        <v>18</v>
      </c>
      <c r="K2191" s="5">
        <v>0.22</v>
      </c>
      <c r="L2191" s="6">
        <v>4640020775067</v>
      </c>
      <c r="M2191" s="7" t="s">
        <v>4111</v>
      </c>
      <c r="N2191" s="8">
        <f>VLOOKUP(B2191,'[1]новый без картинок'!$A$5:$F$2672,6,0)</f>
        <v>164</v>
      </c>
    </row>
    <row r="2192" spans="1:14" ht="138.6" customHeight="1" x14ac:dyDescent="0.2">
      <c r="A2192" s="3">
        <v>2190</v>
      </c>
      <c r="B2192" s="3">
        <v>980585</v>
      </c>
      <c r="C2192" s="4" t="str">
        <f>HYPERLINK("http://optservis.net:5080/photo?tov_code_internet=980585","Увеличить")</f>
        <v>Увеличить</v>
      </c>
      <c r="D2192" s="3" t="s">
        <v>4311</v>
      </c>
      <c r="E2192" s="3" t="s">
        <v>4312</v>
      </c>
      <c r="F2192" s="3" t="s">
        <v>3618</v>
      </c>
      <c r="G2192" s="3" t="s">
        <v>17</v>
      </c>
      <c r="H2192" s="3">
        <v>25</v>
      </c>
      <c r="I2192" s="3">
        <v>1</v>
      </c>
      <c r="J2192" s="3" t="s">
        <v>18</v>
      </c>
      <c r="K2192" s="5">
        <v>0.03</v>
      </c>
      <c r="L2192" s="6">
        <v>4640020778259</v>
      </c>
      <c r="M2192" s="7" t="s">
        <v>4313</v>
      </c>
      <c r="N2192" s="8">
        <f>VLOOKUP(B2192,'[1]новый без картинок'!$A$5:$F$2672,6,0)</f>
        <v>18</v>
      </c>
    </row>
    <row r="2193" spans="1:14" ht="138.6" customHeight="1" x14ac:dyDescent="0.2">
      <c r="A2193" s="3">
        <v>2191</v>
      </c>
      <c r="B2193" s="3">
        <v>980586</v>
      </c>
      <c r="C2193" s="4" t="str">
        <f>HYPERLINK("http://optservis.net:5080/photo?tov_code_internet=980586","Увеличить")</f>
        <v>Увеличить</v>
      </c>
      <c r="D2193" s="3" t="s">
        <v>4311</v>
      </c>
      <c r="E2193" s="3" t="s">
        <v>4312</v>
      </c>
      <c r="F2193" s="3" t="s">
        <v>71</v>
      </c>
      <c r="G2193" s="3" t="s">
        <v>17</v>
      </c>
      <c r="H2193" s="3">
        <v>25</v>
      </c>
      <c r="I2193" s="3">
        <v>1</v>
      </c>
      <c r="J2193" s="3" t="s">
        <v>18</v>
      </c>
      <c r="K2193" s="5">
        <v>0.03</v>
      </c>
      <c r="L2193" s="6">
        <v>4640020778266</v>
      </c>
      <c r="M2193" s="7" t="s">
        <v>4313</v>
      </c>
      <c r="N2193" s="8">
        <f>VLOOKUP(B2193,'[1]новый без картинок'!$A$5:$F$2672,6,0)</f>
        <v>17</v>
      </c>
    </row>
    <row r="2194" spans="1:14" ht="113.45" customHeight="1" x14ac:dyDescent="0.2">
      <c r="A2194" s="3">
        <v>2192</v>
      </c>
      <c r="B2194" s="3">
        <v>986330</v>
      </c>
      <c r="C2194" s="4" t="str">
        <f>HYPERLINK("http://optservis.net:5080/photo?tov_code_internet=986330","Увеличить")</f>
        <v>Увеличить</v>
      </c>
      <c r="D2194" s="3" t="s">
        <v>4314</v>
      </c>
      <c r="E2194" s="3" t="s">
        <v>4315</v>
      </c>
      <c r="F2194" s="3" t="s">
        <v>20</v>
      </c>
      <c r="G2194" s="3" t="s">
        <v>788</v>
      </c>
      <c r="H2194" s="3">
        <v>25</v>
      </c>
      <c r="I2194" s="3">
        <v>1</v>
      </c>
      <c r="J2194" s="3" t="s">
        <v>18</v>
      </c>
      <c r="K2194" s="5">
        <v>0</v>
      </c>
      <c r="L2194" s="6">
        <v>4640020778785</v>
      </c>
      <c r="M2194" s="7" t="s">
        <v>4316</v>
      </c>
      <c r="N2194" s="8">
        <f>VLOOKUP(B2194,'[1]новый без картинок'!$A$5:$F$2672,6,0)</f>
        <v>7</v>
      </c>
    </row>
    <row r="2195" spans="1:14" ht="146.65" customHeight="1" x14ac:dyDescent="0.2">
      <c r="A2195" s="3">
        <v>2193</v>
      </c>
      <c r="B2195" s="3">
        <v>931601</v>
      </c>
      <c r="C2195" s="4" t="str">
        <f>HYPERLINK("http://optservis.net:5080/photo?tov_code_internet=931601","Увеличить")</f>
        <v>Увеличить</v>
      </c>
      <c r="D2195" s="3" t="s">
        <v>4317</v>
      </c>
      <c r="E2195" s="3" t="s">
        <v>4318</v>
      </c>
      <c r="F2195" s="3" t="s">
        <v>4319</v>
      </c>
      <c r="G2195" s="3" t="s">
        <v>788</v>
      </c>
      <c r="H2195" s="3">
        <v>15</v>
      </c>
      <c r="I2195" s="3">
        <v>1</v>
      </c>
      <c r="J2195" s="3" t="s">
        <v>18</v>
      </c>
      <c r="K2195" s="5">
        <v>0.08</v>
      </c>
      <c r="L2195" s="6">
        <v>4640020773087</v>
      </c>
      <c r="M2195" s="7" t="s">
        <v>4320</v>
      </c>
      <c r="N2195" s="8">
        <f>VLOOKUP(B2195,'[1]новый без картинок'!$A$5:$F$2672,6,0)</f>
        <v>31</v>
      </c>
    </row>
    <row r="2196" spans="1:14" ht="146.65" customHeight="1" x14ac:dyDescent="0.2">
      <c r="A2196" s="3">
        <v>2194</v>
      </c>
      <c r="B2196" s="3">
        <v>931602</v>
      </c>
      <c r="C2196" s="4" t="str">
        <f>HYPERLINK("http://optservis.net:5080/photo?tov_code_internet=931602","Увеличить")</f>
        <v>Увеличить</v>
      </c>
      <c r="D2196" s="3" t="s">
        <v>4317</v>
      </c>
      <c r="E2196" s="3" t="s">
        <v>4318</v>
      </c>
      <c r="F2196" s="3" t="s">
        <v>4321</v>
      </c>
      <c r="G2196" s="3" t="s">
        <v>788</v>
      </c>
      <c r="H2196" s="3">
        <v>15</v>
      </c>
      <c r="I2196" s="3">
        <v>1</v>
      </c>
      <c r="J2196" s="3" t="s">
        <v>18</v>
      </c>
      <c r="K2196" s="5">
        <v>0.08</v>
      </c>
      <c r="L2196" s="6">
        <v>4640020773094</v>
      </c>
      <c r="M2196" s="7" t="s">
        <v>4320</v>
      </c>
      <c r="N2196" s="8">
        <f>VLOOKUP(B2196,'[1]новый без картинок'!$A$5:$F$2672,6,0)</f>
        <v>31</v>
      </c>
    </row>
    <row r="2197" spans="1:14" ht="146.65" customHeight="1" x14ac:dyDescent="0.2">
      <c r="A2197" s="3">
        <v>2195</v>
      </c>
      <c r="B2197" s="3">
        <v>912417</v>
      </c>
      <c r="C2197" s="4" t="str">
        <f>HYPERLINK("http://optservis.net:5080/photo?tov_code_internet=912417","Увеличить")</f>
        <v>Увеличить</v>
      </c>
      <c r="D2197" s="3" t="s">
        <v>4317</v>
      </c>
      <c r="E2197" s="3" t="s">
        <v>4318</v>
      </c>
      <c r="F2197" s="3" t="s">
        <v>4322</v>
      </c>
      <c r="G2197" s="3" t="s">
        <v>788</v>
      </c>
      <c r="H2197" s="3">
        <v>15</v>
      </c>
      <c r="I2197" s="3">
        <v>1</v>
      </c>
      <c r="J2197" s="3" t="s">
        <v>18</v>
      </c>
      <c r="K2197" s="5">
        <v>0.08</v>
      </c>
      <c r="L2197" s="6">
        <v>4640020771519</v>
      </c>
      <c r="M2197" s="7" t="s">
        <v>4323</v>
      </c>
      <c r="N2197" s="8">
        <f>VLOOKUP(B2197,'[1]новый без картинок'!$A$5:$F$2672,6,0)</f>
        <v>29</v>
      </c>
    </row>
    <row r="2198" spans="1:14" ht="146.65" customHeight="1" x14ac:dyDescent="0.2">
      <c r="A2198" s="3">
        <v>2196</v>
      </c>
      <c r="B2198" s="3">
        <v>911524</v>
      </c>
      <c r="C2198" s="4" t="str">
        <f>HYPERLINK("http://optservis.net:5080/photo?tov_code_internet=911524","Увеличить")</f>
        <v>Увеличить</v>
      </c>
      <c r="D2198" s="3" t="s">
        <v>4324</v>
      </c>
      <c r="E2198" s="3" t="s">
        <v>4325</v>
      </c>
      <c r="F2198" s="3" t="s">
        <v>4322</v>
      </c>
      <c r="G2198" s="3" t="s">
        <v>373</v>
      </c>
      <c r="H2198" s="3">
        <v>14</v>
      </c>
      <c r="I2198" s="3">
        <v>1</v>
      </c>
      <c r="J2198" s="3" t="s">
        <v>18</v>
      </c>
      <c r="K2198" s="5">
        <v>0.13</v>
      </c>
      <c r="L2198" s="6">
        <v>4640020771465</v>
      </c>
      <c r="M2198" s="7" t="s">
        <v>4326</v>
      </c>
      <c r="N2198" s="8">
        <f>VLOOKUP(B2198,'[1]новый без картинок'!$A$5:$F$2672,6,0)</f>
        <v>42</v>
      </c>
    </row>
    <row r="2199" spans="1:14" ht="146.65" customHeight="1" x14ac:dyDescent="0.2">
      <c r="A2199" s="3">
        <v>2197</v>
      </c>
      <c r="B2199" s="3">
        <v>915690</v>
      </c>
      <c r="C2199" s="4" t="str">
        <f>HYPERLINK("http://optservis.net:5080/photo?tov_code_internet=915690","Увеличить")</f>
        <v>Увеличить</v>
      </c>
      <c r="D2199" s="3" t="s">
        <v>4327</v>
      </c>
      <c r="E2199" s="3" t="s">
        <v>4328</v>
      </c>
      <c r="F2199" s="3" t="s">
        <v>377</v>
      </c>
      <c r="G2199" s="3" t="s">
        <v>373</v>
      </c>
      <c r="H2199" s="3">
        <v>10</v>
      </c>
      <c r="I2199" s="3">
        <v>1</v>
      </c>
      <c r="J2199" s="3" t="s">
        <v>18</v>
      </c>
      <c r="K2199" s="5">
        <v>7.0000000000000007E-2</v>
      </c>
      <c r="L2199" s="6">
        <v>4640020771748</v>
      </c>
      <c r="M2199" s="7" t="s">
        <v>4329</v>
      </c>
      <c r="N2199" s="8">
        <f>VLOOKUP(B2199,'[1]новый без картинок'!$A$5:$F$2672,6,0)</f>
        <v>60</v>
      </c>
    </row>
    <row r="2200" spans="1:14" ht="146.65" customHeight="1" x14ac:dyDescent="0.2">
      <c r="A2200" s="3">
        <v>2198</v>
      </c>
      <c r="B2200" s="3">
        <v>931604</v>
      </c>
      <c r="C2200" s="4" t="str">
        <f>HYPERLINK("http://optservis.net:5080/photo?tov_code_internet=931604","Увеличить")</f>
        <v>Увеличить</v>
      </c>
      <c r="D2200" s="3" t="s">
        <v>4330</v>
      </c>
      <c r="E2200" s="3" t="s">
        <v>4331</v>
      </c>
      <c r="F2200" s="3" t="s">
        <v>4332</v>
      </c>
      <c r="G2200" s="3" t="s">
        <v>788</v>
      </c>
      <c r="H2200" s="3">
        <v>10</v>
      </c>
      <c r="I2200" s="3">
        <v>1</v>
      </c>
      <c r="J2200" s="3" t="s">
        <v>18</v>
      </c>
      <c r="K2200" s="5">
        <v>7.0000000000000007E-2</v>
      </c>
      <c r="L2200" s="6">
        <v>4640020773124</v>
      </c>
      <c r="M2200" s="7" t="s">
        <v>4333</v>
      </c>
      <c r="N2200" s="8">
        <f>VLOOKUP(B2200,'[1]новый без картинок'!$A$5:$F$2672,6,0)</f>
        <v>47</v>
      </c>
    </row>
    <row r="2201" spans="1:14" ht="146.65" customHeight="1" x14ac:dyDescent="0.2">
      <c r="A2201" s="3">
        <v>2199</v>
      </c>
      <c r="B2201" s="3">
        <v>911525</v>
      </c>
      <c r="C2201" s="4" t="str">
        <f>HYPERLINK("http://optservis.net:5080/photo?tov_code_internet=911525","Увеличить")</f>
        <v>Увеличить</v>
      </c>
      <c r="D2201" s="3" t="s">
        <v>4330</v>
      </c>
      <c r="E2201" s="3" t="s">
        <v>4331</v>
      </c>
      <c r="F2201" s="3" t="s">
        <v>4322</v>
      </c>
      <c r="G2201" s="3" t="s">
        <v>788</v>
      </c>
      <c r="H2201" s="3">
        <v>10</v>
      </c>
      <c r="I2201" s="3">
        <v>1</v>
      </c>
      <c r="J2201" s="3" t="s">
        <v>18</v>
      </c>
      <c r="K2201" s="5">
        <v>7.0000000000000007E-2</v>
      </c>
      <c r="L2201" s="6">
        <v>4640020771472</v>
      </c>
      <c r="M2201" s="7" t="s">
        <v>4323</v>
      </c>
      <c r="N2201" s="8">
        <f>VLOOKUP(B2201,'[1]новый без картинок'!$A$5:$F$2672,6,0)</f>
        <v>42</v>
      </c>
    </row>
    <row r="2202" spans="1:14" ht="138.6" customHeight="1" x14ac:dyDescent="0.2">
      <c r="A2202" s="3">
        <v>2200</v>
      </c>
      <c r="B2202" s="3">
        <v>982055</v>
      </c>
      <c r="C2202" s="4" t="str">
        <f>HYPERLINK("http://optservis.net:5080/photo?tov_code_internet=982055","Увеличить")</f>
        <v>Увеличить</v>
      </c>
      <c r="D2202" s="3" t="s">
        <v>4334</v>
      </c>
      <c r="E2202" s="3" t="s">
        <v>4335</v>
      </c>
      <c r="F2202" s="3" t="s">
        <v>4322</v>
      </c>
      <c r="G2202" s="3" t="s">
        <v>788</v>
      </c>
      <c r="H2202" s="3">
        <v>10</v>
      </c>
      <c r="I2202" s="3">
        <v>1</v>
      </c>
      <c r="J2202" s="3" t="s">
        <v>18</v>
      </c>
      <c r="K2202" s="5">
        <v>0.13</v>
      </c>
      <c r="L2202" s="6">
        <v>4690654000592</v>
      </c>
      <c r="M2202" s="7" t="s">
        <v>4323</v>
      </c>
      <c r="N2202" s="8">
        <f>VLOOKUP(B2202,'[1]новый без картинок'!$A$5:$F$2672,6,0)</f>
        <v>70</v>
      </c>
    </row>
    <row r="2203" spans="1:14" ht="146.65" customHeight="1" x14ac:dyDescent="0.2">
      <c r="A2203" s="3">
        <v>2201</v>
      </c>
      <c r="B2203" s="3">
        <v>915720</v>
      </c>
      <c r="C2203" s="4" t="str">
        <f>HYPERLINK("http://optservis.net:5080/photo?tov_code_internet=915720","Увеличить")</f>
        <v>Увеличить</v>
      </c>
      <c r="D2203" s="3" t="s">
        <v>4336</v>
      </c>
      <c r="E2203" s="3" t="s">
        <v>4337</v>
      </c>
      <c r="F2203" s="3" t="s">
        <v>4322</v>
      </c>
      <c r="G2203" s="3" t="s">
        <v>373</v>
      </c>
      <c r="H2203" s="3">
        <v>10</v>
      </c>
      <c r="I2203" s="3">
        <v>1</v>
      </c>
      <c r="J2203" s="3" t="s">
        <v>18</v>
      </c>
      <c r="K2203" s="5">
        <v>0.13</v>
      </c>
      <c r="L2203" s="6">
        <v>4640020771779</v>
      </c>
      <c r="M2203" s="7" t="s">
        <v>4326</v>
      </c>
      <c r="N2203" s="8">
        <f>VLOOKUP(B2203,'[1]новый без картинок'!$A$5:$F$2672,6,0)</f>
        <v>57</v>
      </c>
    </row>
    <row r="2204" spans="1:14" ht="151.15" customHeight="1" x14ac:dyDescent="0.2">
      <c r="A2204" s="3">
        <v>2202</v>
      </c>
      <c r="B2204" s="3">
        <v>950406</v>
      </c>
      <c r="C2204" s="4" t="str">
        <f>HYPERLINK("http://optservis.net:5080/photo?tov_code_internet=950406","Увеличить")</f>
        <v>Увеличить</v>
      </c>
      <c r="D2204" s="3" t="s">
        <v>4338</v>
      </c>
      <c r="E2204" s="3" t="s">
        <v>4339</v>
      </c>
      <c r="F2204" s="3" t="s">
        <v>4340</v>
      </c>
      <c r="G2204" s="3" t="s">
        <v>59</v>
      </c>
      <c r="H2204" s="3">
        <v>1</v>
      </c>
      <c r="I2204" s="3">
        <v>1</v>
      </c>
      <c r="J2204" s="3" t="s">
        <v>18</v>
      </c>
      <c r="K2204" s="5">
        <v>0.01</v>
      </c>
      <c r="L2204" s="6">
        <v>4640020773193</v>
      </c>
      <c r="M2204" s="7" t="s">
        <v>4341</v>
      </c>
      <c r="N2204" s="8">
        <f>VLOOKUP(B2204,'[1]новый без картинок'!$A$5:$F$2672,6,0)</f>
        <v>122</v>
      </c>
    </row>
    <row r="2205" spans="1:14" ht="138.6" customHeight="1" x14ac:dyDescent="0.2">
      <c r="A2205" s="3">
        <v>2203</v>
      </c>
      <c r="B2205" s="3">
        <v>950407</v>
      </c>
      <c r="C2205" s="4" t="str">
        <f>HYPERLINK("http://optservis.net:5080/photo?tov_code_internet=950407","Увеличить")</f>
        <v>Увеличить</v>
      </c>
      <c r="D2205" s="3" t="s">
        <v>4338</v>
      </c>
      <c r="E2205" s="3" t="s">
        <v>4339</v>
      </c>
      <c r="F2205" s="3" t="s">
        <v>4342</v>
      </c>
      <c r="G2205" s="3" t="s">
        <v>59</v>
      </c>
      <c r="H2205" s="3">
        <v>1</v>
      </c>
      <c r="I2205" s="3">
        <v>1</v>
      </c>
      <c r="J2205" s="3" t="s">
        <v>18</v>
      </c>
      <c r="K2205" s="5">
        <v>0.01</v>
      </c>
      <c r="L2205" s="6">
        <v>4640020773209</v>
      </c>
      <c r="M2205" s="7" t="s">
        <v>4341</v>
      </c>
      <c r="N2205" s="8">
        <f>VLOOKUP(B2205,'[1]новый без картинок'!$A$5:$F$2672,6,0)</f>
        <v>140</v>
      </c>
    </row>
    <row r="2206" spans="1:14" ht="151.15" customHeight="1" x14ac:dyDescent="0.2">
      <c r="A2206" s="3">
        <v>2204</v>
      </c>
      <c r="B2206" s="3">
        <v>985635</v>
      </c>
      <c r="C2206" s="4" t="str">
        <f>HYPERLINK("http://optservis.net:5080/photo?tov_code_internet=985635","Увеличить")</f>
        <v>Увеличить</v>
      </c>
      <c r="D2206" s="3" t="s">
        <v>4338</v>
      </c>
      <c r="E2206" s="3" t="s">
        <v>4339</v>
      </c>
      <c r="F2206" s="3" t="s">
        <v>4343</v>
      </c>
      <c r="G2206" s="3" t="s">
        <v>59</v>
      </c>
      <c r="H2206" s="3">
        <v>1</v>
      </c>
      <c r="I2206" s="3">
        <v>1</v>
      </c>
      <c r="J2206" s="3" t="s">
        <v>18</v>
      </c>
      <c r="K2206" s="5">
        <v>0.01</v>
      </c>
      <c r="L2206" s="6">
        <v>4640020778457</v>
      </c>
      <c r="M2206" s="7" t="s">
        <v>4341</v>
      </c>
      <c r="N2206" s="8">
        <f>VLOOKUP(B2206,'[1]новый без картинок'!$A$5:$F$2672,6,0)</f>
        <v>111</v>
      </c>
    </row>
    <row r="2207" spans="1:14" ht="149.44999999999999" customHeight="1" x14ac:dyDescent="0.2">
      <c r="A2207" s="3">
        <v>2205</v>
      </c>
      <c r="B2207" s="3">
        <v>163347</v>
      </c>
      <c r="C2207" s="4" t="str">
        <f>HYPERLINK("http://optservis.net:5080/photo?tov_code_internet=163347","Увеличить")</f>
        <v>Увеличить</v>
      </c>
      <c r="D2207" s="3" t="s">
        <v>4344</v>
      </c>
      <c r="E2207" s="3" t="s">
        <v>4345</v>
      </c>
      <c r="F2207" s="3" t="s">
        <v>58</v>
      </c>
      <c r="G2207" s="3" t="s">
        <v>59</v>
      </c>
      <c r="H2207" s="3">
        <v>1</v>
      </c>
      <c r="I2207" s="3">
        <v>1</v>
      </c>
      <c r="J2207" s="3" t="s">
        <v>18</v>
      </c>
      <c r="K2207" s="5">
        <v>0.02</v>
      </c>
      <c r="L2207" s="6">
        <v>4690654007584</v>
      </c>
      <c r="M2207" s="7" t="s">
        <v>4341</v>
      </c>
      <c r="N2207" s="8">
        <f>VLOOKUP(B2207,'[1]новый без картинок'!$A$5:$F$2672,6,0)</f>
        <v>244</v>
      </c>
    </row>
    <row r="2208" spans="1:14" ht="149.44999999999999" customHeight="1" x14ac:dyDescent="0.2">
      <c r="A2208" s="3">
        <v>2206</v>
      </c>
      <c r="B2208" s="3">
        <v>163348</v>
      </c>
      <c r="C2208" s="4" t="str">
        <f>HYPERLINK("http://optservis.net:5080/photo?tov_code_internet=163348","Увеличить")</f>
        <v>Увеличить</v>
      </c>
      <c r="D2208" s="3" t="s">
        <v>4344</v>
      </c>
      <c r="E2208" s="3" t="s">
        <v>4345</v>
      </c>
      <c r="F2208" s="3" t="s">
        <v>4346</v>
      </c>
      <c r="G2208" s="3" t="s">
        <v>59</v>
      </c>
      <c r="H2208" s="3">
        <v>1</v>
      </c>
      <c r="I2208" s="3">
        <v>1</v>
      </c>
      <c r="J2208" s="3" t="s">
        <v>18</v>
      </c>
      <c r="K2208" s="5">
        <v>0.02</v>
      </c>
      <c r="L2208" s="6">
        <v>4690654007591</v>
      </c>
      <c r="M2208" s="7" t="s">
        <v>4347</v>
      </c>
      <c r="N2208" s="8">
        <f>VLOOKUP(B2208,'[1]новый без картинок'!$A$5:$F$2672,6,0)</f>
        <v>281</v>
      </c>
    </row>
    <row r="2209" spans="1:14" ht="149.44999999999999" customHeight="1" x14ac:dyDescent="0.2">
      <c r="A2209" s="3">
        <v>2207</v>
      </c>
      <c r="B2209" s="3">
        <v>133901</v>
      </c>
      <c r="C2209" s="4" t="str">
        <f>HYPERLINK("http://optservis.net:5080/photo?tov_code_internet=133901","Увеличить")</f>
        <v>Увеличить</v>
      </c>
      <c r="D2209" s="3" t="s">
        <v>4348</v>
      </c>
      <c r="E2209" s="3" t="s">
        <v>4349</v>
      </c>
      <c r="F2209" s="3" t="s">
        <v>30</v>
      </c>
      <c r="G2209" s="3" t="s">
        <v>1189</v>
      </c>
      <c r="H2209" s="3">
        <v>1</v>
      </c>
      <c r="I2209" s="3">
        <v>1</v>
      </c>
      <c r="J2209" s="3" t="s">
        <v>18</v>
      </c>
      <c r="K2209" s="5">
        <v>0.03</v>
      </c>
      <c r="L2209" s="6">
        <v>4690654001261</v>
      </c>
      <c r="M2209" s="7" t="s">
        <v>4350</v>
      </c>
      <c r="N2209" s="8">
        <f>VLOOKUP(B2209,'[1]новый без картинок'!$A$5:$F$2672,6,0)</f>
        <v>79</v>
      </c>
    </row>
    <row r="2210" spans="1:14" ht="149.44999999999999" customHeight="1" x14ac:dyDescent="0.2">
      <c r="A2210" s="3">
        <v>2208</v>
      </c>
      <c r="B2210" s="3">
        <v>133902</v>
      </c>
      <c r="C2210" s="4" t="str">
        <f>HYPERLINK("http://optservis.net:5080/photo?tov_code_internet=133902","Увеличить")</f>
        <v>Увеличить</v>
      </c>
      <c r="D2210" s="3" t="s">
        <v>4348</v>
      </c>
      <c r="E2210" s="3" t="s">
        <v>4349</v>
      </c>
      <c r="F2210" s="3" t="s">
        <v>4351</v>
      </c>
      <c r="G2210" s="3" t="s">
        <v>1189</v>
      </c>
      <c r="H2210" s="3">
        <v>1</v>
      </c>
      <c r="I2210" s="3">
        <v>1</v>
      </c>
      <c r="J2210" s="3" t="s">
        <v>18</v>
      </c>
      <c r="K2210" s="5">
        <v>0.03</v>
      </c>
      <c r="L2210" s="6">
        <v>4690654001278</v>
      </c>
      <c r="M2210" s="7" t="s">
        <v>4350</v>
      </c>
      <c r="N2210" s="8">
        <f>VLOOKUP(B2210,'[1]новый без картинок'!$A$5:$F$2672,6,0)</f>
        <v>79</v>
      </c>
    </row>
    <row r="2211" spans="1:14" ht="149.44999999999999" customHeight="1" x14ac:dyDescent="0.2">
      <c r="A2211" s="3">
        <v>2209</v>
      </c>
      <c r="B2211" s="3">
        <v>133904</v>
      </c>
      <c r="C2211" s="4" t="str">
        <f>HYPERLINK("http://optservis.net:5080/photo?tov_code_internet=133904","Увеличить")</f>
        <v>Увеличить</v>
      </c>
      <c r="D2211" s="3" t="s">
        <v>4348</v>
      </c>
      <c r="E2211" s="3" t="s">
        <v>4349</v>
      </c>
      <c r="F2211" s="3" t="s">
        <v>34</v>
      </c>
      <c r="G2211" s="3" t="s">
        <v>1189</v>
      </c>
      <c r="H2211" s="3">
        <v>1</v>
      </c>
      <c r="I2211" s="3">
        <v>1</v>
      </c>
      <c r="J2211" s="3" t="s">
        <v>18</v>
      </c>
      <c r="K2211" s="5">
        <v>0.03</v>
      </c>
      <c r="L2211" s="6">
        <v>4690654001285</v>
      </c>
      <c r="M2211" s="7" t="s">
        <v>4350</v>
      </c>
      <c r="N2211" s="8">
        <f>VLOOKUP(B2211,'[1]новый без картинок'!$A$5:$F$2672,6,0)</f>
        <v>79</v>
      </c>
    </row>
    <row r="2212" spans="1:14" ht="149.44999999999999" customHeight="1" x14ac:dyDescent="0.2">
      <c r="A2212" s="3">
        <v>2210</v>
      </c>
      <c r="B2212" s="3">
        <v>975947</v>
      </c>
      <c r="C2212" s="4" t="str">
        <f>HYPERLINK("http://optservis.net:5080/photo?tov_code_internet=975947","Увеличить")</f>
        <v>Увеличить</v>
      </c>
      <c r="D2212" s="3" t="s">
        <v>4352</v>
      </c>
      <c r="E2212" s="3" t="s">
        <v>4353</v>
      </c>
      <c r="F2212" s="3" t="s">
        <v>4354</v>
      </c>
      <c r="G2212" s="3" t="s">
        <v>4355</v>
      </c>
      <c r="H2212" s="3">
        <v>1</v>
      </c>
      <c r="I2212" s="3">
        <v>1</v>
      </c>
      <c r="J2212" s="3" t="s">
        <v>18</v>
      </c>
      <c r="K2212" s="5">
        <v>0.09</v>
      </c>
      <c r="L2212" s="6">
        <v>4640020777665</v>
      </c>
      <c r="M2212" s="7" t="s">
        <v>4356</v>
      </c>
      <c r="N2212" s="8">
        <f>VLOOKUP(B2212,'[1]новый без картинок'!$A$5:$F$2672,6,0)</f>
        <v>1795</v>
      </c>
    </row>
    <row r="2213" spans="1:14" ht="138.6" customHeight="1" x14ac:dyDescent="0.2">
      <c r="A2213" s="3">
        <v>2211</v>
      </c>
      <c r="B2213" s="3">
        <v>968262</v>
      </c>
      <c r="C2213" s="4" t="str">
        <f>HYPERLINK("http://optservis.net:5080/photo?tov_code_internet=968262","Увеличить")</f>
        <v>Увеличить</v>
      </c>
      <c r="D2213" s="3" t="s">
        <v>4352</v>
      </c>
      <c r="E2213" s="3" t="s">
        <v>4353</v>
      </c>
      <c r="F2213" s="3" t="s">
        <v>3775</v>
      </c>
      <c r="G2213" s="3" t="s">
        <v>4357</v>
      </c>
      <c r="H2213" s="3">
        <v>1</v>
      </c>
      <c r="I2213" s="3">
        <v>1</v>
      </c>
      <c r="J2213" s="3" t="s">
        <v>18</v>
      </c>
      <c r="K2213" s="5">
        <v>0.14000000000000001</v>
      </c>
      <c r="L2213" s="6">
        <v>4640020777146</v>
      </c>
      <c r="M2213" s="7" t="s">
        <v>4358</v>
      </c>
      <c r="N2213" s="8">
        <f>VLOOKUP(B2213,'[1]новый без картинок'!$A$5:$F$2672,6,0)</f>
        <v>577</v>
      </c>
    </row>
    <row r="2214" spans="1:14" ht="151.15" customHeight="1" x14ac:dyDescent="0.2">
      <c r="A2214" s="3">
        <v>2212</v>
      </c>
      <c r="B2214" s="3">
        <v>944234</v>
      </c>
      <c r="C2214" s="4" t="str">
        <f>HYPERLINK("http://optservis.net:5080/photo?tov_code_internet=944234","Увеличить")</f>
        <v>Увеличить</v>
      </c>
      <c r="D2214" s="3" t="s">
        <v>4359</v>
      </c>
      <c r="E2214" s="3" t="s">
        <v>4360</v>
      </c>
      <c r="F2214" s="3" t="s">
        <v>4361</v>
      </c>
      <c r="G2214" s="3" t="s">
        <v>4361</v>
      </c>
      <c r="H2214" s="3">
        <v>1</v>
      </c>
      <c r="I2214" s="3">
        <v>1</v>
      </c>
      <c r="J2214" s="3" t="s">
        <v>18</v>
      </c>
      <c r="K2214" s="5">
        <v>0.05</v>
      </c>
      <c r="L2214" s="6">
        <v>4640020777979</v>
      </c>
      <c r="M2214" s="7" t="s">
        <v>4362</v>
      </c>
      <c r="N2214" s="8">
        <f>VLOOKUP(B2214,'[1]новый без картинок'!$A$5:$F$2672,6,0)</f>
        <v>1459</v>
      </c>
    </row>
    <row r="2215" spans="1:14" ht="151.15" customHeight="1" x14ac:dyDescent="0.2">
      <c r="A2215" s="3">
        <v>2213</v>
      </c>
      <c r="B2215" s="3">
        <v>988286</v>
      </c>
      <c r="C2215" s="4" t="str">
        <f>HYPERLINK("http://optservis.net:5080/photo?tov_code_internet=988286","Увеличить")</f>
        <v>Увеличить</v>
      </c>
      <c r="D2215" s="3" t="s">
        <v>4363</v>
      </c>
      <c r="E2215" s="3" t="s">
        <v>4364</v>
      </c>
      <c r="F2215" s="3" t="s">
        <v>3750</v>
      </c>
      <c r="G2215" s="3" t="s">
        <v>4357</v>
      </c>
      <c r="H2215" s="3">
        <v>1</v>
      </c>
      <c r="I2215" s="3">
        <v>1</v>
      </c>
      <c r="J2215" s="3" t="s">
        <v>18</v>
      </c>
      <c r="K2215" s="5">
        <v>0.04</v>
      </c>
      <c r="L2215" s="6">
        <v>4640020778945</v>
      </c>
      <c r="M2215" s="7" t="s">
        <v>4365</v>
      </c>
      <c r="N2215" s="8">
        <f>VLOOKUP(B2215,'[1]новый без картинок'!$A$5:$F$2672,6,0)</f>
        <v>434</v>
      </c>
    </row>
    <row r="2216" spans="1:14" ht="138.6" customHeight="1" x14ac:dyDescent="0.2">
      <c r="A2216" s="3">
        <v>2214</v>
      </c>
      <c r="B2216" s="3">
        <v>190213</v>
      </c>
      <c r="C2216" s="4" t="str">
        <f>HYPERLINK("http://optservis.net:5080/photo?tov_code_internet=190213","Увеличить")</f>
        <v>Увеличить</v>
      </c>
      <c r="D2216" s="3" t="s">
        <v>4366</v>
      </c>
      <c r="E2216" s="3" t="s">
        <v>4367</v>
      </c>
      <c r="F2216" s="3" t="s">
        <v>4368</v>
      </c>
      <c r="G2216" s="3" t="s">
        <v>4369</v>
      </c>
      <c r="H2216" s="3">
        <v>1</v>
      </c>
      <c r="I2216" s="3">
        <v>1</v>
      </c>
      <c r="J2216" s="3" t="s">
        <v>18</v>
      </c>
      <c r="K2216" s="5">
        <v>0</v>
      </c>
      <c r="L2216" s="6">
        <v>4690654010010</v>
      </c>
      <c r="M2216" s="7" t="s">
        <v>4370</v>
      </c>
      <c r="N2216" s="8">
        <f>VLOOKUP(B2216,'[1]новый без картинок'!$A$5:$F$2672,6,0)</f>
        <v>329</v>
      </c>
    </row>
    <row r="2217" spans="1:14" ht="151.15" customHeight="1" x14ac:dyDescent="0.2">
      <c r="A2217" s="3">
        <v>2215</v>
      </c>
      <c r="B2217" s="3">
        <v>180173</v>
      </c>
      <c r="C2217" s="4" t="str">
        <f>HYPERLINK("http://optservis.net:5080/photo?tov_code_internet=180173","Увеличить")</f>
        <v>Увеличить</v>
      </c>
      <c r="D2217" s="3" t="s">
        <v>4371</v>
      </c>
      <c r="E2217" s="3" t="s">
        <v>4372</v>
      </c>
      <c r="F2217" s="3" t="s">
        <v>1155</v>
      </c>
      <c r="G2217" s="3" t="s">
        <v>788</v>
      </c>
      <c r="H2217" s="3">
        <v>1</v>
      </c>
      <c r="I2217" s="3">
        <v>1</v>
      </c>
      <c r="J2217" s="3" t="s">
        <v>18</v>
      </c>
      <c r="K2217" s="5">
        <v>0.04</v>
      </c>
      <c r="L2217" s="6">
        <v>4690654011192</v>
      </c>
      <c r="M2217" s="7" t="s">
        <v>4373</v>
      </c>
      <c r="N2217" s="8">
        <f>VLOOKUP(B2217,'[1]новый без картинок'!$A$5:$F$2672,6,0)</f>
        <v>224</v>
      </c>
    </row>
    <row r="2218" spans="1:14" ht="151.15" customHeight="1" x14ac:dyDescent="0.2">
      <c r="A2218" s="3">
        <v>2216</v>
      </c>
      <c r="B2218" s="3">
        <v>180170</v>
      </c>
      <c r="C2218" s="4" t="str">
        <f>HYPERLINK("http://optservis.net:5080/photo?tov_code_internet=180170","Увеличить")</f>
        <v>Увеличить</v>
      </c>
      <c r="D2218" s="3" t="s">
        <v>4371</v>
      </c>
      <c r="E2218" s="3" t="s">
        <v>4372</v>
      </c>
      <c r="F2218" s="3" t="s">
        <v>863</v>
      </c>
      <c r="G2218" s="3" t="s">
        <v>788</v>
      </c>
      <c r="H2218" s="3">
        <v>1</v>
      </c>
      <c r="I2218" s="3">
        <v>1</v>
      </c>
      <c r="J2218" s="3" t="s">
        <v>18</v>
      </c>
      <c r="K2218" s="5">
        <v>0.04</v>
      </c>
      <c r="L2218" s="6">
        <v>4690654011215</v>
      </c>
      <c r="M2218" s="7" t="s">
        <v>4373</v>
      </c>
      <c r="N2218" s="8">
        <f>VLOOKUP(B2218,'[1]новый без картинок'!$A$5:$F$2672,6,0)</f>
        <v>224</v>
      </c>
    </row>
    <row r="2219" spans="1:14" ht="151.15" customHeight="1" x14ac:dyDescent="0.2">
      <c r="A2219" s="3">
        <v>2217</v>
      </c>
      <c r="B2219" s="3">
        <v>186467</v>
      </c>
      <c r="C2219" s="4" t="str">
        <f>HYPERLINK("http://optservis.net:5080/photo?tov_code_internet=186467","Увеличить")</f>
        <v>Увеличить</v>
      </c>
      <c r="D2219" s="3" t="s">
        <v>4371</v>
      </c>
      <c r="E2219" s="3" t="s">
        <v>4372</v>
      </c>
      <c r="F2219" s="3" t="s">
        <v>1138</v>
      </c>
      <c r="G2219" s="3" t="s">
        <v>788</v>
      </c>
      <c r="H2219" s="3">
        <v>1</v>
      </c>
      <c r="I2219" s="3">
        <v>1</v>
      </c>
      <c r="J2219" s="3" t="s">
        <v>18</v>
      </c>
      <c r="K2219" s="5">
        <v>0.04</v>
      </c>
      <c r="L2219" s="6">
        <v>4690654019617</v>
      </c>
      <c r="M2219" s="7" t="s">
        <v>4373</v>
      </c>
      <c r="N2219" s="8">
        <f>VLOOKUP(B2219,'[1]новый без картинок'!$A$5:$F$2672,6,0)</f>
        <v>224</v>
      </c>
    </row>
    <row r="2220" spans="1:14" ht="151.15" customHeight="1" x14ac:dyDescent="0.2">
      <c r="A2220" s="3">
        <v>2218</v>
      </c>
      <c r="B2220" s="3">
        <v>180134</v>
      </c>
      <c r="C2220" s="4" t="str">
        <f>HYPERLINK("http://optservis.net:5080/photo?tov_code_internet=180134","Увеличить")</f>
        <v>Увеличить</v>
      </c>
      <c r="D2220" s="3" t="s">
        <v>4371</v>
      </c>
      <c r="E2220" s="3" t="s">
        <v>4372</v>
      </c>
      <c r="F2220" s="3" t="s">
        <v>20</v>
      </c>
      <c r="G2220" s="3" t="s">
        <v>788</v>
      </c>
      <c r="H2220" s="3">
        <v>1</v>
      </c>
      <c r="I2220" s="3">
        <v>1</v>
      </c>
      <c r="J2220" s="3" t="s">
        <v>18</v>
      </c>
      <c r="K2220" s="5">
        <v>0.04</v>
      </c>
      <c r="L2220" s="6">
        <v>4690654011222</v>
      </c>
      <c r="M2220" s="7" t="s">
        <v>4373</v>
      </c>
      <c r="N2220" s="8">
        <f>VLOOKUP(B2220,'[1]новый без картинок'!$A$5:$F$2672,6,0)</f>
        <v>224</v>
      </c>
    </row>
    <row r="2221" spans="1:14" ht="151.15" customHeight="1" x14ac:dyDescent="0.2">
      <c r="A2221" s="3">
        <v>2219</v>
      </c>
      <c r="B2221" s="3">
        <v>186482</v>
      </c>
      <c r="C2221" s="4" t="str">
        <f>HYPERLINK("http://optservis.net:5080/photo?tov_code_internet=186482","Увеличить")</f>
        <v>Увеличить</v>
      </c>
      <c r="D2221" s="3" t="s">
        <v>4371</v>
      </c>
      <c r="E2221" s="3" t="s">
        <v>4374</v>
      </c>
      <c r="F2221" s="3" t="s">
        <v>3686</v>
      </c>
      <c r="G2221" s="3" t="s">
        <v>788</v>
      </c>
      <c r="H2221" s="3">
        <v>1</v>
      </c>
      <c r="I2221" s="3">
        <v>1</v>
      </c>
      <c r="J2221" s="3" t="s">
        <v>18</v>
      </c>
      <c r="K2221" s="5">
        <v>0</v>
      </c>
      <c r="L2221" s="6">
        <v>0</v>
      </c>
      <c r="M2221" s="7" t="s">
        <v>4375</v>
      </c>
      <c r="N2221" s="8">
        <f>VLOOKUP(B2221,'[1]новый без картинок'!$A$5:$F$2672,6,0)</f>
        <v>224</v>
      </c>
    </row>
    <row r="2222" spans="1:14" ht="151.15" customHeight="1" x14ac:dyDescent="0.2">
      <c r="A2222" s="3">
        <v>2220</v>
      </c>
      <c r="B2222" s="3">
        <v>180171</v>
      </c>
      <c r="C2222" s="4" t="str">
        <f>HYPERLINK("http://optservis.net:5080/photo?tov_code_internet=180171","Увеличить")</f>
        <v>Увеличить</v>
      </c>
      <c r="D2222" s="3" t="s">
        <v>4371</v>
      </c>
      <c r="E2222" s="3" t="s">
        <v>4374</v>
      </c>
      <c r="F2222" s="3" t="s">
        <v>68</v>
      </c>
      <c r="G2222" s="3" t="s">
        <v>788</v>
      </c>
      <c r="H2222" s="3">
        <v>1</v>
      </c>
      <c r="I2222" s="3">
        <v>1</v>
      </c>
      <c r="J2222" s="3" t="s">
        <v>18</v>
      </c>
      <c r="K2222" s="5">
        <v>0.04</v>
      </c>
      <c r="L2222" s="6">
        <v>4690654011208</v>
      </c>
      <c r="M2222" s="7" t="s">
        <v>4373</v>
      </c>
      <c r="N2222" s="8">
        <f>VLOOKUP(B2222,'[1]новый без картинок'!$A$5:$F$2672,6,0)</f>
        <v>224</v>
      </c>
    </row>
    <row r="2223" spans="1:14" ht="151.15" customHeight="1" x14ac:dyDescent="0.2">
      <c r="A2223" s="3">
        <v>2221</v>
      </c>
      <c r="B2223" s="3">
        <v>186483</v>
      </c>
      <c r="C2223" s="4" t="str">
        <f>HYPERLINK("http://optservis.net:5080/photo?tov_code_internet=186483","Увеличить")</f>
        <v>Увеличить</v>
      </c>
      <c r="D2223" s="3" t="s">
        <v>4371</v>
      </c>
      <c r="E2223" s="3" t="s">
        <v>4374</v>
      </c>
      <c r="F2223" s="3" t="s">
        <v>1114</v>
      </c>
      <c r="G2223" s="3" t="s">
        <v>788</v>
      </c>
      <c r="H2223" s="3">
        <v>1</v>
      </c>
      <c r="I2223" s="3">
        <v>1</v>
      </c>
      <c r="J2223" s="3" t="s">
        <v>18</v>
      </c>
      <c r="K2223" s="5">
        <v>0</v>
      </c>
      <c r="L2223" s="6">
        <v>0</v>
      </c>
      <c r="M2223" s="7" t="s">
        <v>4375</v>
      </c>
      <c r="N2223" s="8">
        <f>VLOOKUP(B2223,'[1]новый без картинок'!$A$5:$F$2672,6,0)</f>
        <v>224</v>
      </c>
    </row>
    <row r="2224" spans="1:14" ht="151.15" customHeight="1" x14ac:dyDescent="0.2">
      <c r="A2224" s="3">
        <v>2222</v>
      </c>
      <c r="B2224" s="3">
        <v>186489</v>
      </c>
      <c r="C2224" s="4" t="str">
        <f>HYPERLINK("http://optservis.net:5080/photo?tov_code_internet=186489","Увеличить")</f>
        <v>Увеличить</v>
      </c>
      <c r="D2224" s="3" t="s">
        <v>4371</v>
      </c>
      <c r="E2224" s="3" t="s">
        <v>4374</v>
      </c>
      <c r="F2224" s="3" t="s">
        <v>3689</v>
      </c>
      <c r="G2224" s="3" t="s">
        <v>788</v>
      </c>
      <c r="H2224" s="3">
        <v>1</v>
      </c>
      <c r="I2224" s="3">
        <v>1</v>
      </c>
      <c r="J2224" s="3" t="s">
        <v>18</v>
      </c>
      <c r="K2224" s="5">
        <v>0</v>
      </c>
      <c r="L2224" s="6">
        <v>0</v>
      </c>
      <c r="M2224" s="7" t="s">
        <v>4375</v>
      </c>
      <c r="N2224" s="8">
        <f>VLOOKUP(B2224,'[1]новый без картинок'!$A$5:$F$2672,6,0)</f>
        <v>224</v>
      </c>
    </row>
    <row r="2225" spans="1:14" ht="151.15" customHeight="1" x14ac:dyDescent="0.2">
      <c r="A2225" s="3">
        <v>2223</v>
      </c>
      <c r="B2225" s="3">
        <v>186447</v>
      </c>
      <c r="C2225" s="4" t="str">
        <f>HYPERLINK("http://optservis.net:5080/photo?tov_code_internet=186447","Увеличить")</f>
        <v>Увеличить</v>
      </c>
      <c r="D2225" s="3" t="s">
        <v>4371</v>
      </c>
      <c r="E2225" s="3" t="s">
        <v>4374</v>
      </c>
      <c r="F2225" s="3" t="s">
        <v>844</v>
      </c>
      <c r="G2225" s="3" t="s">
        <v>788</v>
      </c>
      <c r="H2225" s="3">
        <v>1</v>
      </c>
      <c r="I2225" s="3">
        <v>1</v>
      </c>
      <c r="J2225" s="3" t="s">
        <v>18</v>
      </c>
      <c r="K2225" s="5">
        <v>0</v>
      </c>
      <c r="L2225" s="6">
        <v>0</v>
      </c>
      <c r="M2225" s="7" t="s">
        <v>4375</v>
      </c>
      <c r="N2225" s="8">
        <f>VLOOKUP(B2225,'[1]новый без картинок'!$A$5:$F$2672,6,0)</f>
        <v>224</v>
      </c>
    </row>
    <row r="2226" spans="1:14" ht="108.95" customHeight="1" x14ac:dyDescent="0.2">
      <c r="A2226" s="3">
        <v>2224</v>
      </c>
      <c r="B2226" s="3">
        <v>980611</v>
      </c>
      <c r="C2226" s="4" t="str">
        <f>HYPERLINK("http://optservis.net:5080/photo?tov_code_internet=980611","Увеличить")</f>
        <v>Увеличить</v>
      </c>
      <c r="D2226" s="3" t="s">
        <v>4376</v>
      </c>
      <c r="E2226" s="3" t="s">
        <v>4377</v>
      </c>
      <c r="F2226" s="3" t="s">
        <v>1398</v>
      </c>
      <c r="G2226" s="3" t="s">
        <v>31</v>
      </c>
      <c r="H2226" s="3">
        <v>1</v>
      </c>
      <c r="I2226" s="3">
        <v>1</v>
      </c>
      <c r="J2226" s="3" t="s">
        <v>18</v>
      </c>
      <c r="K2226" s="5">
        <v>0.05</v>
      </c>
      <c r="L2226" s="6">
        <v>4640020777986</v>
      </c>
      <c r="M2226" s="7" t="s">
        <v>4378</v>
      </c>
      <c r="N2226" s="8">
        <f>VLOOKUP(B2226,'[1]новый без картинок'!$A$5:$F$2672,6,0)</f>
        <v>634</v>
      </c>
    </row>
    <row r="2227" spans="1:14" ht="138.6" customHeight="1" x14ac:dyDescent="0.2">
      <c r="A2227" s="3">
        <v>2225</v>
      </c>
      <c r="B2227" s="3">
        <v>190219</v>
      </c>
      <c r="C2227" s="4" t="str">
        <f>HYPERLINK("http://optservis.net:5080/photo?tov_code_internet=190219","Увеличить")</f>
        <v>Увеличить</v>
      </c>
      <c r="D2227" s="3" t="s">
        <v>4379</v>
      </c>
      <c r="E2227" s="3" t="s">
        <v>4380</v>
      </c>
      <c r="F2227" s="3" t="s">
        <v>4381</v>
      </c>
      <c r="G2227" s="3" t="s">
        <v>4369</v>
      </c>
      <c r="H2227" s="3">
        <v>1</v>
      </c>
      <c r="I2227" s="3">
        <v>1</v>
      </c>
      <c r="J2227" s="3" t="s">
        <v>18</v>
      </c>
      <c r="K2227" s="5">
        <v>0</v>
      </c>
      <c r="L2227" s="6">
        <v>4640020778600</v>
      </c>
      <c r="M2227" s="7" t="s">
        <v>4382</v>
      </c>
      <c r="N2227" s="8">
        <f>VLOOKUP(B2227,'[1]новый без картинок'!$A$5:$F$2672,6,0)</f>
        <v>150</v>
      </c>
    </row>
    <row r="2228" spans="1:14" ht="138.6" customHeight="1" x14ac:dyDescent="0.2">
      <c r="A2228" s="3">
        <v>2226</v>
      </c>
      <c r="B2228" s="3">
        <v>190214</v>
      </c>
      <c r="C2228" s="4" t="str">
        <f>HYPERLINK("http://optservis.net:5080/photo?tov_code_internet=190214","Увеличить")</f>
        <v>Увеличить</v>
      </c>
      <c r="D2228" s="3" t="s">
        <v>4383</v>
      </c>
      <c r="E2228" s="3" t="s">
        <v>4384</v>
      </c>
      <c r="F2228" s="3" t="s">
        <v>4385</v>
      </c>
      <c r="G2228" s="3" t="s">
        <v>4369</v>
      </c>
      <c r="H2228" s="3">
        <v>1</v>
      </c>
      <c r="I2228" s="3">
        <v>1</v>
      </c>
      <c r="J2228" s="3" t="s">
        <v>18</v>
      </c>
      <c r="K2228" s="5">
        <v>0.02</v>
      </c>
      <c r="L2228" s="6">
        <v>4640020778587</v>
      </c>
      <c r="M2228" s="7" t="s">
        <v>4386</v>
      </c>
      <c r="N2228" s="8">
        <f>VLOOKUP(B2228,'[1]новый без картинок'!$A$5:$F$2672,6,0)</f>
        <v>231</v>
      </c>
    </row>
    <row r="2229" spans="1:14" ht="138.6" customHeight="1" x14ac:dyDescent="0.2">
      <c r="A2229" s="3">
        <v>2227</v>
      </c>
      <c r="B2229" s="3">
        <v>943611</v>
      </c>
      <c r="C2229" s="4" t="str">
        <f>HYPERLINK("http://optservis.net:5080/photo?tov_code_internet=943611","Увеличить")</f>
        <v>Увеличить</v>
      </c>
      <c r="D2229" s="3" t="s">
        <v>4387</v>
      </c>
      <c r="E2229" s="3" t="s">
        <v>4388</v>
      </c>
      <c r="F2229" s="3" t="s">
        <v>68</v>
      </c>
      <c r="G2229" s="3" t="s">
        <v>17</v>
      </c>
      <c r="H2229" s="3">
        <v>1</v>
      </c>
      <c r="I2229" s="3">
        <v>1</v>
      </c>
      <c r="J2229" s="3" t="s">
        <v>18</v>
      </c>
      <c r="K2229" s="5">
        <v>0.05</v>
      </c>
      <c r="L2229" s="6">
        <v>4640020774015</v>
      </c>
      <c r="M2229" s="7" t="s">
        <v>4389</v>
      </c>
      <c r="N2229" s="8">
        <f>VLOOKUP(B2229,'[1]новый без картинок'!$A$5:$F$2672,6,0)</f>
        <v>108</v>
      </c>
    </row>
    <row r="2230" spans="1:14" ht="138.6" customHeight="1" x14ac:dyDescent="0.2">
      <c r="A2230" s="3">
        <v>2228</v>
      </c>
      <c r="B2230" s="3">
        <v>933087</v>
      </c>
      <c r="C2230" s="4" t="str">
        <f>HYPERLINK("http://optservis.net:5080/photo?tov_code_internet=933087","Увеличить")</f>
        <v>Увеличить</v>
      </c>
      <c r="D2230" s="3" t="s">
        <v>4387</v>
      </c>
      <c r="E2230" s="3" t="s">
        <v>4388</v>
      </c>
      <c r="F2230" s="3" t="s">
        <v>71</v>
      </c>
      <c r="G2230" s="3" t="s">
        <v>17</v>
      </c>
      <c r="H2230" s="3">
        <v>1</v>
      </c>
      <c r="I2230" s="3">
        <v>1</v>
      </c>
      <c r="J2230" s="3" t="s">
        <v>18</v>
      </c>
      <c r="K2230" s="5">
        <v>0.06</v>
      </c>
      <c r="L2230" s="6">
        <v>4640020773018</v>
      </c>
      <c r="M2230" s="7" t="s">
        <v>4390</v>
      </c>
      <c r="N2230" s="8">
        <f>VLOOKUP(B2230,'[1]новый без картинок'!$A$5:$F$2672,6,0)</f>
        <v>151</v>
      </c>
    </row>
    <row r="2231" spans="1:14" ht="151.15" customHeight="1" x14ac:dyDescent="0.2">
      <c r="A2231" s="3">
        <v>2229</v>
      </c>
      <c r="B2231" s="3">
        <v>980608</v>
      </c>
      <c r="C2231" s="4" t="str">
        <f>HYPERLINK("http://optservis.net:5080/photo?tov_code_internet=980608","Увеличить")</f>
        <v>Увеличить</v>
      </c>
      <c r="D2231" s="3" t="s">
        <v>4391</v>
      </c>
      <c r="E2231" s="3"/>
      <c r="F2231" s="3" t="s">
        <v>4392</v>
      </c>
      <c r="G2231" s="3"/>
      <c r="H2231" s="3">
        <v>1</v>
      </c>
      <c r="I2231" s="3">
        <v>1</v>
      </c>
      <c r="J2231" s="3" t="s">
        <v>18</v>
      </c>
      <c r="K2231" s="5">
        <v>0</v>
      </c>
      <c r="L2231" s="6">
        <v>0</v>
      </c>
      <c r="M2231" s="7" t="s">
        <v>4393</v>
      </c>
      <c r="N2231" s="8">
        <f>VLOOKUP(B2231,'[1]новый без картинок'!$A$5:$F$2672,6,0)</f>
        <v>907</v>
      </c>
    </row>
    <row r="2232" spans="1:14" ht="138.6" customHeight="1" x14ac:dyDescent="0.2">
      <c r="A2232" s="3">
        <v>2230</v>
      </c>
      <c r="B2232" s="3">
        <v>167916</v>
      </c>
      <c r="C2232" s="4" t="str">
        <f>HYPERLINK("http://optservis.net:5080/photo?tov_code_internet=167916","Увеличить")</f>
        <v>Увеличить</v>
      </c>
      <c r="D2232" s="3" t="s">
        <v>4394</v>
      </c>
      <c r="E2232" s="3" t="s">
        <v>4395</v>
      </c>
      <c r="F2232" s="3" t="s">
        <v>4396</v>
      </c>
      <c r="G2232" s="3" t="s">
        <v>4369</v>
      </c>
      <c r="H2232" s="3">
        <v>1</v>
      </c>
      <c r="I2232" s="3">
        <v>1</v>
      </c>
      <c r="J2232" s="3" t="s">
        <v>18</v>
      </c>
      <c r="K2232" s="5">
        <v>0.03</v>
      </c>
      <c r="L2232" s="6">
        <v>4603001157016</v>
      </c>
      <c r="M2232" s="7" t="s">
        <v>4397</v>
      </c>
      <c r="N2232" s="8">
        <f>VLOOKUP(B2232,'[1]новый без картинок'!$A$5:$F$2672,6,0)</f>
        <v>254</v>
      </c>
    </row>
    <row r="2233" spans="1:14" ht="151.15" customHeight="1" x14ac:dyDescent="0.2">
      <c r="A2233" s="3">
        <v>2231</v>
      </c>
      <c r="B2233" s="3">
        <v>946512</v>
      </c>
      <c r="C2233" s="4" t="str">
        <f>HYPERLINK("http://optservis.net:5080/photo?tov_code_internet=946512","Увеличить")</f>
        <v>Увеличить</v>
      </c>
      <c r="D2233" s="3" t="s">
        <v>4398</v>
      </c>
      <c r="E2233" s="3" t="s">
        <v>4399</v>
      </c>
      <c r="F2233" s="3" t="s">
        <v>3775</v>
      </c>
      <c r="G2233" s="3" t="s">
        <v>4357</v>
      </c>
      <c r="H2233" s="3">
        <v>1</v>
      </c>
      <c r="I2233" s="3">
        <v>1</v>
      </c>
      <c r="J2233" s="3" t="s">
        <v>18</v>
      </c>
      <c r="K2233" s="5">
        <v>0.04</v>
      </c>
      <c r="L2233" s="6">
        <v>4640020774886</v>
      </c>
      <c r="M2233" s="7" t="s">
        <v>4400</v>
      </c>
      <c r="N2233" s="8">
        <f>VLOOKUP(B2233,'[1]новый без картинок'!$A$5:$F$2672,6,0)</f>
        <v>577</v>
      </c>
    </row>
    <row r="2234" spans="1:14" ht="138.6" customHeight="1" x14ac:dyDescent="0.2">
      <c r="A2234" s="3">
        <v>2232</v>
      </c>
      <c r="B2234" s="3">
        <v>170222</v>
      </c>
      <c r="C2234" s="4" t="str">
        <f>HYPERLINK("http://optservis.net:5080/photo?tov_code_internet=170222","Увеличить")</f>
        <v>Увеличить</v>
      </c>
      <c r="D2234" s="3" t="s">
        <v>4401</v>
      </c>
      <c r="E2234" s="3" t="s">
        <v>4402</v>
      </c>
      <c r="F2234" s="3" t="s">
        <v>4368</v>
      </c>
      <c r="G2234" s="3" t="s">
        <v>4369</v>
      </c>
      <c r="H2234" s="3">
        <v>1</v>
      </c>
      <c r="I2234" s="3">
        <v>1</v>
      </c>
      <c r="J2234" s="3" t="s">
        <v>18</v>
      </c>
      <c r="K2234" s="5">
        <v>0.02</v>
      </c>
      <c r="L2234" s="6">
        <v>4690654008727</v>
      </c>
      <c r="M2234" s="7" t="s">
        <v>4403</v>
      </c>
      <c r="N2234" s="8">
        <f>VLOOKUP(B2234,'[1]новый без картинок'!$A$5:$F$2672,6,0)</f>
        <v>243</v>
      </c>
    </row>
    <row r="2235" spans="1:14" ht="151.15" customHeight="1" x14ac:dyDescent="0.2">
      <c r="A2235" s="3">
        <v>2233</v>
      </c>
      <c r="B2235" s="3">
        <v>190215</v>
      </c>
      <c r="C2235" s="4" t="str">
        <f>HYPERLINK("http://optservis.net:5080/photo?tov_code_internet=190215","Увеличить")</f>
        <v>Увеличить</v>
      </c>
      <c r="D2235" s="3" t="s">
        <v>4401</v>
      </c>
      <c r="E2235" s="3" t="s">
        <v>4402</v>
      </c>
      <c r="F2235" s="3" t="s">
        <v>4404</v>
      </c>
      <c r="G2235" s="3" t="s">
        <v>4369</v>
      </c>
      <c r="H2235" s="3">
        <v>1</v>
      </c>
      <c r="I2235" s="3">
        <v>1</v>
      </c>
      <c r="J2235" s="3" t="s">
        <v>18</v>
      </c>
      <c r="K2235" s="5">
        <v>0.02</v>
      </c>
      <c r="L2235" s="6">
        <v>4690654009335</v>
      </c>
      <c r="M2235" s="7" t="s">
        <v>4405</v>
      </c>
      <c r="N2235" s="8">
        <f>VLOOKUP(B2235,'[1]новый без картинок'!$A$5:$F$2672,6,0)</f>
        <v>261</v>
      </c>
    </row>
    <row r="2236" spans="1:14" ht="138.6" customHeight="1" x14ac:dyDescent="0.2">
      <c r="A2236" s="3">
        <v>2234</v>
      </c>
      <c r="B2236" s="3">
        <v>184502</v>
      </c>
      <c r="C2236" s="4" t="str">
        <f>HYPERLINK("http://optservis.net:5080/photo?tov_code_internet=184502","Увеличить")</f>
        <v>Увеличить</v>
      </c>
      <c r="D2236" s="3" t="s">
        <v>4401</v>
      </c>
      <c r="E2236" s="3" t="s">
        <v>4402</v>
      </c>
      <c r="F2236" s="3" t="s">
        <v>4406</v>
      </c>
      <c r="G2236" s="3" t="s">
        <v>4369</v>
      </c>
      <c r="H2236" s="3">
        <v>1</v>
      </c>
      <c r="I2236" s="3">
        <v>1</v>
      </c>
      <c r="J2236" s="3" t="s">
        <v>18</v>
      </c>
      <c r="K2236" s="5">
        <v>0.02</v>
      </c>
      <c r="L2236" s="6">
        <v>4640020778624</v>
      </c>
      <c r="M2236" s="7" t="s">
        <v>4407</v>
      </c>
      <c r="N2236" s="8">
        <f>VLOOKUP(B2236,'[1]новый без картинок'!$A$5:$F$2672,6,0)</f>
        <v>254</v>
      </c>
    </row>
    <row r="2237" spans="1:14" ht="138.6" customHeight="1" x14ac:dyDescent="0.2">
      <c r="A2237" s="3">
        <v>2235</v>
      </c>
      <c r="B2237" s="3">
        <v>190216</v>
      </c>
      <c r="C2237" s="4" t="str">
        <f>HYPERLINK("http://optservis.net:5080/photo?tov_code_internet=190216","Увеличить")</f>
        <v>Увеличить</v>
      </c>
      <c r="D2237" s="3" t="s">
        <v>4401</v>
      </c>
      <c r="E2237" s="3" t="s">
        <v>4402</v>
      </c>
      <c r="F2237" s="3" t="s">
        <v>4408</v>
      </c>
      <c r="G2237" s="3" t="s">
        <v>4369</v>
      </c>
      <c r="H2237" s="3">
        <v>1</v>
      </c>
      <c r="I2237" s="3">
        <v>1</v>
      </c>
      <c r="J2237" s="3" t="s">
        <v>18</v>
      </c>
      <c r="K2237" s="5">
        <v>0.03</v>
      </c>
      <c r="L2237" s="6">
        <v>4640020778631</v>
      </c>
      <c r="M2237" s="7" t="s">
        <v>4407</v>
      </c>
      <c r="N2237" s="8">
        <f>VLOOKUP(B2237,'[1]новый без картинок'!$A$5:$F$2672,6,0)</f>
        <v>247</v>
      </c>
    </row>
    <row r="2238" spans="1:14" ht="138.6" customHeight="1" x14ac:dyDescent="0.2">
      <c r="A2238" s="3">
        <v>2236</v>
      </c>
      <c r="B2238" s="3">
        <v>178571</v>
      </c>
      <c r="C2238" s="4" t="str">
        <f>HYPERLINK("http://optservis.net:5080/photo?tov_code_internet=178571","Увеличить")</f>
        <v>Увеличить</v>
      </c>
      <c r="D2238" s="3" t="s">
        <v>4401</v>
      </c>
      <c r="E2238" s="3" t="s">
        <v>4402</v>
      </c>
      <c r="F2238" s="3" t="s">
        <v>4409</v>
      </c>
      <c r="G2238" s="3" t="s">
        <v>4369</v>
      </c>
      <c r="H2238" s="3">
        <v>1</v>
      </c>
      <c r="I2238" s="3">
        <v>1</v>
      </c>
      <c r="J2238" s="3" t="s">
        <v>18</v>
      </c>
      <c r="K2238" s="5">
        <v>0.02</v>
      </c>
      <c r="L2238" s="6">
        <v>4690654012274</v>
      </c>
      <c r="M2238" s="7" t="s">
        <v>4410</v>
      </c>
      <c r="N2238" s="8">
        <f>VLOOKUP(B2238,'[1]новый без картинок'!$A$5:$F$2672,6,0)</f>
        <v>263</v>
      </c>
    </row>
    <row r="2239" spans="1:14" ht="138.6" customHeight="1" x14ac:dyDescent="0.2">
      <c r="A2239" s="3">
        <v>2237</v>
      </c>
      <c r="B2239" s="3">
        <v>178685</v>
      </c>
      <c r="C2239" s="4" t="str">
        <f>HYPERLINK("http://optservis.net:5080/photo?tov_code_internet=178685","Увеличить")</f>
        <v>Увеличить</v>
      </c>
      <c r="D2239" s="3" t="s">
        <v>4401</v>
      </c>
      <c r="E2239" s="3" t="s">
        <v>4402</v>
      </c>
      <c r="F2239" s="3" t="s">
        <v>4411</v>
      </c>
      <c r="G2239" s="3" t="s">
        <v>4369</v>
      </c>
      <c r="H2239" s="3">
        <v>1</v>
      </c>
      <c r="I2239" s="3">
        <v>1</v>
      </c>
      <c r="J2239" s="3" t="s">
        <v>18</v>
      </c>
      <c r="K2239" s="5">
        <v>0.03</v>
      </c>
      <c r="L2239" s="6">
        <v>4603001157023</v>
      </c>
      <c r="M2239" s="7" t="s">
        <v>4403</v>
      </c>
      <c r="N2239" s="8">
        <f>VLOOKUP(B2239,'[1]новый без картинок'!$A$5:$F$2672,6,0)</f>
        <v>242</v>
      </c>
    </row>
    <row r="2240" spans="1:14" ht="151.15" customHeight="1" x14ac:dyDescent="0.2">
      <c r="A2240" s="3">
        <v>2238</v>
      </c>
      <c r="B2240" s="3">
        <v>197126</v>
      </c>
      <c r="C2240" s="4" t="str">
        <f>HYPERLINK("http://optservis.net:5080/photo?tov_code_internet=197126","Увеличить")</f>
        <v>Увеличить</v>
      </c>
      <c r="D2240" s="3" t="s">
        <v>4412</v>
      </c>
      <c r="E2240" s="3" t="s">
        <v>4413</v>
      </c>
      <c r="F2240" s="3" t="s">
        <v>4414</v>
      </c>
      <c r="G2240" s="3" t="s">
        <v>4369</v>
      </c>
      <c r="H2240" s="3">
        <v>1</v>
      </c>
      <c r="I2240" s="3">
        <v>1</v>
      </c>
      <c r="J2240" s="3" t="s">
        <v>18</v>
      </c>
      <c r="K2240" s="5">
        <v>0.03</v>
      </c>
      <c r="L2240" s="6">
        <v>4690654016050</v>
      </c>
      <c r="M2240" s="7" t="s">
        <v>4415</v>
      </c>
      <c r="N2240" s="8">
        <f>VLOOKUP(B2240,'[1]новый без картинок'!$A$5:$F$2672,6,0)</f>
        <v>261</v>
      </c>
    </row>
    <row r="2241" spans="1:14" ht="151.15" customHeight="1" x14ac:dyDescent="0.2">
      <c r="A2241" s="3">
        <v>2239</v>
      </c>
      <c r="B2241" s="3">
        <v>197125</v>
      </c>
      <c r="C2241" s="4" t="str">
        <f>HYPERLINK("http://optservis.net:5080/photo?tov_code_internet=197125","Увеличить")</f>
        <v>Увеличить</v>
      </c>
      <c r="D2241" s="3" t="s">
        <v>4412</v>
      </c>
      <c r="E2241" s="3" t="s">
        <v>4413</v>
      </c>
      <c r="F2241" s="3" t="s">
        <v>4416</v>
      </c>
      <c r="G2241" s="3" t="s">
        <v>4369</v>
      </c>
      <c r="H2241" s="3">
        <v>1</v>
      </c>
      <c r="I2241" s="3">
        <v>1</v>
      </c>
      <c r="J2241" s="3" t="s">
        <v>18</v>
      </c>
      <c r="K2241" s="5">
        <v>0.04</v>
      </c>
      <c r="L2241" s="6">
        <v>4690654015695</v>
      </c>
      <c r="M2241" s="7" t="s">
        <v>4417</v>
      </c>
      <c r="N2241" s="8">
        <f>VLOOKUP(B2241,'[1]новый без картинок'!$A$5:$F$2672,6,0)</f>
        <v>272</v>
      </c>
    </row>
    <row r="2242" spans="1:14" ht="138.6" customHeight="1" x14ac:dyDescent="0.2">
      <c r="A2242" s="3">
        <v>2240</v>
      </c>
      <c r="B2242" s="3">
        <v>205873</v>
      </c>
      <c r="C2242" s="4" t="str">
        <f>HYPERLINK("http://optservis.net:5080/photo?tov_code_internet=205873","Увеличить")</f>
        <v>Увеличить</v>
      </c>
      <c r="D2242" s="3" t="s">
        <v>4412</v>
      </c>
      <c r="E2242" s="3" t="s">
        <v>4413</v>
      </c>
      <c r="F2242" s="3" t="s">
        <v>4418</v>
      </c>
      <c r="G2242" s="3" t="s">
        <v>4369</v>
      </c>
      <c r="H2242" s="3">
        <v>1</v>
      </c>
      <c r="I2242" s="3">
        <v>1</v>
      </c>
      <c r="J2242" s="3" t="s">
        <v>18</v>
      </c>
      <c r="K2242" s="5">
        <v>0.04</v>
      </c>
      <c r="L2242" s="6">
        <v>4690654017194</v>
      </c>
      <c r="M2242" s="7" t="s">
        <v>4417</v>
      </c>
      <c r="N2242" s="8">
        <f>VLOOKUP(B2242,'[1]новый без картинок'!$A$5:$F$2672,6,0)</f>
        <v>274</v>
      </c>
    </row>
    <row r="2243" spans="1:14" ht="151.15" customHeight="1" x14ac:dyDescent="0.2">
      <c r="A2243" s="3">
        <v>2241</v>
      </c>
      <c r="B2243" s="3">
        <v>197117</v>
      </c>
      <c r="C2243" s="4" t="str">
        <f>HYPERLINK("http://optservis.net:5080/photo?tov_code_internet=197117","Увеличить")</f>
        <v>Увеличить</v>
      </c>
      <c r="D2243" s="3" t="s">
        <v>4419</v>
      </c>
      <c r="E2243" s="3" t="s">
        <v>4420</v>
      </c>
      <c r="F2243" s="3" t="s">
        <v>4418</v>
      </c>
      <c r="G2243" s="3" t="s">
        <v>4369</v>
      </c>
      <c r="H2243" s="3">
        <v>1</v>
      </c>
      <c r="I2243" s="3">
        <v>1</v>
      </c>
      <c r="J2243" s="3" t="s">
        <v>18</v>
      </c>
      <c r="K2243" s="5">
        <v>0.03</v>
      </c>
      <c r="L2243" s="6">
        <v>4690654018092</v>
      </c>
      <c r="M2243" s="7" t="s">
        <v>4421</v>
      </c>
      <c r="N2243" s="8">
        <f>VLOOKUP(B2243,'[1]новый без картинок'!$A$5:$F$2672,6,0)</f>
        <v>429</v>
      </c>
    </row>
    <row r="2244" spans="1:14" ht="129.6" customHeight="1" x14ac:dyDescent="0.2">
      <c r="A2244" s="3">
        <v>2242</v>
      </c>
      <c r="B2244" s="3">
        <v>165943</v>
      </c>
      <c r="C2244" s="4" t="str">
        <f>HYPERLINK("http://optservis.net:5080/photo?tov_code_internet=165943","Увеличить")</f>
        <v>Увеличить</v>
      </c>
      <c r="D2244" s="3" t="s">
        <v>4422</v>
      </c>
      <c r="E2244" s="3" t="s">
        <v>4423</v>
      </c>
      <c r="F2244" s="3" t="s">
        <v>3775</v>
      </c>
      <c r="G2244" s="3" t="s">
        <v>4424</v>
      </c>
      <c r="H2244" s="3">
        <v>1</v>
      </c>
      <c r="I2244" s="3">
        <v>1</v>
      </c>
      <c r="J2244" s="3" t="s">
        <v>18</v>
      </c>
      <c r="K2244" s="5">
        <v>0.06</v>
      </c>
      <c r="L2244" s="6">
        <v>4690654012755</v>
      </c>
      <c r="M2244" s="7" t="s">
        <v>4425</v>
      </c>
      <c r="N2244" s="8">
        <f>VLOOKUP(B2244,'[1]новый без картинок'!$A$5:$F$2672,6,0)</f>
        <v>1411</v>
      </c>
    </row>
    <row r="2245" spans="1:14" ht="151.15" customHeight="1" x14ac:dyDescent="0.2">
      <c r="A2245" s="3">
        <v>2243</v>
      </c>
      <c r="B2245" s="3">
        <v>190218</v>
      </c>
      <c r="C2245" s="4" t="str">
        <f>HYPERLINK("http://optservis.net:5080/photo?tov_code_internet=190218","Увеличить")</f>
        <v>Увеличить</v>
      </c>
      <c r="D2245" s="3" t="s">
        <v>4426</v>
      </c>
      <c r="E2245" s="3" t="s">
        <v>4427</v>
      </c>
      <c r="F2245" s="3" t="s">
        <v>4428</v>
      </c>
      <c r="G2245" s="3" t="s">
        <v>4369</v>
      </c>
      <c r="H2245" s="3">
        <v>1</v>
      </c>
      <c r="I2245" s="3">
        <v>1</v>
      </c>
      <c r="J2245" s="3" t="s">
        <v>18</v>
      </c>
      <c r="K2245" s="5">
        <v>0.04</v>
      </c>
      <c r="L2245" s="6">
        <v>4690654009342</v>
      </c>
      <c r="M2245" s="7" t="s">
        <v>4429</v>
      </c>
      <c r="N2245" s="8">
        <f>VLOOKUP(B2245,'[1]новый без картинок'!$A$5:$F$2672,6,0)</f>
        <v>306</v>
      </c>
    </row>
    <row r="2246" spans="1:14" ht="138.6" customHeight="1" x14ac:dyDescent="0.2">
      <c r="A2246" s="3">
        <v>2244</v>
      </c>
      <c r="B2246" s="3">
        <v>167913</v>
      </c>
      <c r="C2246" s="4" t="str">
        <f>HYPERLINK("http://optservis.net:5080/photo?tov_code_internet=167913","Увеличить")</f>
        <v>Увеличить</v>
      </c>
      <c r="D2246" s="3" t="s">
        <v>4426</v>
      </c>
      <c r="E2246" s="3" t="s">
        <v>4427</v>
      </c>
      <c r="F2246" s="3" t="s">
        <v>4406</v>
      </c>
      <c r="G2246" s="3" t="s">
        <v>4369</v>
      </c>
      <c r="H2246" s="3">
        <v>1</v>
      </c>
      <c r="I2246" s="3">
        <v>1</v>
      </c>
      <c r="J2246" s="3" t="s">
        <v>18</v>
      </c>
      <c r="K2246" s="5">
        <v>0.05</v>
      </c>
      <c r="L2246" s="6">
        <v>4640020778617</v>
      </c>
      <c r="M2246" s="7" t="s">
        <v>4430</v>
      </c>
      <c r="N2246" s="8">
        <f>VLOOKUP(B2246,'[1]новый без картинок'!$A$5:$F$2672,6,0)</f>
        <v>291</v>
      </c>
    </row>
    <row r="2247" spans="1:14" ht="151.15" customHeight="1" x14ac:dyDescent="0.2">
      <c r="A2247" s="3">
        <v>2245</v>
      </c>
      <c r="B2247" s="3">
        <v>184431</v>
      </c>
      <c r="C2247" s="4" t="str">
        <f>HYPERLINK("http://optservis.net:5080/photo?tov_code_internet=184431","Увеличить")</f>
        <v>Увеличить</v>
      </c>
      <c r="D2247" s="3" t="s">
        <v>4426</v>
      </c>
      <c r="E2247" s="3" t="s">
        <v>4427</v>
      </c>
      <c r="F2247" s="3" t="s">
        <v>4411</v>
      </c>
      <c r="G2247" s="3" t="s">
        <v>4369</v>
      </c>
      <c r="H2247" s="3">
        <v>1</v>
      </c>
      <c r="I2247" s="3">
        <v>1</v>
      </c>
      <c r="J2247" s="3" t="s">
        <v>18</v>
      </c>
      <c r="K2247" s="5">
        <v>0.05</v>
      </c>
      <c r="L2247" s="6">
        <v>4603001168258</v>
      </c>
      <c r="M2247" s="7" t="s">
        <v>4430</v>
      </c>
      <c r="N2247" s="8">
        <f>VLOOKUP(B2247,'[1]новый без картинок'!$A$5:$F$2672,6,0)</f>
        <v>285</v>
      </c>
    </row>
    <row r="2248" spans="1:14" ht="151.15" customHeight="1" x14ac:dyDescent="0.2">
      <c r="A2248" s="3">
        <v>2246</v>
      </c>
      <c r="B2248" s="3">
        <v>190217</v>
      </c>
      <c r="C2248" s="4" t="str">
        <f>HYPERLINK("http://optservis.net:5080/photo?tov_code_internet=190217","Увеличить")</f>
        <v>Увеличить</v>
      </c>
      <c r="D2248" s="3" t="s">
        <v>4431</v>
      </c>
      <c r="E2248" s="3" t="s">
        <v>4432</v>
      </c>
      <c r="F2248" s="3" t="s">
        <v>4433</v>
      </c>
      <c r="G2248" s="3" t="s">
        <v>4369</v>
      </c>
      <c r="H2248" s="3">
        <v>1</v>
      </c>
      <c r="I2248" s="3">
        <v>1</v>
      </c>
      <c r="J2248" s="3" t="s">
        <v>18</v>
      </c>
      <c r="K2248" s="5">
        <v>0.05</v>
      </c>
      <c r="L2248" s="6">
        <v>4690654009359</v>
      </c>
      <c r="M2248" s="7" t="s">
        <v>4434</v>
      </c>
      <c r="N2248" s="8">
        <f>VLOOKUP(B2248,'[1]новый без картинок'!$A$5:$F$2672,6,0)</f>
        <v>333</v>
      </c>
    </row>
    <row r="2249" spans="1:14" ht="151.15" customHeight="1" x14ac:dyDescent="0.2">
      <c r="A2249" s="3">
        <v>2247</v>
      </c>
      <c r="B2249" s="3">
        <v>990172</v>
      </c>
      <c r="C2249" s="4" t="str">
        <f>HYPERLINK("http://optservis.net:5080/photo?tov_code_internet=990172","Увеличить")</f>
        <v>Увеличить</v>
      </c>
      <c r="D2249" s="3" t="s">
        <v>4435</v>
      </c>
      <c r="E2249" s="3" t="s">
        <v>4436</v>
      </c>
      <c r="F2249" s="3" t="s">
        <v>4437</v>
      </c>
      <c r="G2249" s="3" t="s">
        <v>4438</v>
      </c>
      <c r="H2249" s="3">
        <v>1</v>
      </c>
      <c r="I2249" s="3">
        <v>1</v>
      </c>
      <c r="J2249" s="3" t="s">
        <v>18</v>
      </c>
      <c r="K2249" s="5">
        <v>0.08</v>
      </c>
      <c r="L2249" s="6">
        <v>4690654000080</v>
      </c>
      <c r="M2249" s="7" t="s">
        <v>4439</v>
      </c>
      <c r="N2249" s="8">
        <f>VLOOKUP(B2249,'[1]новый без картинок'!$A$5:$F$2672,6,0)</f>
        <v>1778</v>
      </c>
    </row>
    <row r="2250" spans="1:14" ht="151.15" customHeight="1" x14ac:dyDescent="0.2">
      <c r="A2250" s="3">
        <v>2248</v>
      </c>
      <c r="B2250" s="3">
        <v>172509</v>
      </c>
      <c r="C2250" s="4" t="str">
        <f>HYPERLINK("http://optservis.net:5080/photo?tov_code_internet=172509","Увеличить")</f>
        <v>Увеличить</v>
      </c>
      <c r="D2250" s="3" t="s">
        <v>4440</v>
      </c>
      <c r="E2250" s="3" t="s">
        <v>4441</v>
      </c>
      <c r="F2250" s="3" t="s">
        <v>4442</v>
      </c>
      <c r="G2250" s="3" t="s">
        <v>4443</v>
      </c>
      <c r="H2250" s="3">
        <v>1</v>
      </c>
      <c r="I2250" s="3">
        <v>1</v>
      </c>
      <c r="J2250" s="3" t="s">
        <v>18</v>
      </c>
      <c r="K2250" s="5">
        <v>0.08</v>
      </c>
      <c r="L2250" s="6">
        <v>4690654009168</v>
      </c>
      <c r="M2250" s="7" t="s">
        <v>4444</v>
      </c>
      <c r="N2250" s="8">
        <f>VLOOKUP(B2250,'[1]новый без картинок'!$A$5:$F$2672,6,0)</f>
        <v>803</v>
      </c>
    </row>
    <row r="2251" spans="1:14" ht="151.15" customHeight="1" x14ac:dyDescent="0.2">
      <c r="A2251" s="3">
        <v>2249</v>
      </c>
      <c r="B2251" s="3">
        <v>172511</v>
      </c>
      <c r="C2251" s="4" t="str">
        <f>HYPERLINK("http://optservis.net:5080/photo?tov_code_internet=172511","Увеличить")</f>
        <v>Увеличить</v>
      </c>
      <c r="D2251" s="3" t="s">
        <v>4445</v>
      </c>
      <c r="E2251" s="3" t="s">
        <v>4446</v>
      </c>
      <c r="F2251" s="3" t="s">
        <v>4447</v>
      </c>
      <c r="G2251" s="3" t="s">
        <v>4443</v>
      </c>
      <c r="H2251" s="3">
        <v>1</v>
      </c>
      <c r="I2251" s="3">
        <v>1</v>
      </c>
      <c r="J2251" s="3" t="s">
        <v>18</v>
      </c>
      <c r="K2251" s="5">
        <v>0.08</v>
      </c>
      <c r="L2251" s="6">
        <v>4690654009151</v>
      </c>
      <c r="M2251" s="7" t="s">
        <v>4444</v>
      </c>
      <c r="N2251" s="8">
        <f>VLOOKUP(B2251,'[1]новый без картинок'!$A$5:$F$2672,6,0)</f>
        <v>888</v>
      </c>
    </row>
    <row r="2252" spans="1:14" ht="151.15" customHeight="1" x14ac:dyDescent="0.2">
      <c r="A2252" s="3">
        <v>2250</v>
      </c>
      <c r="B2252" s="3">
        <v>172512</v>
      </c>
      <c r="C2252" s="4" t="str">
        <f>HYPERLINK("http://optservis.net:5080/photo?tov_code_internet=172512","Увеличить")</f>
        <v>Увеличить</v>
      </c>
      <c r="D2252" s="3" t="s">
        <v>4448</v>
      </c>
      <c r="E2252" s="3" t="s">
        <v>4449</v>
      </c>
      <c r="F2252" s="3" t="s">
        <v>4450</v>
      </c>
      <c r="G2252" s="3" t="s">
        <v>4443</v>
      </c>
      <c r="H2252" s="3">
        <v>1</v>
      </c>
      <c r="I2252" s="3">
        <v>1</v>
      </c>
      <c r="J2252" s="3" t="s">
        <v>18</v>
      </c>
      <c r="K2252" s="5">
        <v>0.08</v>
      </c>
      <c r="L2252" s="6">
        <v>4690654009175</v>
      </c>
      <c r="M2252" s="7" t="s">
        <v>4451</v>
      </c>
      <c r="N2252" s="8">
        <f>VLOOKUP(B2252,'[1]новый без картинок'!$A$5:$F$2672,6,0)</f>
        <v>1199</v>
      </c>
    </row>
    <row r="2253" spans="1:14" ht="138.6" customHeight="1" x14ac:dyDescent="0.2">
      <c r="A2253" s="3">
        <v>2251</v>
      </c>
      <c r="B2253" s="3">
        <v>205161</v>
      </c>
      <c r="C2253" s="4" t="str">
        <f>HYPERLINK("http://optservis.net:5080/photo?tov_code_internet=205161","Увеличить")</f>
        <v>Увеличить</v>
      </c>
      <c r="D2253" s="3" t="s">
        <v>4452</v>
      </c>
      <c r="E2253" s="3" t="s">
        <v>4453</v>
      </c>
      <c r="F2253" s="3" t="s">
        <v>4454</v>
      </c>
      <c r="G2253" s="3" t="s">
        <v>4455</v>
      </c>
      <c r="H2253" s="3">
        <v>1</v>
      </c>
      <c r="I2253" s="3">
        <v>1</v>
      </c>
      <c r="J2253" s="3" t="s">
        <v>18</v>
      </c>
      <c r="K2253" s="5">
        <v>0.08</v>
      </c>
      <c r="L2253" s="6">
        <v>4690654017385</v>
      </c>
      <c r="M2253" s="7" t="s">
        <v>4456</v>
      </c>
      <c r="N2253" s="8">
        <f>VLOOKUP(B2253,'[1]новый без картинок'!$A$5:$F$2672,6,0)</f>
        <v>653</v>
      </c>
    </row>
    <row r="2254" spans="1:14" ht="138.6" customHeight="1" x14ac:dyDescent="0.2">
      <c r="A2254" s="3">
        <v>2252</v>
      </c>
      <c r="B2254" s="3">
        <v>205440</v>
      </c>
      <c r="C2254" s="4" t="str">
        <f>HYPERLINK("http://optservis.net:5080/photo?tov_code_internet=205440","Увеличить")</f>
        <v>Увеличить</v>
      </c>
      <c r="D2254" s="3" t="s">
        <v>4457</v>
      </c>
      <c r="E2254" s="3" t="s">
        <v>4458</v>
      </c>
      <c r="F2254" s="3" t="s">
        <v>4454</v>
      </c>
      <c r="G2254" s="3" t="s">
        <v>4455</v>
      </c>
      <c r="H2254" s="3">
        <v>1</v>
      </c>
      <c r="I2254" s="3">
        <v>1</v>
      </c>
      <c r="J2254" s="3" t="s">
        <v>18</v>
      </c>
      <c r="K2254" s="5">
        <v>7.0000000000000007E-2</v>
      </c>
      <c r="L2254" s="6">
        <v>4690654019471</v>
      </c>
      <c r="M2254" s="7" t="s">
        <v>4459</v>
      </c>
      <c r="N2254" s="8">
        <f>VLOOKUP(B2254,'[1]новый без картинок'!$A$5:$F$2672,6,0)</f>
        <v>794</v>
      </c>
    </row>
    <row r="2255" spans="1:14" ht="157.5" customHeight="1" x14ac:dyDescent="0.2">
      <c r="A2255" s="3">
        <v>2253</v>
      </c>
      <c r="B2255" s="3">
        <v>165598</v>
      </c>
      <c r="C2255" s="4" t="str">
        <f>HYPERLINK("http://optservis.net:5080/photo?tov_code_internet=165598","Увеличить")</f>
        <v>Увеличить</v>
      </c>
      <c r="D2255" s="3" t="s">
        <v>4460</v>
      </c>
      <c r="E2255" s="3"/>
      <c r="F2255" s="3" t="s">
        <v>34</v>
      </c>
      <c r="G2255" s="3" t="s">
        <v>31</v>
      </c>
      <c r="H2255" s="3">
        <v>1</v>
      </c>
      <c r="I2255" s="3">
        <v>1</v>
      </c>
      <c r="J2255" s="3" t="s">
        <v>18</v>
      </c>
      <c r="K2255" s="5">
        <v>0</v>
      </c>
      <c r="L2255" s="6">
        <v>0</v>
      </c>
      <c r="M2255" s="7" t="s">
        <v>4461</v>
      </c>
      <c r="N2255" s="8">
        <f>VLOOKUP(B2255,'[1]новый без картинок'!$A$5:$F$2672,6,0)</f>
        <v>917</v>
      </c>
    </row>
    <row r="2256" spans="1:14" ht="151.15" customHeight="1" x14ac:dyDescent="0.2">
      <c r="A2256" s="3">
        <v>2254</v>
      </c>
      <c r="B2256" s="3">
        <v>148899</v>
      </c>
      <c r="C2256" s="4" t="str">
        <f>HYPERLINK("http://optservis.net:5080/photo?tov_code_internet=148899","Увеличить")</f>
        <v>Увеличить</v>
      </c>
      <c r="D2256" s="3" t="s">
        <v>4462</v>
      </c>
      <c r="E2256" s="3" t="s">
        <v>4463</v>
      </c>
      <c r="F2256" s="3" t="s">
        <v>34</v>
      </c>
      <c r="G2256" s="3" t="s">
        <v>31</v>
      </c>
      <c r="H2256" s="3">
        <v>1</v>
      </c>
      <c r="I2256" s="3">
        <v>1</v>
      </c>
      <c r="J2256" s="3" t="s">
        <v>18</v>
      </c>
      <c r="K2256" s="5">
        <v>0.05</v>
      </c>
      <c r="L2256" s="6">
        <v>4690654004842</v>
      </c>
      <c r="M2256" s="7" t="s">
        <v>4464</v>
      </c>
      <c r="N2256" s="8">
        <f>VLOOKUP(B2256,'[1]новый без картинок'!$A$5:$F$2672,6,0)</f>
        <v>450</v>
      </c>
    </row>
    <row r="2257" spans="1:14" ht="151.15" customHeight="1" x14ac:dyDescent="0.2">
      <c r="A2257" s="3">
        <v>2255</v>
      </c>
      <c r="B2257" s="3">
        <v>982353</v>
      </c>
      <c r="C2257" s="4" t="str">
        <f>HYPERLINK("http://optservis.net:5080/photo?tov_code_internet=982353","Увеличить")</f>
        <v>Увеличить</v>
      </c>
      <c r="D2257" s="3" t="s">
        <v>4465</v>
      </c>
      <c r="E2257" s="3"/>
      <c r="F2257" s="3" t="s">
        <v>4466</v>
      </c>
      <c r="G2257" s="3" t="s">
        <v>4467</v>
      </c>
      <c r="H2257" s="3">
        <v>1</v>
      </c>
      <c r="I2257" s="3">
        <v>1</v>
      </c>
      <c r="J2257" s="3" t="s">
        <v>18</v>
      </c>
      <c r="K2257" s="5">
        <v>0</v>
      </c>
      <c r="L2257" s="6">
        <v>0</v>
      </c>
      <c r="M2257" s="7" t="s">
        <v>4468</v>
      </c>
      <c r="N2257" s="8" t="e">
        <f>VLOOKUP(B2257,'[1]новый без картинок'!$A$5:$F$2672,6,0)</f>
        <v>#N/A</v>
      </c>
    </row>
    <row r="2258" spans="1:14" ht="138.6" customHeight="1" x14ac:dyDescent="0.2">
      <c r="A2258" s="3">
        <v>2256</v>
      </c>
      <c r="B2258" s="3">
        <v>978515</v>
      </c>
      <c r="C2258" s="4" t="str">
        <f>HYPERLINK("http://optservis.net:5080/photo?tov_code_internet=978515","Увеличить")</f>
        <v>Увеличить</v>
      </c>
      <c r="D2258" s="3" t="s">
        <v>4469</v>
      </c>
      <c r="E2258" s="3" t="s">
        <v>4470</v>
      </c>
      <c r="F2258" s="3" t="s">
        <v>4471</v>
      </c>
      <c r="G2258" s="3" t="s">
        <v>4472</v>
      </c>
      <c r="H2258" s="3">
        <v>1</v>
      </c>
      <c r="I2258" s="3">
        <v>1</v>
      </c>
      <c r="J2258" s="3" t="s">
        <v>18</v>
      </c>
      <c r="K2258" s="5">
        <v>0.04</v>
      </c>
      <c r="L2258" s="6">
        <v>4640020777993</v>
      </c>
      <c r="M2258" s="7" t="s">
        <v>4473</v>
      </c>
      <c r="N2258" s="8">
        <f>VLOOKUP(B2258,'[1]новый без картинок'!$A$5:$F$2672,6,0)</f>
        <v>550</v>
      </c>
    </row>
    <row r="2259" spans="1:14" ht="138.6" customHeight="1" x14ac:dyDescent="0.2">
      <c r="A2259" s="3">
        <v>2257</v>
      </c>
      <c r="B2259" s="3">
        <v>174564</v>
      </c>
      <c r="C2259" s="4" t="str">
        <f>HYPERLINK("http://optservis.net:5080/photo?tov_code_internet=174564","Увеличить")</f>
        <v>Увеличить</v>
      </c>
      <c r="D2259" s="3" t="s">
        <v>4474</v>
      </c>
      <c r="E2259" s="3" t="s">
        <v>4395</v>
      </c>
      <c r="F2259" s="3" t="s">
        <v>4406</v>
      </c>
      <c r="G2259" s="3" t="s">
        <v>4369</v>
      </c>
      <c r="H2259" s="3">
        <v>1</v>
      </c>
      <c r="I2259" s="3">
        <v>1</v>
      </c>
      <c r="J2259" s="3" t="s">
        <v>18</v>
      </c>
      <c r="K2259" s="5">
        <v>0.03</v>
      </c>
      <c r="L2259" s="6">
        <v>4690654002169</v>
      </c>
      <c r="M2259" s="7" t="s">
        <v>4475</v>
      </c>
      <c r="N2259" s="8">
        <f>VLOOKUP(B2259,'[1]новый без картинок'!$A$5:$F$2672,6,0)</f>
        <v>254</v>
      </c>
    </row>
    <row r="2260" spans="1:14" ht="151.15" customHeight="1" x14ac:dyDescent="0.2">
      <c r="A2260" s="3">
        <v>2258</v>
      </c>
      <c r="B2260" s="3">
        <v>982034</v>
      </c>
      <c r="C2260" s="4" t="str">
        <f>HYPERLINK("http://optservis.net:5080/photo?tov_code_internet=982034","Увеличить")</f>
        <v>Увеличить</v>
      </c>
      <c r="D2260" s="3" t="s">
        <v>4476</v>
      </c>
      <c r="E2260" s="3" t="s">
        <v>4477</v>
      </c>
      <c r="F2260" s="3" t="s">
        <v>628</v>
      </c>
      <c r="G2260" s="3" t="s">
        <v>4472</v>
      </c>
      <c r="H2260" s="3">
        <v>1</v>
      </c>
      <c r="I2260" s="3">
        <v>1</v>
      </c>
      <c r="J2260" s="3" t="s">
        <v>18</v>
      </c>
      <c r="K2260" s="5">
        <v>0.05</v>
      </c>
      <c r="L2260" s="6">
        <v>4640020778082</v>
      </c>
      <c r="M2260" s="7" t="s">
        <v>4478</v>
      </c>
      <c r="N2260" s="8">
        <f>VLOOKUP(B2260,'[1]новый без картинок'!$A$5:$F$2672,6,0)</f>
        <v>720</v>
      </c>
    </row>
    <row r="2261" spans="1:14" ht="151.15" customHeight="1" x14ac:dyDescent="0.2">
      <c r="A2261" s="3">
        <v>2259</v>
      </c>
      <c r="B2261" s="3">
        <v>982035</v>
      </c>
      <c r="C2261" s="4" t="str">
        <f>HYPERLINK("http://optservis.net:5080/photo?tov_code_internet=982035","Увеличить")</f>
        <v>Увеличить</v>
      </c>
      <c r="D2261" s="3" t="s">
        <v>4479</v>
      </c>
      <c r="E2261" s="3" t="s">
        <v>4480</v>
      </c>
      <c r="F2261" s="3" t="s">
        <v>628</v>
      </c>
      <c r="G2261" s="3" t="s">
        <v>4472</v>
      </c>
      <c r="H2261" s="3">
        <v>1</v>
      </c>
      <c r="I2261" s="3">
        <v>1</v>
      </c>
      <c r="J2261" s="3" t="s">
        <v>18</v>
      </c>
      <c r="K2261" s="5">
        <v>7.0000000000000007E-2</v>
      </c>
      <c r="L2261" s="6">
        <v>4640020778099</v>
      </c>
      <c r="M2261" s="7" t="s">
        <v>4481</v>
      </c>
      <c r="N2261" s="8">
        <f>VLOOKUP(B2261,'[1]новый без картинок'!$A$5:$F$2672,6,0)</f>
        <v>930</v>
      </c>
    </row>
    <row r="2262" spans="1:14" ht="51" x14ac:dyDescent="0.2">
      <c r="A2262" s="3">
        <v>2260</v>
      </c>
      <c r="B2262" s="3">
        <v>133897</v>
      </c>
      <c r="C2262" s="4" t="str">
        <f>HYPERLINK("http://optservis.net:5080/photo?tov_code_internet=133897","Увеличить")</f>
        <v>Увеличить</v>
      </c>
      <c r="D2262" s="3" t="s">
        <v>4482</v>
      </c>
      <c r="E2262" s="3" t="s">
        <v>4483</v>
      </c>
      <c r="F2262" s="3" t="s">
        <v>4484</v>
      </c>
      <c r="G2262" s="3" t="s">
        <v>392</v>
      </c>
      <c r="H2262" s="3">
        <v>1</v>
      </c>
      <c r="I2262" s="3">
        <v>1</v>
      </c>
      <c r="J2262" s="3" t="s">
        <v>18</v>
      </c>
      <c r="K2262" s="5">
        <v>0.02</v>
      </c>
      <c r="L2262" s="6">
        <v>4690654001131</v>
      </c>
      <c r="M2262" s="7" t="s">
        <v>4485</v>
      </c>
      <c r="N2262" s="8">
        <f>VLOOKUP(B2262,'[1]новый без картинок'!$A$5:$F$2672,6,0)</f>
        <v>52</v>
      </c>
    </row>
    <row r="2263" spans="1:14" ht="157.5" customHeight="1" x14ac:dyDescent="0.2">
      <c r="A2263" s="3">
        <v>2261</v>
      </c>
      <c r="B2263" s="3">
        <v>193402</v>
      </c>
      <c r="C2263" s="4" t="str">
        <f>HYPERLINK("http://optservis.net:5080/photo?tov_code_internet=193402","Увеличить")</f>
        <v>Увеличить</v>
      </c>
      <c r="D2263" s="3" t="s">
        <v>4486</v>
      </c>
      <c r="E2263" s="3"/>
      <c r="F2263" s="3" t="s">
        <v>4487</v>
      </c>
      <c r="G2263" s="3" t="s">
        <v>110</v>
      </c>
      <c r="H2263" s="3">
        <v>0.33300000000000002</v>
      </c>
      <c r="I2263" s="3">
        <v>0</v>
      </c>
      <c r="J2263" s="3" t="s">
        <v>18</v>
      </c>
      <c r="K2263" s="5">
        <v>0.03</v>
      </c>
      <c r="L2263" s="6">
        <v>0</v>
      </c>
      <c r="M2263" s="7" t="s">
        <v>4488</v>
      </c>
      <c r="N2263" s="8">
        <f>VLOOKUP(B2263,'[1]новый без картинок'!$A$5:$F$2672,6,0)</f>
        <v>426</v>
      </c>
    </row>
    <row r="2264" spans="1:14" ht="138.6" customHeight="1" x14ac:dyDescent="0.2">
      <c r="A2264" s="3">
        <v>2262</v>
      </c>
      <c r="B2264" s="3">
        <v>884248</v>
      </c>
      <c r="C2264" s="4" t="str">
        <f>HYPERLINK("http://optservis.net:5080/photo?tov_code_internet=884248","Увеличить")</f>
        <v>Увеличить</v>
      </c>
      <c r="D2264" s="3" t="s">
        <v>4489</v>
      </c>
      <c r="E2264" s="3" t="s">
        <v>4490</v>
      </c>
      <c r="F2264" s="3" t="s">
        <v>4491</v>
      </c>
      <c r="G2264" s="3" t="s">
        <v>349</v>
      </c>
      <c r="H2264" s="3">
        <v>1</v>
      </c>
      <c r="I2264" s="3">
        <v>1</v>
      </c>
      <c r="J2264" s="3" t="s">
        <v>18</v>
      </c>
      <c r="K2264" s="5">
        <v>7.0000000000000007E-2</v>
      </c>
      <c r="L2264" s="6">
        <v>4690654999827</v>
      </c>
      <c r="M2264" s="7" t="s">
        <v>4492</v>
      </c>
      <c r="N2264" s="8">
        <f>VLOOKUP(B2264,'[1]новый без картинок'!$A$5:$F$2672,6,0)</f>
        <v>329</v>
      </c>
    </row>
    <row r="2265" spans="1:14" ht="151.15" customHeight="1" x14ac:dyDescent="0.2">
      <c r="A2265" s="3">
        <v>2263</v>
      </c>
      <c r="B2265" s="3">
        <v>992169</v>
      </c>
      <c r="C2265" s="4" t="str">
        <f>HYPERLINK("http://optservis.net:5080/photo?tov_code_internet=992169","Увеличить")</f>
        <v>Увеличить</v>
      </c>
      <c r="D2265" s="3" t="s">
        <v>4493</v>
      </c>
      <c r="E2265" s="3" t="s">
        <v>4494</v>
      </c>
      <c r="F2265" s="3" t="s">
        <v>1052</v>
      </c>
      <c r="G2265" s="3" t="s">
        <v>349</v>
      </c>
      <c r="H2265" s="3">
        <v>1</v>
      </c>
      <c r="I2265" s="3">
        <v>1</v>
      </c>
      <c r="J2265" s="3" t="s">
        <v>18</v>
      </c>
      <c r="K2265" s="5">
        <v>0.08</v>
      </c>
      <c r="L2265" s="6">
        <v>4690654000783</v>
      </c>
      <c r="M2265" s="7" t="s">
        <v>4495</v>
      </c>
      <c r="N2265" s="8">
        <f>VLOOKUP(B2265,'[1]новый без картинок'!$A$5:$F$2672,6,0)</f>
        <v>212</v>
      </c>
    </row>
    <row r="2266" spans="1:14" ht="151.15" customHeight="1" x14ac:dyDescent="0.2">
      <c r="A2266" s="3">
        <v>2264</v>
      </c>
      <c r="B2266" s="3">
        <v>937391</v>
      </c>
      <c r="C2266" s="4" t="str">
        <f>HYPERLINK("http://optservis.net:5080/photo?tov_code_internet=937391","Увеличить")</f>
        <v>Увеличить</v>
      </c>
      <c r="D2266" s="3" t="s">
        <v>4496</v>
      </c>
      <c r="E2266" s="3" t="s">
        <v>4497</v>
      </c>
      <c r="F2266" s="3" t="s">
        <v>4498</v>
      </c>
      <c r="G2266" s="3" t="s">
        <v>4499</v>
      </c>
      <c r="H2266" s="3">
        <v>0.5</v>
      </c>
      <c r="I2266" s="3">
        <v>0</v>
      </c>
      <c r="J2266" s="3" t="s">
        <v>18</v>
      </c>
      <c r="K2266" s="5">
        <v>0.05</v>
      </c>
      <c r="L2266" s="6">
        <v>4690654001674</v>
      </c>
      <c r="M2266" s="7" t="s">
        <v>4500</v>
      </c>
      <c r="N2266" s="8">
        <f>VLOOKUP(B2266,'[1]новый без картинок'!$A$5:$F$2672,6,0)</f>
        <v>407</v>
      </c>
    </row>
    <row r="2267" spans="1:14" ht="148.5" customHeight="1" x14ac:dyDescent="0.2">
      <c r="A2267" s="3">
        <v>2265</v>
      </c>
      <c r="B2267" s="3">
        <v>959782</v>
      </c>
      <c r="C2267" s="4" t="str">
        <f>HYPERLINK("http://optservis.net:5080/photo?tov_code_internet=959782","Увеличить")</f>
        <v>Увеличить</v>
      </c>
      <c r="D2267" s="3" t="s">
        <v>4501</v>
      </c>
      <c r="E2267" s="3"/>
      <c r="F2267" s="3" t="s">
        <v>4502</v>
      </c>
      <c r="G2267" s="3" t="s">
        <v>175</v>
      </c>
      <c r="H2267" s="3">
        <v>0.5</v>
      </c>
      <c r="I2267" s="3">
        <v>0</v>
      </c>
      <c r="J2267" s="3" t="s">
        <v>18</v>
      </c>
      <c r="K2267" s="5">
        <v>0.06</v>
      </c>
      <c r="L2267" s="6">
        <v>0</v>
      </c>
      <c r="M2267" s="7" t="s">
        <v>4503</v>
      </c>
      <c r="N2267" s="8">
        <f>VLOOKUP(B2267,'[1]новый без картинок'!$A$5:$F$2672,6,0)</f>
        <v>369</v>
      </c>
    </row>
    <row r="2268" spans="1:14" ht="138.6" customHeight="1" x14ac:dyDescent="0.2">
      <c r="A2268" s="3">
        <v>2266</v>
      </c>
      <c r="B2268" s="3">
        <v>959920</v>
      </c>
      <c r="C2268" s="4" t="str">
        <f>HYPERLINK("http://optservis.net:5080/photo?tov_code_internet=959920","Увеличить")</f>
        <v>Увеличить</v>
      </c>
      <c r="D2268" s="3" t="s">
        <v>4504</v>
      </c>
      <c r="E2268" s="3" t="s">
        <v>4505</v>
      </c>
      <c r="F2268" s="3" t="s">
        <v>4502</v>
      </c>
      <c r="G2268" s="3" t="s">
        <v>175</v>
      </c>
      <c r="H2268" s="3">
        <v>0.5</v>
      </c>
      <c r="I2268" s="3">
        <v>0</v>
      </c>
      <c r="J2268" s="3" t="s">
        <v>18</v>
      </c>
      <c r="K2268" s="5">
        <v>0.03</v>
      </c>
      <c r="L2268" s="6">
        <v>4690654005801</v>
      </c>
      <c r="M2268" s="7" t="s">
        <v>4506</v>
      </c>
      <c r="N2268" s="8">
        <f>VLOOKUP(B2268,'[1]новый без картинок'!$A$5:$F$2672,6,0)</f>
        <v>335</v>
      </c>
    </row>
    <row r="2269" spans="1:14" ht="138.6" customHeight="1" x14ac:dyDescent="0.2">
      <c r="A2269" s="3">
        <v>2267</v>
      </c>
      <c r="B2269" s="3">
        <v>186113</v>
      </c>
      <c r="C2269" s="4" t="str">
        <f>HYPERLINK("http://optservis.net:5080/photo?tov_code_internet=186113","Увеличить")</f>
        <v>Увеличить</v>
      </c>
      <c r="D2269" s="3" t="s">
        <v>4507</v>
      </c>
      <c r="E2269" s="3"/>
      <c r="F2269" s="3" t="s">
        <v>4508</v>
      </c>
      <c r="G2269" s="3" t="s">
        <v>349</v>
      </c>
      <c r="H2269" s="3">
        <v>1</v>
      </c>
      <c r="I2269" s="3">
        <v>1</v>
      </c>
      <c r="J2269" s="3" t="s">
        <v>18</v>
      </c>
      <c r="K2269" s="5">
        <v>0</v>
      </c>
      <c r="L2269" s="6">
        <v>0</v>
      </c>
      <c r="M2269" s="7" t="s">
        <v>1042</v>
      </c>
      <c r="N2269" s="8" t="e">
        <f>VLOOKUP(B2269,'[1]новый без картинок'!$A$5:$F$2672,6,0)</f>
        <v>#N/A</v>
      </c>
    </row>
    <row r="2270" spans="1:14" ht="151.15" customHeight="1" x14ac:dyDescent="0.2">
      <c r="A2270" s="3">
        <v>2268</v>
      </c>
      <c r="B2270" s="3">
        <v>925847</v>
      </c>
      <c r="C2270" s="4" t="str">
        <f>HYPERLINK("http://optservis.net:5080/photo?tov_code_internet=925847","Увеличить")</f>
        <v>Увеличить</v>
      </c>
      <c r="D2270" s="3" t="s">
        <v>4509</v>
      </c>
      <c r="E2270" s="3" t="s">
        <v>4510</v>
      </c>
      <c r="F2270" s="3" t="s">
        <v>4511</v>
      </c>
      <c r="G2270" s="3" t="s">
        <v>4512</v>
      </c>
      <c r="H2270" s="3">
        <v>0.5</v>
      </c>
      <c r="I2270" s="3">
        <v>0</v>
      </c>
      <c r="J2270" s="3" t="s">
        <v>18</v>
      </c>
      <c r="K2270" s="5">
        <v>0.16</v>
      </c>
      <c r="L2270" s="6">
        <v>4640020772639</v>
      </c>
      <c r="M2270" s="7" t="s">
        <v>4513</v>
      </c>
      <c r="N2270" s="8">
        <f>VLOOKUP(B2270,'[1]новый без картинок'!$A$5:$F$2672,6,0)</f>
        <v>364</v>
      </c>
    </row>
    <row r="2271" spans="1:14" ht="151.15" customHeight="1" x14ac:dyDescent="0.2">
      <c r="A2271" s="3">
        <v>2269</v>
      </c>
      <c r="B2271" s="3">
        <v>965598</v>
      </c>
      <c r="C2271" s="4" t="str">
        <f>HYPERLINK("http://optservis.net:5080/photo?tov_code_internet=965598","Увеличить")</f>
        <v>Увеличить</v>
      </c>
      <c r="D2271" s="3" t="s">
        <v>4514</v>
      </c>
      <c r="E2271" s="3" t="s">
        <v>4515</v>
      </c>
      <c r="F2271" s="3" t="s">
        <v>4516</v>
      </c>
      <c r="G2271" s="3" t="s">
        <v>175</v>
      </c>
      <c r="H2271" s="3">
        <v>0.5</v>
      </c>
      <c r="I2271" s="3">
        <v>0</v>
      </c>
      <c r="J2271" s="3" t="s">
        <v>18</v>
      </c>
      <c r="K2271" s="5">
        <v>0.16</v>
      </c>
      <c r="L2271" s="6">
        <v>4640020779621</v>
      </c>
      <c r="M2271" s="7" t="s">
        <v>4517</v>
      </c>
      <c r="N2271" s="8">
        <f>VLOOKUP(B2271,'[1]новый без картинок'!$A$5:$F$2672,6,0)</f>
        <v>265</v>
      </c>
    </row>
    <row r="2272" spans="1:14" ht="149.44999999999999" customHeight="1" x14ac:dyDescent="0.2">
      <c r="A2272" s="3">
        <v>2270</v>
      </c>
      <c r="B2272" s="3">
        <v>965597</v>
      </c>
      <c r="C2272" s="4" t="str">
        <f>HYPERLINK("http://optservis.net:5080/photo?tov_code_internet=965597","Увеличить")</f>
        <v>Увеличить</v>
      </c>
      <c r="D2272" s="3" t="s">
        <v>4518</v>
      </c>
      <c r="E2272" s="3" t="s">
        <v>4519</v>
      </c>
      <c r="F2272" s="3" t="s">
        <v>4520</v>
      </c>
      <c r="G2272" s="3" t="s">
        <v>175</v>
      </c>
      <c r="H2272" s="3">
        <v>0.5</v>
      </c>
      <c r="I2272" s="3">
        <v>0</v>
      </c>
      <c r="J2272" s="3" t="s">
        <v>18</v>
      </c>
      <c r="K2272" s="5">
        <v>0.15</v>
      </c>
      <c r="L2272" s="6">
        <v>4640020778815</v>
      </c>
      <c r="M2272" s="7" t="s">
        <v>4521</v>
      </c>
      <c r="N2272" s="8">
        <f>VLOOKUP(B2272,'[1]новый без картинок'!$A$5:$F$2672,6,0)</f>
        <v>329</v>
      </c>
    </row>
    <row r="2273" spans="1:14" ht="149.44999999999999" customHeight="1" x14ac:dyDescent="0.2">
      <c r="A2273" s="3">
        <v>2271</v>
      </c>
      <c r="B2273" s="3">
        <v>174411</v>
      </c>
      <c r="C2273" s="4" t="str">
        <f>HYPERLINK("http://optservis.net:5080/photo?tov_code_internet=174411","Увеличить")</f>
        <v>Увеличить</v>
      </c>
      <c r="D2273" s="3" t="s">
        <v>4522</v>
      </c>
      <c r="E2273" s="3" t="s">
        <v>4523</v>
      </c>
      <c r="F2273" s="3" t="s">
        <v>4524</v>
      </c>
      <c r="G2273" s="3" t="s">
        <v>349</v>
      </c>
      <c r="H2273" s="3">
        <v>0.5</v>
      </c>
      <c r="I2273" s="3">
        <v>0</v>
      </c>
      <c r="J2273" s="3" t="s">
        <v>18</v>
      </c>
      <c r="K2273" s="5">
        <v>0.04</v>
      </c>
      <c r="L2273" s="6">
        <v>4690654009724</v>
      </c>
      <c r="M2273" s="7" t="s">
        <v>4525</v>
      </c>
      <c r="N2273" s="8">
        <f>VLOOKUP(B2273,'[1]новый без картинок'!$A$5:$F$2672,6,0)</f>
        <v>272</v>
      </c>
    </row>
    <row r="2274" spans="1:14" ht="149.44999999999999" customHeight="1" x14ac:dyDescent="0.2">
      <c r="A2274" s="3">
        <v>2272</v>
      </c>
      <c r="B2274" s="3">
        <v>169996</v>
      </c>
      <c r="C2274" s="4" t="str">
        <f>HYPERLINK("http://optservis.net:5080/photo?tov_code_internet=169996","Увеличить")</f>
        <v>Увеличить</v>
      </c>
      <c r="D2274" s="3" t="s">
        <v>4526</v>
      </c>
      <c r="E2274" s="3" t="s">
        <v>4527</v>
      </c>
      <c r="F2274" s="3" t="s">
        <v>837</v>
      </c>
      <c r="G2274" s="3" t="s">
        <v>349</v>
      </c>
      <c r="H2274" s="3">
        <v>0.5</v>
      </c>
      <c r="I2274" s="3">
        <v>0</v>
      </c>
      <c r="J2274" s="3" t="s">
        <v>18</v>
      </c>
      <c r="K2274" s="5">
        <v>0.04</v>
      </c>
      <c r="L2274" s="6">
        <v>4690654008628</v>
      </c>
      <c r="M2274" s="7" t="s">
        <v>4525</v>
      </c>
      <c r="N2274" s="8">
        <f>VLOOKUP(B2274,'[1]новый без картинок'!$A$5:$F$2672,6,0)</f>
        <v>294</v>
      </c>
    </row>
    <row r="2275" spans="1:14" ht="149.44999999999999" customHeight="1" x14ac:dyDescent="0.2">
      <c r="A2275" s="3">
        <v>2273</v>
      </c>
      <c r="B2275" s="3">
        <v>175981</v>
      </c>
      <c r="C2275" s="4" t="str">
        <f>HYPERLINK("http://optservis.net:5080/photo?tov_code_internet=175981","Увеличить")</f>
        <v>Увеличить</v>
      </c>
      <c r="D2275" s="3" t="s">
        <v>4528</v>
      </c>
      <c r="E2275" s="3" t="s">
        <v>4529</v>
      </c>
      <c r="F2275" s="3" t="s">
        <v>4524</v>
      </c>
      <c r="G2275" s="3" t="s">
        <v>349</v>
      </c>
      <c r="H2275" s="3">
        <v>0.5</v>
      </c>
      <c r="I2275" s="3">
        <v>0</v>
      </c>
      <c r="J2275" s="3" t="s">
        <v>18</v>
      </c>
      <c r="K2275" s="5">
        <v>0.03</v>
      </c>
      <c r="L2275" s="6">
        <v>4690654010423</v>
      </c>
      <c r="M2275" s="7" t="s">
        <v>4530</v>
      </c>
      <c r="N2275" s="8">
        <f>VLOOKUP(B2275,'[1]новый без картинок'!$A$5:$F$2672,6,0)</f>
        <v>218</v>
      </c>
    </row>
    <row r="2276" spans="1:14" ht="146.65" customHeight="1" x14ac:dyDescent="0.2">
      <c r="A2276" s="3">
        <v>2274</v>
      </c>
      <c r="B2276" s="3">
        <v>929733</v>
      </c>
      <c r="C2276" s="4" t="str">
        <f>HYPERLINK("http://optservis.net:5080/photo?tov_code_internet=929733","Увеличить")</f>
        <v>Увеличить</v>
      </c>
      <c r="D2276" s="3" t="s">
        <v>4531</v>
      </c>
      <c r="E2276" s="3" t="s">
        <v>4532</v>
      </c>
      <c r="F2276" s="3" t="s">
        <v>4502</v>
      </c>
      <c r="G2276" s="3" t="s">
        <v>175</v>
      </c>
      <c r="H2276" s="3">
        <v>0.5</v>
      </c>
      <c r="I2276" s="3">
        <v>0</v>
      </c>
      <c r="J2276" s="3" t="s">
        <v>18</v>
      </c>
      <c r="K2276" s="5">
        <v>0.04</v>
      </c>
      <c r="L2276" s="6">
        <v>4640020774190</v>
      </c>
      <c r="M2276" s="7" t="s">
        <v>4533</v>
      </c>
      <c r="N2276" s="8">
        <f>VLOOKUP(B2276,'[1]новый без картинок'!$A$5:$F$2672,6,0)</f>
        <v>373</v>
      </c>
    </row>
    <row r="2277" spans="1:14" ht="151.15" customHeight="1" x14ac:dyDescent="0.2">
      <c r="A2277" s="3">
        <v>2275</v>
      </c>
      <c r="B2277" s="3">
        <v>936274</v>
      </c>
      <c r="C2277" s="4" t="str">
        <f>HYPERLINK("http://optservis.net:5080/photo?tov_code_internet=936274","Увеличить")</f>
        <v>Увеличить</v>
      </c>
      <c r="D2277" s="3" t="s">
        <v>4534</v>
      </c>
      <c r="E2277" s="3" t="s">
        <v>4535</v>
      </c>
      <c r="F2277" s="3" t="s">
        <v>4536</v>
      </c>
      <c r="G2277" s="3" t="s">
        <v>4537</v>
      </c>
      <c r="H2277" s="3">
        <v>0.5</v>
      </c>
      <c r="I2277" s="3">
        <v>0</v>
      </c>
      <c r="J2277" s="3" t="s">
        <v>18</v>
      </c>
      <c r="K2277" s="5">
        <v>0.05</v>
      </c>
      <c r="L2277" s="6">
        <v>4640020773865</v>
      </c>
      <c r="M2277" s="7" t="s">
        <v>4538</v>
      </c>
      <c r="N2277" s="8">
        <f>VLOOKUP(B2277,'[1]новый без картинок'!$A$5:$F$2672,6,0)</f>
        <v>456</v>
      </c>
    </row>
    <row r="2278" spans="1:14" ht="157.5" customHeight="1" x14ac:dyDescent="0.2">
      <c r="A2278" s="3">
        <v>2276</v>
      </c>
      <c r="B2278" s="3">
        <v>193469</v>
      </c>
      <c r="C2278" s="4" t="str">
        <f>HYPERLINK("http://optservis.net:5080/photo?tov_code_internet=193469","Увеличить")</f>
        <v>Увеличить</v>
      </c>
      <c r="D2278" s="3" t="s">
        <v>4539</v>
      </c>
      <c r="E2278" s="3"/>
      <c r="F2278" s="3" t="s">
        <v>4540</v>
      </c>
      <c r="G2278" s="3" t="s">
        <v>175</v>
      </c>
      <c r="H2278" s="3">
        <v>0.33300000000000002</v>
      </c>
      <c r="I2278" s="3">
        <v>0</v>
      </c>
      <c r="J2278" s="3" t="s">
        <v>18</v>
      </c>
      <c r="K2278" s="5">
        <v>0.03</v>
      </c>
      <c r="L2278" s="6">
        <v>0</v>
      </c>
      <c r="M2278" s="7" t="s">
        <v>4541</v>
      </c>
      <c r="N2278" s="8">
        <f>VLOOKUP(B2278,'[1]новый без картинок'!$A$5:$F$2672,6,0)</f>
        <v>372</v>
      </c>
    </row>
    <row r="2279" spans="1:14" ht="157.5" customHeight="1" x14ac:dyDescent="0.2">
      <c r="A2279" s="3">
        <v>2277</v>
      </c>
      <c r="B2279" s="3">
        <v>164145</v>
      </c>
      <c r="C2279" s="4" t="str">
        <f>HYPERLINK("http://optservis.net:5080/photo?tov_code_internet=164145","Увеличить")</f>
        <v>Увеличить</v>
      </c>
      <c r="D2279" s="3" t="s">
        <v>4542</v>
      </c>
      <c r="E2279" s="3" t="s">
        <v>4543</v>
      </c>
      <c r="F2279" s="3" t="s">
        <v>4544</v>
      </c>
      <c r="G2279" s="3" t="s">
        <v>175</v>
      </c>
      <c r="H2279" s="3">
        <v>0.5</v>
      </c>
      <c r="I2279" s="3">
        <v>0</v>
      </c>
      <c r="J2279" s="3" t="s">
        <v>18</v>
      </c>
      <c r="K2279" s="5">
        <v>0.06</v>
      </c>
      <c r="L2279" s="6">
        <v>4690654009830</v>
      </c>
      <c r="M2279" s="7" t="s">
        <v>4545</v>
      </c>
      <c r="N2279" s="8">
        <f>VLOOKUP(B2279,'[1]новый без картинок'!$A$5:$F$2672,6,0)</f>
        <v>420</v>
      </c>
    </row>
    <row r="2280" spans="1:14" ht="157.5" customHeight="1" x14ac:dyDescent="0.2">
      <c r="A2280" s="3">
        <v>2278</v>
      </c>
      <c r="B2280" s="3">
        <v>164058</v>
      </c>
      <c r="C2280" s="4" t="str">
        <f>HYPERLINK("http://optservis.net:5080/photo?tov_code_internet=164058","Увеличить")</f>
        <v>Увеличить</v>
      </c>
      <c r="D2280" s="3" t="s">
        <v>4542</v>
      </c>
      <c r="E2280" s="3" t="s">
        <v>4543</v>
      </c>
      <c r="F2280" s="3" t="s">
        <v>4502</v>
      </c>
      <c r="G2280" s="3" t="s">
        <v>175</v>
      </c>
      <c r="H2280" s="3">
        <v>0.5</v>
      </c>
      <c r="I2280" s="3">
        <v>0</v>
      </c>
      <c r="J2280" s="3" t="s">
        <v>18</v>
      </c>
      <c r="K2280" s="5">
        <v>0.06</v>
      </c>
      <c r="L2280" s="6">
        <v>4690654009434</v>
      </c>
      <c r="M2280" s="7" t="s">
        <v>4545</v>
      </c>
      <c r="N2280" s="8">
        <f>VLOOKUP(B2280,'[1]новый без картинок'!$A$5:$F$2672,6,0)</f>
        <v>421</v>
      </c>
    </row>
    <row r="2281" spans="1:14" ht="145.9" customHeight="1" x14ac:dyDescent="0.2">
      <c r="A2281" s="3">
        <v>2279</v>
      </c>
      <c r="B2281" s="3">
        <v>189690</v>
      </c>
      <c r="C2281" s="4" t="str">
        <f>HYPERLINK("http://optservis.net:5080/photo?tov_code_internet=189690","Увеличить")</f>
        <v>Увеличить</v>
      </c>
      <c r="D2281" s="3" t="s">
        <v>4546</v>
      </c>
      <c r="E2281" s="3" t="s">
        <v>4547</v>
      </c>
      <c r="F2281" s="3" t="s">
        <v>4548</v>
      </c>
      <c r="G2281" s="3" t="s">
        <v>502</v>
      </c>
      <c r="H2281" s="3">
        <v>0.5</v>
      </c>
      <c r="I2281" s="3">
        <v>0</v>
      </c>
      <c r="J2281" s="3" t="s">
        <v>18</v>
      </c>
      <c r="K2281" s="5">
        <v>0.06</v>
      </c>
      <c r="L2281" s="6">
        <v>4690654014872</v>
      </c>
      <c r="M2281" s="7" t="s">
        <v>4549</v>
      </c>
      <c r="N2281" s="8">
        <f>VLOOKUP(B2281,'[1]новый без картинок'!$A$5:$F$2672,6,0)</f>
        <v>514</v>
      </c>
    </row>
    <row r="2282" spans="1:14" ht="157.5" customHeight="1" x14ac:dyDescent="0.2">
      <c r="A2282" s="3">
        <v>2280</v>
      </c>
      <c r="B2282" s="3">
        <v>164143</v>
      </c>
      <c r="C2282" s="4" t="str">
        <f>HYPERLINK("http://optservis.net:5080/photo?tov_code_internet=164143","Увеличить")</f>
        <v>Увеличить</v>
      </c>
      <c r="D2282" s="3" t="s">
        <v>4550</v>
      </c>
      <c r="E2282" s="3" t="s">
        <v>4551</v>
      </c>
      <c r="F2282" s="3" t="s">
        <v>4552</v>
      </c>
      <c r="G2282" s="3" t="s">
        <v>502</v>
      </c>
      <c r="H2282" s="3">
        <v>0.5</v>
      </c>
      <c r="I2282" s="3">
        <v>0</v>
      </c>
      <c r="J2282" s="3" t="s">
        <v>18</v>
      </c>
      <c r="K2282" s="5">
        <v>0.06</v>
      </c>
      <c r="L2282" s="6">
        <v>4690654009847</v>
      </c>
      <c r="M2282" s="7" t="s">
        <v>4553</v>
      </c>
      <c r="N2282" s="8">
        <f>VLOOKUP(B2282,'[1]новый без картинок'!$A$5:$F$2672,6,0)</f>
        <v>502</v>
      </c>
    </row>
    <row r="2283" spans="1:14" ht="157.5" customHeight="1" x14ac:dyDescent="0.2">
      <c r="A2283" s="3">
        <v>2281</v>
      </c>
      <c r="B2283" s="3">
        <v>176530</v>
      </c>
      <c r="C2283" s="4" t="str">
        <f>HYPERLINK("http://optservis.net:5080/photo?tov_code_internet=176530","Увеличить")</f>
        <v>Увеличить</v>
      </c>
      <c r="D2283" s="3" t="s">
        <v>4550</v>
      </c>
      <c r="E2283" s="3" t="s">
        <v>4551</v>
      </c>
      <c r="F2283" s="3" t="s">
        <v>4554</v>
      </c>
      <c r="G2283" s="3" t="s">
        <v>502</v>
      </c>
      <c r="H2283" s="3">
        <v>0.5</v>
      </c>
      <c r="I2283" s="3">
        <v>0</v>
      </c>
      <c r="J2283" s="3" t="s">
        <v>18</v>
      </c>
      <c r="K2283" s="5">
        <v>0.06</v>
      </c>
      <c r="L2283" s="6">
        <v>4690654014100</v>
      </c>
      <c r="M2283" s="7" t="s">
        <v>4553</v>
      </c>
      <c r="N2283" s="8">
        <f>VLOOKUP(B2283,'[1]новый без картинок'!$A$5:$F$2672,6,0)</f>
        <v>486</v>
      </c>
    </row>
    <row r="2284" spans="1:14" ht="157.5" customHeight="1" x14ac:dyDescent="0.2">
      <c r="A2284" s="3">
        <v>2282</v>
      </c>
      <c r="B2284" s="3">
        <v>214605</v>
      </c>
      <c r="C2284" s="4" t="str">
        <f>HYPERLINK("http://optservis.net:5080/photo?tov_code_internet=214605","Увеличить")</f>
        <v>Увеличить</v>
      </c>
      <c r="D2284" s="3" t="s">
        <v>4555</v>
      </c>
      <c r="E2284" s="3"/>
      <c r="F2284" s="3" t="s">
        <v>4556</v>
      </c>
      <c r="G2284" s="3" t="s">
        <v>175</v>
      </c>
      <c r="H2284" s="3">
        <v>0.2</v>
      </c>
      <c r="I2284" s="3">
        <v>0</v>
      </c>
      <c r="J2284" s="3" t="s">
        <v>18</v>
      </c>
      <c r="K2284" s="5">
        <v>0.02</v>
      </c>
      <c r="L2284" s="6">
        <v>0</v>
      </c>
      <c r="M2284" s="7" t="s">
        <v>4557</v>
      </c>
      <c r="N2284" s="8">
        <f>VLOOKUP(B2284,'[1]новый без картинок'!$A$5:$F$2672,6,0)</f>
        <v>459</v>
      </c>
    </row>
    <row r="2285" spans="1:14" ht="157.5" customHeight="1" x14ac:dyDescent="0.2">
      <c r="A2285" s="3">
        <v>2283</v>
      </c>
      <c r="B2285" s="3">
        <v>214606</v>
      </c>
      <c r="C2285" s="4" t="str">
        <f>HYPERLINK("http://optservis.net:5080/photo?tov_code_internet=214606","Увеличить")</f>
        <v>Увеличить</v>
      </c>
      <c r="D2285" s="3" t="s">
        <v>4555</v>
      </c>
      <c r="E2285" s="3"/>
      <c r="F2285" s="3" t="s">
        <v>4558</v>
      </c>
      <c r="G2285" s="3" t="s">
        <v>175</v>
      </c>
      <c r="H2285" s="3">
        <v>0.2</v>
      </c>
      <c r="I2285" s="3">
        <v>0</v>
      </c>
      <c r="J2285" s="3" t="s">
        <v>18</v>
      </c>
      <c r="K2285" s="5">
        <v>0.02</v>
      </c>
      <c r="L2285" s="6">
        <v>0</v>
      </c>
      <c r="M2285" s="7" t="s">
        <v>4557</v>
      </c>
      <c r="N2285" s="8">
        <f>VLOOKUP(B2285,'[1]новый без картинок'!$A$5:$F$2672,6,0)</f>
        <v>459</v>
      </c>
    </row>
    <row r="2286" spans="1:14" ht="157.5" customHeight="1" x14ac:dyDescent="0.2">
      <c r="A2286" s="3">
        <v>2284</v>
      </c>
      <c r="B2286" s="3">
        <v>211171</v>
      </c>
      <c r="C2286" s="4" t="str">
        <f>HYPERLINK("http://optservis.net:5080/photo?tov_code_internet=211171","Увеличить")</f>
        <v>Увеличить</v>
      </c>
      <c r="D2286" s="3" t="s">
        <v>4559</v>
      </c>
      <c r="E2286" s="3"/>
      <c r="F2286" s="3" t="s">
        <v>4560</v>
      </c>
      <c r="G2286" s="3" t="s">
        <v>502</v>
      </c>
      <c r="H2286" s="3">
        <v>0.2</v>
      </c>
      <c r="I2286" s="3">
        <v>0</v>
      </c>
      <c r="J2286" s="3" t="s">
        <v>18</v>
      </c>
      <c r="K2286" s="5">
        <v>0.02</v>
      </c>
      <c r="L2286" s="6">
        <v>0</v>
      </c>
      <c r="M2286" s="7" t="s">
        <v>4561</v>
      </c>
      <c r="N2286" s="8">
        <f>VLOOKUP(B2286,'[1]новый без картинок'!$A$5:$F$2672,6,0)</f>
        <v>610</v>
      </c>
    </row>
    <row r="2287" spans="1:14" ht="157.5" customHeight="1" x14ac:dyDescent="0.2">
      <c r="A2287" s="3">
        <v>2285</v>
      </c>
      <c r="B2287" s="3">
        <v>211172</v>
      </c>
      <c r="C2287" s="4" t="str">
        <f>HYPERLINK("http://optservis.net:5080/photo?tov_code_internet=211172","Увеличить")</f>
        <v>Увеличить</v>
      </c>
      <c r="D2287" s="3" t="s">
        <v>4559</v>
      </c>
      <c r="E2287" s="3"/>
      <c r="F2287" s="3" t="s">
        <v>4562</v>
      </c>
      <c r="G2287" s="3" t="s">
        <v>502</v>
      </c>
      <c r="H2287" s="3">
        <v>0.2</v>
      </c>
      <c r="I2287" s="3">
        <v>0</v>
      </c>
      <c r="J2287" s="3" t="s">
        <v>18</v>
      </c>
      <c r="K2287" s="5">
        <v>0.02</v>
      </c>
      <c r="L2287" s="6">
        <v>0</v>
      </c>
      <c r="M2287" s="7" t="s">
        <v>4561</v>
      </c>
      <c r="N2287" s="8">
        <f>VLOOKUP(B2287,'[1]новый без картинок'!$A$5:$F$2672,6,0)</f>
        <v>610</v>
      </c>
    </row>
    <row r="2288" spans="1:14" ht="151.15" customHeight="1" x14ac:dyDescent="0.2">
      <c r="A2288" s="3">
        <v>2286</v>
      </c>
      <c r="B2288" s="3">
        <v>145448</v>
      </c>
      <c r="C2288" s="4" t="str">
        <f>HYPERLINK("http://optservis.net:5080/photo?tov_code_internet=145448","Увеличить")</f>
        <v>Увеличить</v>
      </c>
      <c r="D2288" s="3" t="s">
        <v>4563</v>
      </c>
      <c r="E2288" s="3" t="s">
        <v>4564</v>
      </c>
      <c r="F2288" s="3" t="s">
        <v>4565</v>
      </c>
      <c r="G2288" s="3" t="s">
        <v>502</v>
      </c>
      <c r="H2288" s="3">
        <v>0.5</v>
      </c>
      <c r="I2288" s="3">
        <v>0</v>
      </c>
      <c r="J2288" s="3" t="s">
        <v>18</v>
      </c>
      <c r="K2288" s="5">
        <v>0.03</v>
      </c>
      <c r="L2288" s="6">
        <v>4690654005689</v>
      </c>
      <c r="M2288" s="7" t="s">
        <v>4566</v>
      </c>
      <c r="N2288" s="8">
        <f>VLOOKUP(B2288,'[1]новый без картинок'!$A$5:$F$2672,6,0)</f>
        <v>304</v>
      </c>
    </row>
    <row r="2289" spans="1:14" ht="151.15" customHeight="1" x14ac:dyDescent="0.2">
      <c r="A2289" s="3">
        <v>2287</v>
      </c>
      <c r="B2289" s="3">
        <v>987465</v>
      </c>
      <c r="C2289" s="4" t="str">
        <f>HYPERLINK("http://optservis.net:5080/photo?tov_code_internet=987465","Увеличить")</f>
        <v>Увеличить</v>
      </c>
      <c r="D2289" s="3" t="s">
        <v>4567</v>
      </c>
      <c r="E2289" s="3" t="s">
        <v>4568</v>
      </c>
      <c r="F2289" s="3" t="s">
        <v>4511</v>
      </c>
      <c r="G2289" s="3" t="s">
        <v>175</v>
      </c>
      <c r="H2289" s="3">
        <v>0.5</v>
      </c>
      <c r="I2289" s="3">
        <v>0</v>
      </c>
      <c r="J2289" s="3" t="s">
        <v>18</v>
      </c>
      <c r="K2289" s="5">
        <v>0.04</v>
      </c>
      <c r="L2289" s="6">
        <v>4690654001681</v>
      </c>
      <c r="M2289" s="7" t="s">
        <v>4569</v>
      </c>
      <c r="N2289" s="8">
        <f>VLOOKUP(B2289,'[1]новый без картинок'!$A$5:$F$2672,6,0)</f>
        <v>320</v>
      </c>
    </row>
    <row r="2290" spans="1:14" ht="138.6" customHeight="1" x14ac:dyDescent="0.2">
      <c r="A2290" s="3">
        <v>2288</v>
      </c>
      <c r="B2290" s="3">
        <v>929734</v>
      </c>
      <c r="C2290" s="4" t="str">
        <f>HYPERLINK("http://optservis.net:5080/photo?tov_code_internet=929734","Увеличить")</f>
        <v>Увеличить</v>
      </c>
      <c r="D2290" s="3" t="s">
        <v>4570</v>
      </c>
      <c r="E2290" s="3" t="s">
        <v>4571</v>
      </c>
      <c r="F2290" s="3" t="s">
        <v>4520</v>
      </c>
      <c r="G2290" s="3" t="s">
        <v>175</v>
      </c>
      <c r="H2290" s="3">
        <v>0.5</v>
      </c>
      <c r="I2290" s="3">
        <v>0</v>
      </c>
      <c r="J2290" s="3" t="s">
        <v>18</v>
      </c>
      <c r="K2290" s="5">
        <v>0.04</v>
      </c>
      <c r="L2290" s="6">
        <v>4640020779546</v>
      </c>
      <c r="M2290" s="7" t="s">
        <v>4572</v>
      </c>
      <c r="N2290" s="8">
        <f>VLOOKUP(B2290,'[1]новый без картинок'!$A$5:$F$2672,6,0)</f>
        <v>403</v>
      </c>
    </row>
    <row r="2291" spans="1:14" ht="151.15" customHeight="1" x14ac:dyDescent="0.2">
      <c r="A2291" s="3">
        <v>2289</v>
      </c>
      <c r="B2291" s="3">
        <v>984883</v>
      </c>
      <c r="C2291" s="4" t="str">
        <f>HYPERLINK("http://optservis.net:5080/photo?tov_code_internet=984883","Увеличить")</f>
        <v>Увеличить</v>
      </c>
      <c r="D2291" s="3" t="s">
        <v>4573</v>
      </c>
      <c r="E2291" s="3" t="s">
        <v>4574</v>
      </c>
      <c r="F2291" s="3" t="s">
        <v>4575</v>
      </c>
      <c r="G2291" s="3" t="s">
        <v>502</v>
      </c>
      <c r="H2291" s="3">
        <v>0.5</v>
      </c>
      <c r="I2291" s="3">
        <v>0</v>
      </c>
      <c r="J2291" s="3" t="s">
        <v>18</v>
      </c>
      <c r="K2291" s="5">
        <v>0.03</v>
      </c>
      <c r="L2291" s="6">
        <v>4690654003814</v>
      </c>
      <c r="M2291" s="7" t="s">
        <v>4576</v>
      </c>
      <c r="N2291" s="8">
        <f>VLOOKUP(B2291,'[1]новый без картинок'!$A$5:$F$2672,6,0)</f>
        <v>378</v>
      </c>
    </row>
    <row r="2292" spans="1:14" ht="157.5" customHeight="1" x14ac:dyDescent="0.2">
      <c r="A2292" s="3">
        <v>2290</v>
      </c>
      <c r="B2292" s="3">
        <v>212663</v>
      </c>
      <c r="C2292" s="4" t="str">
        <f>HYPERLINK("http://optservis.net:5080/photo?tov_code_internet=212663","Увеличить")</f>
        <v>Увеличить</v>
      </c>
      <c r="D2292" s="3" t="s">
        <v>4577</v>
      </c>
      <c r="E2292" s="3"/>
      <c r="F2292" s="3" t="s">
        <v>4578</v>
      </c>
      <c r="G2292" s="3" t="s">
        <v>175</v>
      </c>
      <c r="H2292" s="3">
        <v>0.2</v>
      </c>
      <c r="I2292" s="3">
        <v>0</v>
      </c>
      <c r="J2292" s="3" t="s">
        <v>18</v>
      </c>
      <c r="K2292" s="5">
        <v>0.02</v>
      </c>
      <c r="L2292" s="6">
        <v>0</v>
      </c>
      <c r="M2292" s="7" t="s">
        <v>4579</v>
      </c>
      <c r="N2292" s="8">
        <f>VLOOKUP(B2292,'[1]новый без картинок'!$A$5:$F$2672,6,0)</f>
        <v>449</v>
      </c>
    </row>
    <row r="2293" spans="1:14" ht="157.5" customHeight="1" x14ac:dyDescent="0.2">
      <c r="A2293" s="3">
        <v>2291</v>
      </c>
      <c r="B2293" s="3">
        <v>203676</v>
      </c>
      <c r="C2293" s="4" t="str">
        <f>HYPERLINK("http://optservis.net:5080/photo?tov_code_internet=203676","Увеличить")</f>
        <v>Увеличить</v>
      </c>
      <c r="D2293" s="3" t="s">
        <v>4580</v>
      </c>
      <c r="E2293" s="3"/>
      <c r="F2293" s="3" t="s">
        <v>4581</v>
      </c>
      <c r="G2293" s="3" t="s">
        <v>502</v>
      </c>
      <c r="H2293" s="3">
        <v>0.2</v>
      </c>
      <c r="I2293" s="3">
        <v>0</v>
      </c>
      <c r="J2293" s="3" t="s">
        <v>18</v>
      </c>
      <c r="K2293" s="5">
        <v>0.02</v>
      </c>
      <c r="L2293" s="6">
        <v>0</v>
      </c>
      <c r="M2293" s="7" t="s">
        <v>4582</v>
      </c>
      <c r="N2293" s="8">
        <f>VLOOKUP(B2293,'[1]новый без картинок'!$A$5:$F$2672,6,0)</f>
        <v>441</v>
      </c>
    </row>
    <row r="2294" spans="1:14" ht="157.5" customHeight="1" x14ac:dyDescent="0.2">
      <c r="A2294" s="3">
        <v>2292</v>
      </c>
      <c r="B2294" s="3">
        <v>208863</v>
      </c>
      <c r="C2294" s="4" t="str">
        <f>HYPERLINK("http://optservis.net:5080/photo?tov_code_internet=208863","Увеличить")</f>
        <v>Увеличить</v>
      </c>
      <c r="D2294" s="3" t="s">
        <v>4580</v>
      </c>
      <c r="E2294" s="3"/>
      <c r="F2294" s="3" t="s">
        <v>4583</v>
      </c>
      <c r="G2294" s="3" t="s">
        <v>502</v>
      </c>
      <c r="H2294" s="3">
        <v>0.2</v>
      </c>
      <c r="I2294" s="3">
        <v>0</v>
      </c>
      <c r="J2294" s="3" t="s">
        <v>18</v>
      </c>
      <c r="K2294" s="5">
        <v>0.02</v>
      </c>
      <c r="L2294" s="6">
        <v>0</v>
      </c>
      <c r="M2294" s="7" t="s">
        <v>4584</v>
      </c>
      <c r="N2294" s="8">
        <f>VLOOKUP(B2294,'[1]новый без картинок'!$A$5:$F$2672,6,0)</f>
        <v>455</v>
      </c>
    </row>
    <row r="2295" spans="1:14" ht="157.5" customHeight="1" x14ac:dyDescent="0.2">
      <c r="A2295" s="3">
        <v>2293</v>
      </c>
      <c r="B2295" s="3">
        <v>203677</v>
      </c>
      <c r="C2295" s="4" t="str">
        <f>HYPERLINK("http://optservis.net:5080/photo?tov_code_internet=203677","Увеличить")</f>
        <v>Увеличить</v>
      </c>
      <c r="D2295" s="3" t="s">
        <v>4580</v>
      </c>
      <c r="E2295" s="3" t="s">
        <v>4585</v>
      </c>
      <c r="F2295" s="3" t="s">
        <v>4586</v>
      </c>
      <c r="G2295" s="3" t="s">
        <v>502</v>
      </c>
      <c r="H2295" s="3">
        <v>0.2</v>
      </c>
      <c r="I2295" s="3">
        <v>0</v>
      </c>
      <c r="J2295" s="3" t="s">
        <v>18</v>
      </c>
      <c r="K2295" s="5">
        <v>0.02</v>
      </c>
      <c r="L2295" s="6">
        <v>4690654017125</v>
      </c>
      <c r="M2295" s="7" t="s">
        <v>4582</v>
      </c>
      <c r="N2295" s="8">
        <f>VLOOKUP(B2295,'[1]новый без картинок'!$A$5:$F$2672,6,0)</f>
        <v>471</v>
      </c>
    </row>
    <row r="2296" spans="1:14" ht="157.5" customHeight="1" x14ac:dyDescent="0.2">
      <c r="A2296" s="3">
        <v>2294</v>
      </c>
      <c r="B2296" s="3">
        <v>200608</v>
      </c>
      <c r="C2296" s="4" t="str">
        <f>HYPERLINK("http://optservis.net:5080/photo?tov_code_internet=200608","Увеличить")</f>
        <v>Увеличить</v>
      </c>
      <c r="D2296" s="3" t="s">
        <v>4580</v>
      </c>
      <c r="E2296" s="3" t="s">
        <v>4585</v>
      </c>
      <c r="F2296" s="3" t="s">
        <v>4587</v>
      </c>
      <c r="G2296" s="3" t="s">
        <v>502</v>
      </c>
      <c r="H2296" s="3">
        <v>0.2</v>
      </c>
      <c r="I2296" s="3">
        <v>0</v>
      </c>
      <c r="J2296" s="3" t="s">
        <v>18</v>
      </c>
      <c r="K2296" s="5">
        <v>0.02</v>
      </c>
      <c r="L2296" s="6">
        <v>4690654017118</v>
      </c>
      <c r="M2296" s="7" t="s">
        <v>4588</v>
      </c>
      <c r="N2296" s="8">
        <f>VLOOKUP(B2296,'[1]новый без картинок'!$A$5:$F$2672,6,0)</f>
        <v>481</v>
      </c>
    </row>
    <row r="2297" spans="1:14" ht="157.5" customHeight="1" x14ac:dyDescent="0.2">
      <c r="A2297" s="3">
        <v>2295</v>
      </c>
      <c r="B2297" s="3">
        <v>208862</v>
      </c>
      <c r="C2297" s="4" t="str">
        <f>HYPERLINK("http://optservis.net:5080/photo?tov_code_internet=208862","Увеличить")</f>
        <v>Увеличить</v>
      </c>
      <c r="D2297" s="3" t="s">
        <v>4580</v>
      </c>
      <c r="E2297" s="3" t="s">
        <v>4585</v>
      </c>
      <c r="F2297" s="3" t="s">
        <v>4589</v>
      </c>
      <c r="G2297" s="3" t="s">
        <v>502</v>
      </c>
      <c r="H2297" s="3">
        <v>0.2</v>
      </c>
      <c r="I2297" s="3">
        <v>0</v>
      </c>
      <c r="J2297" s="3" t="s">
        <v>18</v>
      </c>
      <c r="K2297" s="5">
        <v>0.02</v>
      </c>
      <c r="L2297" s="6">
        <v>4690654019303</v>
      </c>
      <c r="M2297" s="7" t="s">
        <v>4584</v>
      </c>
      <c r="N2297" s="8">
        <f>VLOOKUP(B2297,'[1]новый без картинок'!$A$5:$F$2672,6,0)</f>
        <v>485</v>
      </c>
    </row>
    <row r="2298" spans="1:14" ht="157.5" customHeight="1" x14ac:dyDescent="0.2">
      <c r="A2298" s="3">
        <v>2296</v>
      </c>
      <c r="B2298" s="3">
        <v>200609</v>
      </c>
      <c r="C2298" s="4" t="str">
        <f>HYPERLINK("http://optservis.net:5080/photo?tov_code_internet=200609","Увеличить")</f>
        <v>Увеличить</v>
      </c>
      <c r="D2298" s="3" t="s">
        <v>4580</v>
      </c>
      <c r="E2298" s="3" t="s">
        <v>4585</v>
      </c>
      <c r="F2298" s="3" t="s">
        <v>4590</v>
      </c>
      <c r="G2298" s="3" t="s">
        <v>502</v>
      </c>
      <c r="H2298" s="3">
        <v>0.2</v>
      </c>
      <c r="I2298" s="3">
        <v>0</v>
      </c>
      <c r="J2298" s="3" t="s">
        <v>18</v>
      </c>
      <c r="K2298" s="5">
        <v>0.02</v>
      </c>
      <c r="L2298" s="6">
        <v>4690654019693</v>
      </c>
      <c r="M2298" s="7" t="s">
        <v>4588</v>
      </c>
      <c r="N2298" s="8">
        <f>VLOOKUP(B2298,'[1]новый без картинок'!$A$5:$F$2672,6,0)</f>
        <v>451</v>
      </c>
    </row>
    <row r="2299" spans="1:14" ht="157.5" customHeight="1" x14ac:dyDescent="0.2">
      <c r="A2299" s="3">
        <v>2297</v>
      </c>
      <c r="B2299" s="3">
        <v>196194</v>
      </c>
      <c r="C2299" s="4" t="str">
        <f>HYPERLINK("http://optservis.net:5080/photo?tov_code_internet=196194","Увеличить")</f>
        <v>Увеличить</v>
      </c>
      <c r="D2299" s="3" t="s">
        <v>4591</v>
      </c>
      <c r="E2299" s="3" t="s">
        <v>4592</v>
      </c>
      <c r="F2299" s="3" t="s">
        <v>4593</v>
      </c>
      <c r="G2299" s="3" t="s">
        <v>4594</v>
      </c>
      <c r="H2299" s="3">
        <v>0.2</v>
      </c>
      <c r="I2299" s="3">
        <v>0</v>
      </c>
      <c r="J2299" s="3" t="s">
        <v>18</v>
      </c>
      <c r="K2299" s="5">
        <v>0.03</v>
      </c>
      <c r="L2299" s="6">
        <v>4690654020446</v>
      </c>
      <c r="M2299" s="7" t="s">
        <v>4595</v>
      </c>
      <c r="N2299" s="8">
        <f>VLOOKUP(B2299,'[1]новый без картинок'!$A$5:$F$2672,6,0)</f>
        <v>1069</v>
      </c>
    </row>
    <row r="2300" spans="1:14" ht="157.5" customHeight="1" x14ac:dyDescent="0.2">
      <c r="A2300" s="3">
        <v>2298</v>
      </c>
      <c r="B2300" s="3">
        <v>196205</v>
      </c>
      <c r="C2300" s="4" t="str">
        <f>HYPERLINK("http://optservis.net:5080/photo?tov_code_internet=196205","Увеличить")</f>
        <v>Увеличить</v>
      </c>
      <c r="D2300" s="3" t="s">
        <v>4596</v>
      </c>
      <c r="E2300" s="3"/>
      <c r="F2300" s="3" t="s">
        <v>4597</v>
      </c>
      <c r="G2300" s="3" t="s">
        <v>4594</v>
      </c>
      <c r="H2300" s="3">
        <v>0.2</v>
      </c>
      <c r="I2300" s="3">
        <v>0</v>
      </c>
      <c r="J2300" s="3" t="s">
        <v>18</v>
      </c>
      <c r="K2300" s="5">
        <v>0.03</v>
      </c>
      <c r="L2300" s="6">
        <v>0</v>
      </c>
      <c r="M2300" s="7" t="s">
        <v>4598</v>
      </c>
      <c r="N2300" s="8">
        <f>VLOOKUP(B2300,'[1]новый без картинок'!$A$5:$F$2672,6,0)</f>
        <v>1408</v>
      </c>
    </row>
    <row r="2301" spans="1:14" ht="153" customHeight="1" x14ac:dyDescent="0.2">
      <c r="A2301" s="3">
        <v>2299</v>
      </c>
      <c r="B2301" s="3">
        <v>195357</v>
      </c>
      <c r="C2301" s="4" t="str">
        <f>HYPERLINK("http://optservis.net:5080/photo?tov_code_internet=195357","Увеличить")</f>
        <v>Увеличить</v>
      </c>
      <c r="D2301" s="3" t="s">
        <v>4599</v>
      </c>
      <c r="E2301" s="3"/>
      <c r="F2301" s="3" t="s">
        <v>4600</v>
      </c>
      <c r="G2301" s="3" t="s">
        <v>4594</v>
      </c>
      <c r="H2301" s="3">
        <v>0.5</v>
      </c>
      <c r="I2301" s="3">
        <v>0</v>
      </c>
      <c r="J2301" s="3" t="s">
        <v>18</v>
      </c>
      <c r="K2301" s="5">
        <v>7.0000000000000007E-2</v>
      </c>
      <c r="L2301" s="6">
        <v>0</v>
      </c>
      <c r="M2301" s="7" t="s">
        <v>4601</v>
      </c>
      <c r="N2301" s="8">
        <f>VLOOKUP(B2301,'[1]новый без картинок'!$A$5:$F$2672,6,0)</f>
        <v>984</v>
      </c>
    </row>
    <row r="2302" spans="1:14" ht="151.15" customHeight="1" x14ac:dyDescent="0.2">
      <c r="A2302" s="3">
        <v>2300</v>
      </c>
      <c r="B2302" s="3">
        <v>156530</v>
      </c>
      <c r="C2302" s="4" t="str">
        <f>HYPERLINK("http://optservis.net:5080/photo?tov_code_internet=156530","Увеличить")</f>
        <v>Увеличить</v>
      </c>
      <c r="D2302" s="3" t="s">
        <v>4602</v>
      </c>
      <c r="E2302" s="3"/>
      <c r="F2302" s="3" t="s">
        <v>4603</v>
      </c>
      <c r="G2302" s="3" t="s">
        <v>665</v>
      </c>
      <c r="H2302" s="3">
        <v>0.5</v>
      </c>
      <c r="I2302" s="3">
        <v>0</v>
      </c>
      <c r="J2302" s="3" t="s">
        <v>18</v>
      </c>
      <c r="K2302" s="5">
        <v>0.05</v>
      </c>
      <c r="L2302" s="6">
        <v>0</v>
      </c>
      <c r="M2302" s="7" t="s">
        <v>4604</v>
      </c>
      <c r="N2302" s="8">
        <f>VLOOKUP(B2302,'[1]новый без картинок'!$A$5:$F$2672,6,0)</f>
        <v>607</v>
      </c>
    </row>
    <row r="2303" spans="1:14" ht="157.5" customHeight="1" x14ac:dyDescent="0.2">
      <c r="A2303" s="3">
        <v>2301</v>
      </c>
      <c r="B2303" s="3">
        <v>164511</v>
      </c>
      <c r="C2303" s="4" t="str">
        <f>HYPERLINK("http://optservis.net:5080/photo?tov_code_internet=164511","Увеличить")</f>
        <v>Увеличить</v>
      </c>
      <c r="D2303" s="3" t="s">
        <v>4605</v>
      </c>
      <c r="E2303" s="3" t="s">
        <v>4606</v>
      </c>
      <c r="F2303" s="3" t="s">
        <v>4607</v>
      </c>
      <c r="G2303" s="3" t="s">
        <v>4608</v>
      </c>
      <c r="H2303" s="3">
        <v>0.5</v>
      </c>
      <c r="I2303" s="3">
        <v>0</v>
      </c>
      <c r="J2303" s="3" t="s">
        <v>18</v>
      </c>
      <c r="K2303" s="5">
        <v>0.06</v>
      </c>
      <c r="L2303" s="6">
        <v>4690654007522</v>
      </c>
      <c r="M2303" s="7" t="s">
        <v>4609</v>
      </c>
      <c r="N2303" s="8">
        <f>VLOOKUP(B2303,'[1]новый без картинок'!$A$5:$F$2672,6,0)</f>
        <v>390</v>
      </c>
    </row>
    <row r="2304" spans="1:14" ht="151.15" customHeight="1" x14ac:dyDescent="0.2">
      <c r="A2304" s="3">
        <v>2302</v>
      </c>
      <c r="B2304" s="3">
        <v>984882</v>
      </c>
      <c r="C2304" s="4" t="str">
        <f>HYPERLINK("http://optservis.net:5080/photo?tov_code_internet=984882","Увеличить")</f>
        <v>Увеличить</v>
      </c>
      <c r="D2304" s="3" t="s">
        <v>4610</v>
      </c>
      <c r="E2304" s="3" t="s">
        <v>4611</v>
      </c>
      <c r="F2304" s="3" t="s">
        <v>4498</v>
      </c>
      <c r="G2304" s="3" t="s">
        <v>4499</v>
      </c>
      <c r="H2304" s="3">
        <v>0.5</v>
      </c>
      <c r="I2304" s="3">
        <v>0</v>
      </c>
      <c r="J2304" s="3" t="s">
        <v>18</v>
      </c>
      <c r="K2304" s="5">
        <v>0.04</v>
      </c>
      <c r="L2304" s="6">
        <v>4690654007539</v>
      </c>
      <c r="M2304" s="7" t="s">
        <v>4612</v>
      </c>
      <c r="N2304" s="8">
        <f>VLOOKUP(B2304,'[1]новый без картинок'!$A$5:$F$2672,6,0)</f>
        <v>369</v>
      </c>
    </row>
    <row r="2305" spans="1:14" ht="157.5" customHeight="1" x14ac:dyDescent="0.2">
      <c r="A2305" s="3">
        <v>2303</v>
      </c>
      <c r="B2305" s="3">
        <v>200606</v>
      </c>
      <c r="C2305" s="4" t="str">
        <f>HYPERLINK("http://optservis.net:5080/photo?tov_code_internet=200606","Увеличить")</f>
        <v>Увеличить</v>
      </c>
      <c r="D2305" s="3" t="s">
        <v>4613</v>
      </c>
      <c r="E2305" s="3"/>
      <c r="F2305" s="3" t="s">
        <v>4614</v>
      </c>
      <c r="G2305" s="3" t="s">
        <v>4615</v>
      </c>
      <c r="H2305" s="3">
        <v>0.2</v>
      </c>
      <c r="I2305" s="3">
        <v>0</v>
      </c>
      <c r="J2305" s="3" t="s">
        <v>18</v>
      </c>
      <c r="K2305" s="5">
        <v>0.02</v>
      </c>
      <c r="L2305" s="6">
        <v>0</v>
      </c>
      <c r="M2305" s="7" t="s">
        <v>4616</v>
      </c>
      <c r="N2305" s="8">
        <f>VLOOKUP(B2305,'[1]новый без картинок'!$A$5:$F$2672,6,0)</f>
        <v>538</v>
      </c>
    </row>
    <row r="2306" spans="1:14" ht="157.5" customHeight="1" x14ac:dyDescent="0.2">
      <c r="A2306" s="3">
        <v>2304</v>
      </c>
      <c r="B2306" s="3">
        <v>203680</v>
      </c>
      <c r="C2306" s="4" t="str">
        <f>HYPERLINK("http://optservis.net:5080/photo?tov_code_internet=203680","Увеличить")</f>
        <v>Увеличить</v>
      </c>
      <c r="D2306" s="3" t="s">
        <v>4613</v>
      </c>
      <c r="E2306" s="3" t="s">
        <v>4617</v>
      </c>
      <c r="F2306" s="3" t="s">
        <v>4618</v>
      </c>
      <c r="G2306" s="3" t="s">
        <v>4615</v>
      </c>
      <c r="H2306" s="3">
        <v>0.33300000000000002</v>
      </c>
      <c r="I2306" s="3">
        <v>0</v>
      </c>
      <c r="J2306" s="3" t="s">
        <v>18</v>
      </c>
      <c r="K2306" s="5">
        <v>0.03</v>
      </c>
      <c r="L2306" s="6">
        <v>4690654017675</v>
      </c>
      <c r="M2306" s="7" t="s">
        <v>4619</v>
      </c>
      <c r="N2306" s="8">
        <f>VLOOKUP(B2306,'[1]новый без картинок'!$A$5:$F$2672,6,0)</f>
        <v>528</v>
      </c>
    </row>
    <row r="2307" spans="1:14" ht="157.5" customHeight="1" x14ac:dyDescent="0.2">
      <c r="A2307" s="3">
        <v>2305</v>
      </c>
      <c r="B2307" s="3">
        <v>184503</v>
      </c>
      <c r="C2307" s="4" t="str">
        <f>HYPERLINK("http://optservis.net:5080/photo?tov_code_internet=184503","Увеличить")</f>
        <v>Увеличить</v>
      </c>
      <c r="D2307" s="3" t="s">
        <v>4620</v>
      </c>
      <c r="E2307" s="3"/>
      <c r="F2307" s="3" t="s">
        <v>4511</v>
      </c>
      <c r="G2307" s="3" t="s">
        <v>110</v>
      </c>
      <c r="H2307" s="3">
        <v>0.5</v>
      </c>
      <c r="I2307" s="3">
        <v>0</v>
      </c>
      <c r="J2307" s="3" t="s">
        <v>18</v>
      </c>
      <c r="K2307" s="5">
        <v>7.0000000000000007E-2</v>
      </c>
      <c r="L2307" s="6">
        <v>0</v>
      </c>
      <c r="M2307" s="7" t="s">
        <v>4621</v>
      </c>
      <c r="N2307" s="8">
        <f>VLOOKUP(B2307,'[1]новый без картинок'!$A$5:$F$2672,6,0)</f>
        <v>399</v>
      </c>
    </row>
    <row r="2308" spans="1:14" ht="157.5" customHeight="1" x14ac:dyDescent="0.2">
      <c r="A2308" s="3">
        <v>2306</v>
      </c>
      <c r="B2308" s="3">
        <v>174445</v>
      </c>
      <c r="C2308" s="4" t="str">
        <f>HYPERLINK("http://optservis.net:5080/photo?tov_code_internet=174445","Увеличить")</f>
        <v>Увеличить</v>
      </c>
      <c r="D2308" s="3" t="s">
        <v>4622</v>
      </c>
      <c r="E2308" s="3"/>
      <c r="F2308" s="3" t="s">
        <v>547</v>
      </c>
      <c r="G2308" s="3" t="s">
        <v>175</v>
      </c>
      <c r="H2308" s="3">
        <v>1</v>
      </c>
      <c r="I2308" s="3">
        <v>1</v>
      </c>
      <c r="J2308" s="3" t="s">
        <v>18</v>
      </c>
      <c r="K2308" s="5">
        <v>0.1</v>
      </c>
      <c r="L2308" s="6">
        <v>0</v>
      </c>
      <c r="M2308" s="7" t="s">
        <v>4623</v>
      </c>
      <c r="N2308" s="8">
        <f>VLOOKUP(B2308,'[1]новый без картинок'!$A$5:$F$2672,6,0)</f>
        <v>270</v>
      </c>
    </row>
    <row r="2309" spans="1:14" ht="157.5" customHeight="1" x14ac:dyDescent="0.2">
      <c r="A2309" s="3">
        <v>2307</v>
      </c>
      <c r="B2309" s="3">
        <v>193554</v>
      </c>
      <c r="C2309" s="4" t="str">
        <f>HYPERLINK("http://optservis.net:5080/photo?tov_code_internet=193554","Увеличить")</f>
        <v>Увеличить</v>
      </c>
      <c r="D2309" s="3" t="s">
        <v>4624</v>
      </c>
      <c r="E2309" s="3"/>
      <c r="F2309" s="3" t="s">
        <v>4625</v>
      </c>
      <c r="G2309" s="3" t="s">
        <v>4594</v>
      </c>
      <c r="H2309" s="3">
        <v>0.33300000000000002</v>
      </c>
      <c r="I2309" s="3">
        <v>0</v>
      </c>
      <c r="J2309" s="3" t="s">
        <v>18</v>
      </c>
      <c r="K2309" s="5">
        <v>0.05</v>
      </c>
      <c r="L2309" s="6">
        <v>0</v>
      </c>
      <c r="M2309" s="7" t="s">
        <v>4626</v>
      </c>
      <c r="N2309" s="8">
        <f>VLOOKUP(B2309,'[1]новый без картинок'!$A$5:$F$2672,6,0)</f>
        <v>1006</v>
      </c>
    </row>
    <row r="2310" spans="1:14" ht="157.5" customHeight="1" x14ac:dyDescent="0.2">
      <c r="A2310" s="3">
        <v>2308</v>
      </c>
      <c r="B2310" s="3">
        <v>201423</v>
      </c>
      <c r="C2310" s="4" t="str">
        <f>HYPERLINK("http://optservis.net:5080/photo?tov_code_internet=201423","Увеличить")</f>
        <v>Увеличить</v>
      </c>
      <c r="D2310" s="3" t="s">
        <v>4627</v>
      </c>
      <c r="E2310" s="3"/>
      <c r="F2310" s="3" t="s">
        <v>4628</v>
      </c>
      <c r="G2310" s="3" t="s">
        <v>175</v>
      </c>
      <c r="H2310" s="3">
        <v>0.33300000000000002</v>
      </c>
      <c r="I2310" s="3">
        <v>0</v>
      </c>
      <c r="J2310" s="3" t="s">
        <v>18</v>
      </c>
      <c r="K2310" s="5">
        <v>0.03</v>
      </c>
      <c r="L2310" s="6">
        <v>0</v>
      </c>
      <c r="M2310" s="7" t="s">
        <v>4629</v>
      </c>
      <c r="N2310" s="8">
        <f>VLOOKUP(B2310,'[1]новый без картинок'!$A$5:$F$2672,6,0)</f>
        <v>439</v>
      </c>
    </row>
    <row r="2311" spans="1:14" ht="157.5" customHeight="1" x14ac:dyDescent="0.2">
      <c r="A2311" s="3">
        <v>2309</v>
      </c>
      <c r="B2311" s="3">
        <v>193553</v>
      </c>
      <c r="C2311" s="4" t="str">
        <f>HYPERLINK("http://optservis.net:5080/photo?tov_code_internet=193553","Увеличить")</f>
        <v>Увеличить</v>
      </c>
      <c r="D2311" s="3" t="s">
        <v>4627</v>
      </c>
      <c r="E2311" s="3"/>
      <c r="F2311" s="3" t="s">
        <v>4630</v>
      </c>
      <c r="G2311" s="3" t="s">
        <v>175</v>
      </c>
      <c r="H2311" s="3">
        <v>0.33300000000000002</v>
      </c>
      <c r="I2311" s="3">
        <v>0</v>
      </c>
      <c r="J2311" s="3" t="s">
        <v>18</v>
      </c>
      <c r="K2311" s="5">
        <v>0.04</v>
      </c>
      <c r="L2311" s="6">
        <v>0</v>
      </c>
      <c r="M2311" s="7" t="s">
        <v>4631</v>
      </c>
      <c r="N2311" s="8">
        <f>VLOOKUP(B2311,'[1]новый без картинок'!$A$5:$F$2672,6,0)</f>
        <v>389</v>
      </c>
    </row>
    <row r="2312" spans="1:14" ht="157.5" customHeight="1" x14ac:dyDescent="0.2">
      <c r="A2312" s="3">
        <v>2310</v>
      </c>
      <c r="B2312" s="3">
        <v>164056</v>
      </c>
      <c r="C2312" s="4" t="str">
        <f>HYPERLINK("http://optservis.net:5080/photo?tov_code_internet=164056","Увеличить")</f>
        <v>Увеличить</v>
      </c>
      <c r="D2312" s="3" t="s">
        <v>4627</v>
      </c>
      <c r="E2312" s="3" t="s">
        <v>4632</v>
      </c>
      <c r="F2312" s="3" t="s">
        <v>4502</v>
      </c>
      <c r="G2312" s="3" t="s">
        <v>175</v>
      </c>
      <c r="H2312" s="3">
        <v>0.5</v>
      </c>
      <c r="I2312" s="3">
        <v>0</v>
      </c>
      <c r="J2312" s="3" t="s">
        <v>18</v>
      </c>
      <c r="K2312" s="5">
        <v>0.06</v>
      </c>
      <c r="L2312" s="6">
        <v>4690654010218</v>
      </c>
      <c r="M2312" s="7" t="s">
        <v>4633</v>
      </c>
      <c r="N2312" s="8">
        <f>VLOOKUP(B2312,'[1]новый без картинок'!$A$5:$F$2672,6,0)</f>
        <v>430</v>
      </c>
    </row>
    <row r="2313" spans="1:14" ht="157.5" customHeight="1" x14ac:dyDescent="0.2">
      <c r="A2313" s="3">
        <v>2311</v>
      </c>
      <c r="B2313" s="3">
        <v>193557</v>
      </c>
      <c r="C2313" s="4" t="str">
        <f>HYPERLINK("http://optservis.net:5080/photo?tov_code_internet=193557","Увеличить")</f>
        <v>Увеличить</v>
      </c>
      <c r="D2313" s="3" t="s">
        <v>4627</v>
      </c>
      <c r="E2313" s="3" t="s">
        <v>4632</v>
      </c>
      <c r="F2313" s="3" t="s">
        <v>4634</v>
      </c>
      <c r="G2313" s="3" t="s">
        <v>175</v>
      </c>
      <c r="H2313" s="3">
        <v>0.33300000000000002</v>
      </c>
      <c r="I2313" s="3">
        <v>0</v>
      </c>
      <c r="J2313" s="3" t="s">
        <v>18</v>
      </c>
      <c r="K2313" s="5">
        <v>0.05</v>
      </c>
      <c r="L2313" s="6">
        <v>4690654020835</v>
      </c>
      <c r="M2313" s="7" t="s">
        <v>4631</v>
      </c>
      <c r="N2313" s="8">
        <f>VLOOKUP(B2313,'[1]новый без картинок'!$A$5:$F$2672,6,0)</f>
        <v>413</v>
      </c>
    </row>
    <row r="2314" spans="1:14" ht="157.5" customHeight="1" x14ac:dyDescent="0.2">
      <c r="A2314" s="3">
        <v>2312</v>
      </c>
      <c r="B2314" s="3">
        <v>201424</v>
      </c>
      <c r="C2314" s="4" t="str">
        <f>HYPERLINK("http://optservis.net:5080/photo?tov_code_internet=201424","Увеличить")</f>
        <v>Увеличить</v>
      </c>
      <c r="D2314" s="3" t="s">
        <v>4635</v>
      </c>
      <c r="E2314" s="3"/>
      <c r="F2314" s="3" t="s">
        <v>4636</v>
      </c>
      <c r="G2314" s="3" t="s">
        <v>502</v>
      </c>
      <c r="H2314" s="3">
        <v>0.33300000000000002</v>
      </c>
      <c r="I2314" s="3">
        <v>0</v>
      </c>
      <c r="J2314" s="3" t="s">
        <v>18</v>
      </c>
      <c r="K2314" s="5">
        <v>0.02</v>
      </c>
      <c r="L2314" s="6">
        <v>0</v>
      </c>
      <c r="M2314" s="7" t="s">
        <v>4637</v>
      </c>
      <c r="N2314" s="8">
        <f>VLOOKUP(B2314,'[1]новый без картинок'!$A$5:$F$2672,6,0)</f>
        <v>528</v>
      </c>
    </row>
    <row r="2315" spans="1:14" ht="157.5" customHeight="1" x14ac:dyDescent="0.2">
      <c r="A2315" s="3">
        <v>2313</v>
      </c>
      <c r="B2315" s="3">
        <v>201288</v>
      </c>
      <c r="C2315" s="4" t="str">
        <f>HYPERLINK("http://optservis.net:5080/photo?tov_code_internet=201288","Увеличить")</f>
        <v>Увеличить</v>
      </c>
      <c r="D2315" s="3" t="s">
        <v>4638</v>
      </c>
      <c r="E2315" s="3"/>
      <c r="F2315" s="3" t="s">
        <v>4636</v>
      </c>
      <c r="G2315" s="3" t="s">
        <v>502</v>
      </c>
      <c r="H2315" s="3">
        <v>0.33300000000000002</v>
      </c>
      <c r="I2315" s="3">
        <v>0</v>
      </c>
      <c r="J2315" s="3" t="s">
        <v>18</v>
      </c>
      <c r="K2315" s="5">
        <v>0.03</v>
      </c>
      <c r="L2315" s="6">
        <v>0</v>
      </c>
      <c r="M2315" s="7" t="s">
        <v>4637</v>
      </c>
      <c r="N2315" s="8">
        <f>VLOOKUP(B2315,'[1]новый без картинок'!$A$5:$F$2672,6,0)</f>
        <v>528</v>
      </c>
    </row>
    <row r="2316" spans="1:14" ht="157.5" customHeight="1" x14ac:dyDescent="0.2">
      <c r="A2316" s="3">
        <v>2314</v>
      </c>
      <c r="B2316" s="3">
        <v>201425</v>
      </c>
      <c r="C2316" s="4" t="str">
        <f>HYPERLINK("http://optservis.net:5080/photo?tov_code_internet=201425","Увеличить")</f>
        <v>Увеличить</v>
      </c>
      <c r="D2316" s="3" t="s">
        <v>4638</v>
      </c>
      <c r="E2316" s="3"/>
      <c r="F2316" s="3" t="s">
        <v>4639</v>
      </c>
      <c r="G2316" s="3" t="s">
        <v>502</v>
      </c>
      <c r="H2316" s="3">
        <v>0.33300000000000002</v>
      </c>
      <c r="I2316" s="3">
        <v>0</v>
      </c>
      <c r="J2316" s="3" t="s">
        <v>18</v>
      </c>
      <c r="K2316" s="5">
        <v>0.03</v>
      </c>
      <c r="L2316" s="6">
        <v>0</v>
      </c>
      <c r="M2316" s="7" t="s">
        <v>4637</v>
      </c>
      <c r="N2316" s="8">
        <f>VLOOKUP(B2316,'[1]новый без картинок'!$A$5:$F$2672,6,0)</f>
        <v>504</v>
      </c>
    </row>
    <row r="2317" spans="1:14" ht="157.5" customHeight="1" x14ac:dyDescent="0.2">
      <c r="A2317" s="3">
        <v>2315</v>
      </c>
      <c r="B2317" s="3">
        <v>201418</v>
      </c>
      <c r="C2317" s="4" t="str">
        <f>HYPERLINK("http://optservis.net:5080/photo?tov_code_internet=201418","Увеличить")</f>
        <v>Увеличить</v>
      </c>
      <c r="D2317" s="3" t="s">
        <v>4638</v>
      </c>
      <c r="E2317" s="3"/>
      <c r="F2317" s="3" t="s">
        <v>4640</v>
      </c>
      <c r="G2317" s="3" t="s">
        <v>502</v>
      </c>
      <c r="H2317" s="3">
        <v>0.33300000000000002</v>
      </c>
      <c r="I2317" s="3">
        <v>0</v>
      </c>
      <c r="J2317" s="3" t="s">
        <v>18</v>
      </c>
      <c r="K2317" s="5">
        <v>0.03</v>
      </c>
      <c r="L2317" s="6">
        <v>0</v>
      </c>
      <c r="M2317" s="7" t="s">
        <v>4637</v>
      </c>
      <c r="N2317" s="8">
        <f>VLOOKUP(B2317,'[1]новый без картинок'!$A$5:$F$2672,6,0)</f>
        <v>532</v>
      </c>
    </row>
    <row r="2318" spans="1:14" ht="157.5" customHeight="1" x14ac:dyDescent="0.2">
      <c r="A2318" s="3">
        <v>2316</v>
      </c>
      <c r="B2318" s="3">
        <v>201417</v>
      </c>
      <c r="C2318" s="4" t="str">
        <f>HYPERLINK("http://optservis.net:5080/photo?tov_code_internet=201417","Увеличить")</f>
        <v>Увеличить</v>
      </c>
      <c r="D2318" s="3" t="s">
        <v>4638</v>
      </c>
      <c r="E2318" s="3"/>
      <c r="F2318" s="3" t="s">
        <v>4641</v>
      </c>
      <c r="G2318" s="3" t="s">
        <v>502</v>
      </c>
      <c r="H2318" s="3">
        <v>0.33300000000000002</v>
      </c>
      <c r="I2318" s="3">
        <v>0</v>
      </c>
      <c r="J2318" s="3" t="s">
        <v>18</v>
      </c>
      <c r="K2318" s="5">
        <v>0.03</v>
      </c>
      <c r="L2318" s="6">
        <v>0</v>
      </c>
      <c r="M2318" s="7" t="s">
        <v>4637</v>
      </c>
      <c r="N2318" s="8">
        <f>VLOOKUP(B2318,'[1]новый без картинок'!$A$5:$F$2672,6,0)</f>
        <v>490</v>
      </c>
    </row>
    <row r="2319" spans="1:14" ht="157.5" customHeight="1" x14ac:dyDescent="0.2">
      <c r="A2319" s="3">
        <v>2317</v>
      </c>
      <c r="B2319" s="3">
        <v>209141</v>
      </c>
      <c r="C2319" s="4" t="str">
        <f>HYPERLINK("http://optservis.net:5080/photo?tov_code_internet=209141","Увеличить")</f>
        <v>Увеличить</v>
      </c>
      <c r="D2319" s="3" t="s">
        <v>4638</v>
      </c>
      <c r="E2319" s="3"/>
      <c r="F2319" s="3" t="s">
        <v>4642</v>
      </c>
      <c r="G2319" s="3" t="s">
        <v>502</v>
      </c>
      <c r="H2319" s="3">
        <v>0.33300000000000002</v>
      </c>
      <c r="I2319" s="3">
        <v>0</v>
      </c>
      <c r="J2319" s="3" t="s">
        <v>18</v>
      </c>
      <c r="K2319" s="5">
        <v>0.03</v>
      </c>
      <c r="L2319" s="6">
        <v>0</v>
      </c>
      <c r="M2319" s="7" t="s">
        <v>4643</v>
      </c>
      <c r="N2319" s="8">
        <f>VLOOKUP(B2319,'[1]новый без картинок'!$A$5:$F$2672,6,0)</f>
        <v>542</v>
      </c>
    </row>
    <row r="2320" spans="1:14" ht="157.5" customHeight="1" x14ac:dyDescent="0.2">
      <c r="A2320" s="3">
        <v>2318</v>
      </c>
      <c r="B2320" s="3">
        <v>209139</v>
      </c>
      <c r="C2320" s="4" t="str">
        <f>HYPERLINK("http://optservis.net:5080/photo?tov_code_internet=209139","Увеличить")</f>
        <v>Увеличить</v>
      </c>
      <c r="D2320" s="3" t="s">
        <v>4638</v>
      </c>
      <c r="E2320" s="3"/>
      <c r="F2320" s="3" t="s">
        <v>4644</v>
      </c>
      <c r="G2320" s="3" t="s">
        <v>502</v>
      </c>
      <c r="H2320" s="3">
        <v>0.33300000000000002</v>
      </c>
      <c r="I2320" s="3">
        <v>0</v>
      </c>
      <c r="J2320" s="3" t="s">
        <v>18</v>
      </c>
      <c r="K2320" s="5">
        <v>0.03</v>
      </c>
      <c r="L2320" s="6">
        <v>0</v>
      </c>
      <c r="M2320" s="7" t="s">
        <v>4643</v>
      </c>
      <c r="N2320" s="8">
        <f>VLOOKUP(B2320,'[1]новый без картинок'!$A$5:$F$2672,6,0)</f>
        <v>519</v>
      </c>
    </row>
    <row r="2321" spans="1:14" ht="157.5" customHeight="1" x14ac:dyDescent="0.2">
      <c r="A2321" s="3">
        <v>2319</v>
      </c>
      <c r="B2321" s="3">
        <v>209142</v>
      </c>
      <c r="C2321" s="4" t="str">
        <f>HYPERLINK("http://optservis.net:5080/photo?tov_code_internet=209142","Увеличить")</f>
        <v>Увеличить</v>
      </c>
      <c r="D2321" s="3" t="s">
        <v>4638</v>
      </c>
      <c r="E2321" s="3"/>
      <c r="F2321" s="3" t="s">
        <v>4645</v>
      </c>
      <c r="G2321" s="3" t="s">
        <v>502</v>
      </c>
      <c r="H2321" s="3">
        <v>0.33300000000000002</v>
      </c>
      <c r="I2321" s="3">
        <v>0</v>
      </c>
      <c r="J2321" s="3" t="s">
        <v>18</v>
      </c>
      <c r="K2321" s="5">
        <v>0.03</v>
      </c>
      <c r="L2321" s="6">
        <v>0</v>
      </c>
      <c r="M2321" s="7" t="s">
        <v>4643</v>
      </c>
      <c r="N2321" s="8">
        <f>VLOOKUP(B2321,'[1]новый без картинок'!$A$5:$F$2672,6,0)</f>
        <v>503</v>
      </c>
    </row>
    <row r="2322" spans="1:14" ht="157.5" customHeight="1" x14ac:dyDescent="0.2">
      <c r="A2322" s="3">
        <v>2320</v>
      </c>
      <c r="B2322" s="3">
        <v>183453</v>
      </c>
      <c r="C2322" s="4" t="str">
        <f>HYPERLINK("http://optservis.net:5080/photo?tov_code_internet=183453","Увеличить")</f>
        <v>Увеличить</v>
      </c>
      <c r="D2322" s="3" t="s">
        <v>4638</v>
      </c>
      <c r="E2322" s="3" t="s">
        <v>4646</v>
      </c>
      <c r="F2322" s="3" t="s">
        <v>4554</v>
      </c>
      <c r="G2322" s="3" t="s">
        <v>502</v>
      </c>
      <c r="H2322" s="3">
        <v>0.5</v>
      </c>
      <c r="I2322" s="3">
        <v>0</v>
      </c>
      <c r="J2322" s="3" t="s">
        <v>18</v>
      </c>
      <c r="K2322" s="5">
        <v>0.05</v>
      </c>
      <c r="L2322" s="6">
        <v>4690654012830</v>
      </c>
      <c r="M2322" s="7" t="s">
        <v>4647</v>
      </c>
      <c r="N2322" s="8">
        <f>VLOOKUP(B2322,'[1]новый без картинок'!$A$5:$F$2672,6,0)</f>
        <v>495</v>
      </c>
    </row>
    <row r="2323" spans="1:14" ht="157.5" customHeight="1" x14ac:dyDescent="0.2">
      <c r="A2323" s="3">
        <v>2321</v>
      </c>
      <c r="B2323" s="3">
        <v>193555</v>
      </c>
      <c r="C2323" s="4" t="str">
        <f>HYPERLINK("http://optservis.net:5080/photo?tov_code_internet=193555","Увеличить")</f>
        <v>Увеличить</v>
      </c>
      <c r="D2323" s="3" t="s">
        <v>4638</v>
      </c>
      <c r="E2323" s="3" t="s">
        <v>4646</v>
      </c>
      <c r="F2323" s="3" t="s">
        <v>4648</v>
      </c>
      <c r="G2323" s="3" t="s">
        <v>502</v>
      </c>
      <c r="H2323" s="3">
        <v>0.33300000000000002</v>
      </c>
      <c r="I2323" s="3">
        <v>0</v>
      </c>
      <c r="J2323" s="3" t="s">
        <v>18</v>
      </c>
      <c r="K2323" s="5">
        <v>0.04</v>
      </c>
      <c r="L2323" s="6">
        <v>4690654018054</v>
      </c>
      <c r="M2323" s="7" t="s">
        <v>4649</v>
      </c>
      <c r="N2323" s="8">
        <f>VLOOKUP(B2323,'[1]новый без картинок'!$A$5:$F$2672,6,0)</f>
        <v>510</v>
      </c>
    </row>
    <row r="2324" spans="1:14" ht="157.5" customHeight="1" x14ac:dyDescent="0.2">
      <c r="A2324" s="3">
        <v>2322</v>
      </c>
      <c r="B2324" s="3">
        <v>193558</v>
      </c>
      <c r="C2324" s="4" t="str">
        <f>HYPERLINK("http://optservis.net:5080/photo?tov_code_internet=193558","Увеличить")</f>
        <v>Увеличить</v>
      </c>
      <c r="D2324" s="3" t="s">
        <v>4638</v>
      </c>
      <c r="E2324" s="3" t="s">
        <v>4646</v>
      </c>
      <c r="F2324" s="3" t="s">
        <v>4650</v>
      </c>
      <c r="G2324" s="3" t="s">
        <v>502</v>
      </c>
      <c r="H2324" s="3">
        <v>0.33300000000000002</v>
      </c>
      <c r="I2324" s="3">
        <v>0</v>
      </c>
      <c r="J2324" s="3" t="s">
        <v>18</v>
      </c>
      <c r="K2324" s="5">
        <v>0.04</v>
      </c>
      <c r="L2324" s="6">
        <v>4690654015749</v>
      </c>
      <c r="M2324" s="7" t="s">
        <v>4649</v>
      </c>
      <c r="N2324" s="8">
        <f>VLOOKUP(B2324,'[1]новый без картинок'!$A$5:$F$2672,6,0)</f>
        <v>494</v>
      </c>
    </row>
    <row r="2325" spans="1:14" ht="138.6" customHeight="1" x14ac:dyDescent="0.2">
      <c r="A2325" s="3">
        <v>2323</v>
      </c>
      <c r="B2325" s="3">
        <v>984879</v>
      </c>
      <c r="C2325" s="4" t="str">
        <f>HYPERLINK("http://optservis.net:5080/photo?tov_code_internet=984879","Увеличить")</f>
        <v>Увеличить</v>
      </c>
      <c r="D2325" s="3" t="s">
        <v>4638</v>
      </c>
      <c r="E2325" s="3" t="s">
        <v>4646</v>
      </c>
      <c r="F2325" s="3" t="s">
        <v>4651</v>
      </c>
      <c r="G2325" s="3" t="s">
        <v>502</v>
      </c>
      <c r="H2325" s="3">
        <v>0.33300000000000002</v>
      </c>
      <c r="I2325" s="3">
        <v>0</v>
      </c>
      <c r="J2325" s="3" t="s">
        <v>18</v>
      </c>
      <c r="K2325" s="5">
        <v>0.03</v>
      </c>
      <c r="L2325" s="6">
        <v>4690654017477</v>
      </c>
      <c r="M2325" s="7" t="s">
        <v>4652</v>
      </c>
      <c r="N2325" s="8">
        <f>VLOOKUP(B2325,'[1]новый без картинок'!$A$5:$F$2672,6,0)</f>
        <v>475</v>
      </c>
    </row>
    <row r="2326" spans="1:14" ht="157.5" customHeight="1" x14ac:dyDescent="0.2">
      <c r="A2326" s="3">
        <v>2324</v>
      </c>
      <c r="B2326" s="3">
        <v>193559</v>
      </c>
      <c r="C2326" s="4" t="str">
        <f>HYPERLINK("http://optservis.net:5080/photo?tov_code_internet=193559","Увеличить")</f>
        <v>Увеличить</v>
      </c>
      <c r="D2326" s="3" t="s">
        <v>4638</v>
      </c>
      <c r="E2326" s="3" t="s">
        <v>4646</v>
      </c>
      <c r="F2326" s="3" t="s">
        <v>4653</v>
      </c>
      <c r="G2326" s="3" t="s">
        <v>502</v>
      </c>
      <c r="H2326" s="3">
        <v>0.33300000000000002</v>
      </c>
      <c r="I2326" s="3">
        <v>0</v>
      </c>
      <c r="J2326" s="3" t="s">
        <v>18</v>
      </c>
      <c r="K2326" s="5">
        <v>0.03</v>
      </c>
      <c r="L2326" s="6">
        <v>4690654014698</v>
      </c>
      <c r="M2326" s="7" t="s">
        <v>4649</v>
      </c>
      <c r="N2326" s="8">
        <f>VLOOKUP(B2326,'[1]новый без картинок'!$A$5:$F$2672,6,0)</f>
        <v>533</v>
      </c>
    </row>
    <row r="2327" spans="1:14" ht="157.5" customHeight="1" x14ac:dyDescent="0.2">
      <c r="A2327" s="3">
        <v>2325</v>
      </c>
      <c r="B2327" s="3">
        <v>193556</v>
      </c>
      <c r="C2327" s="4" t="str">
        <f>HYPERLINK("http://optservis.net:5080/photo?tov_code_internet=193556","Увеличить")</f>
        <v>Увеличить</v>
      </c>
      <c r="D2327" s="3" t="s">
        <v>4638</v>
      </c>
      <c r="E2327" s="3" t="s">
        <v>4646</v>
      </c>
      <c r="F2327" s="3" t="s">
        <v>4654</v>
      </c>
      <c r="G2327" s="3" t="s">
        <v>502</v>
      </c>
      <c r="H2327" s="3">
        <v>0.33300000000000002</v>
      </c>
      <c r="I2327" s="3">
        <v>0</v>
      </c>
      <c r="J2327" s="3" t="s">
        <v>18</v>
      </c>
      <c r="K2327" s="5">
        <v>0.04</v>
      </c>
      <c r="L2327" s="6">
        <v>4690654014704</v>
      </c>
      <c r="M2327" s="7" t="s">
        <v>4649</v>
      </c>
      <c r="N2327" s="8">
        <f>VLOOKUP(B2327,'[1]новый без картинок'!$A$5:$F$2672,6,0)</f>
        <v>489</v>
      </c>
    </row>
    <row r="2328" spans="1:14" ht="157.5" customHeight="1" x14ac:dyDescent="0.2">
      <c r="A2328" s="3">
        <v>2326</v>
      </c>
      <c r="B2328" s="3">
        <v>209140</v>
      </c>
      <c r="C2328" s="4" t="str">
        <f>HYPERLINK("http://optservis.net:5080/photo?tov_code_internet=209140","Увеличить")</f>
        <v>Увеличить</v>
      </c>
      <c r="D2328" s="3" t="s">
        <v>4655</v>
      </c>
      <c r="E2328" s="3" t="s">
        <v>4656</v>
      </c>
      <c r="F2328" s="3" t="s">
        <v>4642</v>
      </c>
      <c r="G2328" s="3" t="s">
        <v>502</v>
      </c>
      <c r="H2328" s="3">
        <v>0.33300000000000002</v>
      </c>
      <c r="I2328" s="3">
        <v>0</v>
      </c>
      <c r="J2328" s="3" t="s">
        <v>18</v>
      </c>
      <c r="K2328" s="5">
        <v>0.02</v>
      </c>
      <c r="L2328" s="6">
        <v>4690654018740</v>
      </c>
      <c r="M2328" s="7" t="s">
        <v>4643</v>
      </c>
      <c r="N2328" s="8">
        <f>VLOOKUP(B2328,'[1]новый без картинок'!$A$5:$F$2672,6,0)</f>
        <v>542</v>
      </c>
    </row>
    <row r="2329" spans="1:14" ht="157.5" customHeight="1" x14ac:dyDescent="0.2">
      <c r="A2329" s="3">
        <v>2327</v>
      </c>
      <c r="B2329" s="3">
        <v>209145</v>
      </c>
      <c r="C2329" s="4" t="str">
        <f>HYPERLINK("http://optservis.net:5080/photo?tov_code_internet=209145","Увеличить")</f>
        <v>Увеличить</v>
      </c>
      <c r="D2329" s="3" t="s">
        <v>4655</v>
      </c>
      <c r="E2329" s="3" t="s">
        <v>4656</v>
      </c>
      <c r="F2329" s="3" t="s">
        <v>4657</v>
      </c>
      <c r="G2329" s="3" t="s">
        <v>502</v>
      </c>
      <c r="H2329" s="3">
        <v>0.33300000000000002</v>
      </c>
      <c r="I2329" s="3">
        <v>0</v>
      </c>
      <c r="J2329" s="3" t="s">
        <v>18</v>
      </c>
      <c r="K2329" s="5">
        <v>0.03</v>
      </c>
      <c r="L2329" s="6">
        <v>4690654018733</v>
      </c>
      <c r="M2329" s="7" t="s">
        <v>4643</v>
      </c>
      <c r="N2329" s="8">
        <f>VLOOKUP(B2329,'[1]новый без картинок'!$A$5:$F$2672,6,0)</f>
        <v>546</v>
      </c>
    </row>
    <row r="2330" spans="1:14" ht="157.5" customHeight="1" x14ac:dyDescent="0.2">
      <c r="A2330" s="3">
        <v>2328</v>
      </c>
      <c r="B2330" s="3">
        <v>177424</v>
      </c>
      <c r="C2330" s="4" t="str">
        <f>HYPERLINK("http://optservis.net:5080/photo?tov_code_internet=177424","Увеличить")</f>
        <v>Увеличить</v>
      </c>
      <c r="D2330" s="3" t="s">
        <v>4658</v>
      </c>
      <c r="E2330" s="3"/>
      <c r="F2330" s="3" t="s">
        <v>4548</v>
      </c>
      <c r="G2330" s="3" t="s">
        <v>502</v>
      </c>
      <c r="H2330" s="3">
        <v>0.33300000000000002</v>
      </c>
      <c r="I2330" s="3">
        <v>0</v>
      </c>
      <c r="J2330" s="3" t="s">
        <v>18</v>
      </c>
      <c r="K2330" s="5">
        <v>0.03</v>
      </c>
      <c r="L2330" s="6">
        <v>0</v>
      </c>
      <c r="M2330" s="7" t="s">
        <v>4659</v>
      </c>
      <c r="N2330" s="8">
        <f>VLOOKUP(B2330,'[1]новый без картинок'!$A$5:$F$2672,6,0)</f>
        <v>523</v>
      </c>
    </row>
    <row r="2331" spans="1:14" ht="157.5" customHeight="1" x14ac:dyDescent="0.2">
      <c r="A2331" s="3">
        <v>2329</v>
      </c>
      <c r="B2331" s="3">
        <v>214608</v>
      </c>
      <c r="C2331" s="4" t="str">
        <f>HYPERLINK("http://optservis.net:5080/photo?tov_code_internet=214608","Увеличить")</f>
        <v>Увеличить</v>
      </c>
      <c r="D2331" s="3" t="s">
        <v>4660</v>
      </c>
      <c r="E2331" s="3"/>
      <c r="F2331" s="3" t="s">
        <v>4661</v>
      </c>
      <c r="G2331" s="3" t="s">
        <v>175</v>
      </c>
      <c r="H2331" s="3">
        <v>0.2</v>
      </c>
      <c r="I2331" s="3">
        <v>0</v>
      </c>
      <c r="J2331" s="3" t="s">
        <v>18</v>
      </c>
      <c r="K2331" s="5">
        <v>0.02</v>
      </c>
      <c r="L2331" s="6">
        <v>0</v>
      </c>
      <c r="M2331" s="7" t="s">
        <v>4662</v>
      </c>
      <c r="N2331" s="8">
        <f>VLOOKUP(B2331,'[1]новый без картинок'!$A$5:$F$2672,6,0)</f>
        <v>490</v>
      </c>
    </row>
    <row r="2332" spans="1:14" ht="157.5" customHeight="1" x14ac:dyDescent="0.2">
      <c r="A2332" s="3">
        <v>2330</v>
      </c>
      <c r="B2332" s="3">
        <v>214607</v>
      </c>
      <c r="C2332" s="4" t="str">
        <f>HYPERLINK("http://optservis.net:5080/photo?tov_code_internet=214607","Увеличить")</f>
        <v>Увеличить</v>
      </c>
      <c r="D2332" s="3" t="s">
        <v>4660</v>
      </c>
      <c r="E2332" s="3"/>
      <c r="F2332" s="3" t="s">
        <v>4663</v>
      </c>
      <c r="G2332" s="3" t="s">
        <v>175</v>
      </c>
      <c r="H2332" s="3">
        <v>0.2</v>
      </c>
      <c r="I2332" s="3">
        <v>0</v>
      </c>
      <c r="J2332" s="3" t="s">
        <v>18</v>
      </c>
      <c r="K2332" s="5">
        <v>0.02</v>
      </c>
      <c r="L2332" s="6">
        <v>0</v>
      </c>
      <c r="M2332" s="7" t="s">
        <v>4664</v>
      </c>
      <c r="N2332" s="8">
        <f>VLOOKUP(B2332,'[1]новый без картинок'!$A$5:$F$2672,6,0)</f>
        <v>477</v>
      </c>
    </row>
    <row r="2333" spans="1:14" ht="157.5" customHeight="1" x14ac:dyDescent="0.2">
      <c r="A2333" s="3">
        <v>2331</v>
      </c>
      <c r="B2333" s="3">
        <v>211174</v>
      </c>
      <c r="C2333" s="4" t="str">
        <f>HYPERLINK("http://optservis.net:5080/photo?tov_code_internet=211174","Увеличить")</f>
        <v>Увеличить</v>
      </c>
      <c r="D2333" s="3" t="s">
        <v>4665</v>
      </c>
      <c r="E2333" s="3"/>
      <c r="F2333" s="3" t="s">
        <v>4666</v>
      </c>
      <c r="G2333" s="3" t="s">
        <v>502</v>
      </c>
      <c r="H2333" s="3">
        <v>0.2</v>
      </c>
      <c r="I2333" s="3">
        <v>0</v>
      </c>
      <c r="J2333" s="3" t="s">
        <v>18</v>
      </c>
      <c r="K2333" s="5">
        <v>0.01</v>
      </c>
      <c r="L2333" s="6">
        <v>0</v>
      </c>
      <c r="M2333" s="7" t="s">
        <v>4667</v>
      </c>
      <c r="N2333" s="8">
        <f>VLOOKUP(B2333,'[1]новый без картинок'!$A$5:$F$2672,6,0)</f>
        <v>628</v>
      </c>
    </row>
    <row r="2334" spans="1:14" ht="157.5" customHeight="1" x14ac:dyDescent="0.2">
      <c r="A2334" s="3">
        <v>2332</v>
      </c>
      <c r="B2334" s="3">
        <v>211175</v>
      </c>
      <c r="C2334" s="4" t="str">
        <f>HYPERLINK("http://optservis.net:5080/photo?tov_code_internet=211175","Увеличить")</f>
        <v>Увеличить</v>
      </c>
      <c r="D2334" s="3" t="s">
        <v>4665</v>
      </c>
      <c r="E2334" s="3"/>
      <c r="F2334" s="3" t="s">
        <v>4668</v>
      </c>
      <c r="G2334" s="3" t="s">
        <v>502</v>
      </c>
      <c r="H2334" s="3">
        <v>0.2</v>
      </c>
      <c r="I2334" s="3">
        <v>0</v>
      </c>
      <c r="J2334" s="3" t="s">
        <v>18</v>
      </c>
      <c r="K2334" s="5">
        <v>0.02</v>
      </c>
      <c r="L2334" s="6">
        <v>0</v>
      </c>
      <c r="M2334" s="7" t="s">
        <v>4669</v>
      </c>
      <c r="N2334" s="8">
        <f>VLOOKUP(B2334,'[1]новый без картинок'!$A$5:$F$2672,6,0)</f>
        <v>633</v>
      </c>
    </row>
    <row r="2335" spans="1:14" ht="157.5" customHeight="1" x14ac:dyDescent="0.2">
      <c r="A2335" s="3">
        <v>2333</v>
      </c>
      <c r="B2335" s="3">
        <v>211176</v>
      </c>
      <c r="C2335" s="4" t="str">
        <f>HYPERLINK("http://optservis.net:5080/photo?tov_code_internet=211176","Увеличить")</f>
        <v>Увеличить</v>
      </c>
      <c r="D2335" s="3" t="s">
        <v>4665</v>
      </c>
      <c r="E2335" s="3" t="s">
        <v>4670</v>
      </c>
      <c r="F2335" s="3" t="s">
        <v>4671</v>
      </c>
      <c r="G2335" s="3" t="s">
        <v>502</v>
      </c>
      <c r="H2335" s="3">
        <v>0.2</v>
      </c>
      <c r="I2335" s="3">
        <v>0</v>
      </c>
      <c r="J2335" s="3" t="s">
        <v>18</v>
      </c>
      <c r="K2335" s="5">
        <v>0.01</v>
      </c>
      <c r="L2335" s="6">
        <v>4690654020408</v>
      </c>
      <c r="M2335" s="7" t="s">
        <v>4669</v>
      </c>
      <c r="N2335" s="8">
        <f>VLOOKUP(B2335,'[1]новый без картинок'!$A$5:$F$2672,6,0)</f>
        <v>642</v>
      </c>
    </row>
    <row r="2336" spans="1:14" ht="157.5" customHeight="1" x14ac:dyDescent="0.2">
      <c r="A2336" s="3">
        <v>2334</v>
      </c>
      <c r="B2336" s="3">
        <v>201419</v>
      </c>
      <c r="C2336" s="4" t="str">
        <f>HYPERLINK("http://optservis.net:5080/photo?tov_code_internet=201419","Увеличить")</f>
        <v>Увеличить</v>
      </c>
      <c r="D2336" s="3" t="s">
        <v>4672</v>
      </c>
      <c r="E2336" s="3"/>
      <c r="F2336" s="3" t="s">
        <v>4673</v>
      </c>
      <c r="G2336" s="3" t="s">
        <v>175</v>
      </c>
      <c r="H2336" s="3">
        <v>0.33300000000000002</v>
      </c>
      <c r="I2336" s="3">
        <v>0</v>
      </c>
      <c r="J2336" s="3" t="s">
        <v>18</v>
      </c>
      <c r="K2336" s="5">
        <v>0.02</v>
      </c>
      <c r="L2336" s="6">
        <v>0</v>
      </c>
      <c r="M2336" s="7" t="s">
        <v>4629</v>
      </c>
      <c r="N2336" s="8">
        <f>VLOOKUP(B2336,'[1]новый без картинок'!$A$5:$F$2672,6,0)</f>
        <v>277</v>
      </c>
    </row>
    <row r="2337" spans="1:14" ht="157.5" customHeight="1" x14ac:dyDescent="0.2">
      <c r="A2337" s="3">
        <v>2335</v>
      </c>
      <c r="B2337" s="3">
        <v>209144</v>
      </c>
      <c r="C2337" s="4" t="str">
        <f>HYPERLINK("http://optservis.net:5080/photo?tov_code_internet=209144","Увеличить")</f>
        <v>Увеличить</v>
      </c>
      <c r="D2337" s="3" t="s">
        <v>4672</v>
      </c>
      <c r="E2337" s="3" t="s">
        <v>4674</v>
      </c>
      <c r="F2337" s="3" t="s">
        <v>4675</v>
      </c>
      <c r="G2337" s="3" t="s">
        <v>175</v>
      </c>
      <c r="H2337" s="3">
        <v>0.33300000000000002</v>
      </c>
      <c r="I2337" s="3">
        <v>0</v>
      </c>
      <c r="J2337" s="3" t="s">
        <v>18</v>
      </c>
      <c r="K2337" s="5">
        <v>0.02</v>
      </c>
      <c r="L2337" s="6">
        <v>4690654018948</v>
      </c>
      <c r="M2337" s="7" t="s">
        <v>4676</v>
      </c>
      <c r="N2337" s="8">
        <f>VLOOKUP(B2337,'[1]новый без картинок'!$A$5:$F$2672,6,0)</f>
        <v>291</v>
      </c>
    </row>
    <row r="2338" spans="1:14" ht="157.5" customHeight="1" x14ac:dyDescent="0.2">
      <c r="A2338" s="3">
        <v>2336</v>
      </c>
      <c r="B2338" s="3">
        <v>178700</v>
      </c>
      <c r="C2338" s="4" t="str">
        <f>HYPERLINK("http://optservis.net:5080/photo?tov_code_internet=178700","Увеличить")</f>
        <v>Увеличить</v>
      </c>
      <c r="D2338" s="3" t="s">
        <v>4672</v>
      </c>
      <c r="E2338" s="3" t="s">
        <v>4674</v>
      </c>
      <c r="F2338" s="3" t="s">
        <v>4677</v>
      </c>
      <c r="G2338" s="3" t="s">
        <v>175</v>
      </c>
      <c r="H2338" s="3">
        <v>0.5</v>
      </c>
      <c r="I2338" s="3">
        <v>0</v>
      </c>
      <c r="J2338" s="3" t="s">
        <v>18</v>
      </c>
      <c r="K2338" s="5">
        <v>0.03</v>
      </c>
      <c r="L2338" s="6">
        <v>4690654012281</v>
      </c>
      <c r="M2338" s="7" t="s">
        <v>4678</v>
      </c>
      <c r="N2338" s="8">
        <f>VLOOKUP(B2338,'[1]новый без картинок'!$A$5:$F$2672,6,0)</f>
        <v>280</v>
      </c>
    </row>
    <row r="2339" spans="1:14" ht="157.5" customHeight="1" x14ac:dyDescent="0.2">
      <c r="A2339" s="3">
        <v>2337</v>
      </c>
      <c r="B2339" s="3">
        <v>201287</v>
      </c>
      <c r="C2339" s="4" t="str">
        <f>HYPERLINK("http://optservis.net:5080/photo?tov_code_internet=201287","Увеличить")</f>
        <v>Увеличить</v>
      </c>
      <c r="D2339" s="3" t="s">
        <v>4679</v>
      </c>
      <c r="E2339" s="3"/>
      <c r="F2339" s="3" t="s">
        <v>4680</v>
      </c>
      <c r="G2339" s="3" t="s">
        <v>502</v>
      </c>
      <c r="H2339" s="3">
        <v>0.33300000000000002</v>
      </c>
      <c r="I2339" s="3">
        <v>0</v>
      </c>
      <c r="J2339" s="3" t="s">
        <v>18</v>
      </c>
      <c r="K2339" s="5">
        <v>0.02</v>
      </c>
      <c r="L2339" s="6">
        <v>0</v>
      </c>
      <c r="M2339" s="7" t="s">
        <v>4637</v>
      </c>
      <c r="N2339" s="8">
        <f>VLOOKUP(B2339,'[1]новый без картинок'!$A$5:$F$2672,6,0)</f>
        <v>348</v>
      </c>
    </row>
    <row r="2340" spans="1:14" ht="157.5" customHeight="1" x14ac:dyDescent="0.2">
      <c r="A2340" s="3">
        <v>2338</v>
      </c>
      <c r="B2340" s="3">
        <v>201284</v>
      </c>
      <c r="C2340" s="4" t="str">
        <f>HYPERLINK("http://optservis.net:5080/photo?tov_code_internet=201284","Увеличить")</f>
        <v>Увеличить</v>
      </c>
      <c r="D2340" s="3" t="s">
        <v>4681</v>
      </c>
      <c r="E2340" s="3"/>
      <c r="F2340" s="3" t="s">
        <v>4680</v>
      </c>
      <c r="G2340" s="3" t="s">
        <v>502</v>
      </c>
      <c r="H2340" s="3">
        <v>0.33300000000000002</v>
      </c>
      <c r="I2340" s="3">
        <v>0</v>
      </c>
      <c r="J2340" s="3" t="s">
        <v>18</v>
      </c>
      <c r="K2340" s="5">
        <v>0.02</v>
      </c>
      <c r="L2340" s="6">
        <v>0</v>
      </c>
      <c r="M2340" s="7" t="s">
        <v>4637</v>
      </c>
      <c r="N2340" s="8">
        <f>VLOOKUP(B2340,'[1]новый без картинок'!$A$5:$F$2672,6,0)</f>
        <v>367</v>
      </c>
    </row>
    <row r="2341" spans="1:14" ht="157.5" customHeight="1" x14ac:dyDescent="0.2">
      <c r="A2341" s="3">
        <v>2339</v>
      </c>
      <c r="B2341" s="3">
        <v>209136</v>
      </c>
      <c r="C2341" s="4" t="str">
        <f>HYPERLINK("http://optservis.net:5080/photo?tov_code_internet=209136","Увеличить")</f>
        <v>Увеличить</v>
      </c>
      <c r="D2341" s="3" t="s">
        <v>4681</v>
      </c>
      <c r="E2341" s="3"/>
      <c r="F2341" s="3" t="s">
        <v>4682</v>
      </c>
      <c r="G2341" s="3" t="s">
        <v>502</v>
      </c>
      <c r="H2341" s="3">
        <v>0.33300000000000002</v>
      </c>
      <c r="I2341" s="3">
        <v>0</v>
      </c>
      <c r="J2341" s="3" t="s">
        <v>18</v>
      </c>
      <c r="K2341" s="5">
        <v>0.02</v>
      </c>
      <c r="L2341" s="6">
        <v>0</v>
      </c>
      <c r="M2341" s="7" t="s">
        <v>4643</v>
      </c>
      <c r="N2341" s="8">
        <f>VLOOKUP(B2341,'[1]новый без картинок'!$A$5:$F$2672,6,0)</f>
        <v>381</v>
      </c>
    </row>
    <row r="2342" spans="1:14" ht="157.5" customHeight="1" x14ac:dyDescent="0.2">
      <c r="A2342" s="3">
        <v>2340</v>
      </c>
      <c r="B2342" s="3">
        <v>193455</v>
      </c>
      <c r="C2342" s="4" t="str">
        <f>HYPERLINK("http://optservis.net:5080/photo?tov_code_internet=193455","Увеличить")</f>
        <v>Увеличить</v>
      </c>
      <c r="D2342" s="3" t="s">
        <v>4681</v>
      </c>
      <c r="E2342" s="3"/>
      <c r="F2342" s="3" t="s">
        <v>4683</v>
      </c>
      <c r="G2342" s="3" t="s">
        <v>502</v>
      </c>
      <c r="H2342" s="3">
        <v>0.33300000000000002</v>
      </c>
      <c r="I2342" s="3">
        <v>0</v>
      </c>
      <c r="J2342" s="3" t="s">
        <v>18</v>
      </c>
      <c r="K2342" s="5">
        <v>0.03</v>
      </c>
      <c r="L2342" s="6">
        <v>0</v>
      </c>
      <c r="M2342" s="7" t="s">
        <v>4684</v>
      </c>
      <c r="N2342" s="8">
        <f>VLOOKUP(B2342,'[1]новый без картинок'!$A$5:$F$2672,6,0)</f>
        <v>436</v>
      </c>
    </row>
    <row r="2343" spans="1:14" ht="157.5" customHeight="1" x14ac:dyDescent="0.2">
      <c r="A2343" s="3">
        <v>2341</v>
      </c>
      <c r="B2343" s="3">
        <v>201280</v>
      </c>
      <c r="C2343" s="4" t="str">
        <f>HYPERLINK("http://optservis.net:5080/photo?tov_code_internet=201280","Увеличить")</f>
        <v>Увеличить</v>
      </c>
      <c r="D2343" s="3" t="s">
        <v>4681</v>
      </c>
      <c r="E2343" s="3" t="s">
        <v>4685</v>
      </c>
      <c r="F2343" s="3" t="s">
        <v>4686</v>
      </c>
      <c r="G2343" s="3" t="s">
        <v>502</v>
      </c>
      <c r="H2343" s="3">
        <v>0.33300000000000002</v>
      </c>
      <c r="I2343" s="3">
        <v>0</v>
      </c>
      <c r="J2343" s="3" t="s">
        <v>18</v>
      </c>
      <c r="K2343" s="5">
        <v>0.02</v>
      </c>
      <c r="L2343" s="6">
        <v>4690654018238</v>
      </c>
      <c r="M2343" s="7" t="s">
        <v>4687</v>
      </c>
      <c r="N2343" s="8">
        <f>VLOOKUP(B2343,'[1]новый без картинок'!$A$5:$F$2672,6,0)</f>
        <v>430</v>
      </c>
    </row>
    <row r="2344" spans="1:14" ht="157.5" customHeight="1" x14ac:dyDescent="0.2">
      <c r="A2344" s="3">
        <v>2342</v>
      </c>
      <c r="B2344" s="3">
        <v>201421</v>
      </c>
      <c r="C2344" s="4" t="str">
        <f>HYPERLINK("http://optservis.net:5080/photo?tov_code_internet=201421","Увеличить")</f>
        <v>Увеличить</v>
      </c>
      <c r="D2344" s="3" t="s">
        <v>4688</v>
      </c>
      <c r="E2344" s="3"/>
      <c r="F2344" s="3" t="s">
        <v>4689</v>
      </c>
      <c r="G2344" s="3" t="s">
        <v>175</v>
      </c>
      <c r="H2344" s="3">
        <v>0.33300000000000002</v>
      </c>
      <c r="I2344" s="3">
        <v>0</v>
      </c>
      <c r="J2344" s="3" t="s">
        <v>18</v>
      </c>
      <c r="K2344" s="5">
        <v>0.03</v>
      </c>
      <c r="L2344" s="6">
        <v>0</v>
      </c>
      <c r="M2344" s="7" t="s">
        <v>4629</v>
      </c>
      <c r="N2344" s="8">
        <f>VLOOKUP(B2344,'[1]новый без картинок'!$A$5:$F$2672,6,0)</f>
        <v>338</v>
      </c>
    </row>
    <row r="2345" spans="1:14" ht="157.5" customHeight="1" x14ac:dyDescent="0.2">
      <c r="A2345" s="3">
        <v>2343</v>
      </c>
      <c r="B2345" s="3">
        <v>201420</v>
      </c>
      <c r="C2345" s="4" t="str">
        <f>HYPERLINK("http://optservis.net:5080/photo?tov_code_internet=201420","Увеличить")</f>
        <v>Увеличить</v>
      </c>
      <c r="D2345" s="3" t="s">
        <v>4688</v>
      </c>
      <c r="E2345" s="3"/>
      <c r="F2345" s="3" t="s">
        <v>4628</v>
      </c>
      <c r="G2345" s="3" t="s">
        <v>175</v>
      </c>
      <c r="H2345" s="3">
        <v>0.33300000000000002</v>
      </c>
      <c r="I2345" s="3">
        <v>0</v>
      </c>
      <c r="J2345" s="3" t="s">
        <v>18</v>
      </c>
      <c r="K2345" s="5">
        <v>0.02</v>
      </c>
      <c r="L2345" s="6">
        <v>0</v>
      </c>
      <c r="M2345" s="7" t="s">
        <v>4629</v>
      </c>
      <c r="N2345" s="8">
        <f>VLOOKUP(B2345,'[1]новый без картинок'!$A$5:$F$2672,6,0)</f>
        <v>361</v>
      </c>
    </row>
    <row r="2346" spans="1:14" ht="157.5" customHeight="1" x14ac:dyDescent="0.2">
      <c r="A2346" s="3">
        <v>2344</v>
      </c>
      <c r="B2346" s="3">
        <v>209143</v>
      </c>
      <c r="C2346" s="4" t="str">
        <f>HYPERLINK("http://optservis.net:5080/photo?tov_code_internet=209143","Увеличить")</f>
        <v>Увеличить</v>
      </c>
      <c r="D2346" s="3" t="s">
        <v>4688</v>
      </c>
      <c r="E2346" s="3"/>
      <c r="F2346" s="3" t="s">
        <v>4690</v>
      </c>
      <c r="G2346" s="3" t="s">
        <v>175</v>
      </c>
      <c r="H2346" s="3">
        <v>0.33300000000000002</v>
      </c>
      <c r="I2346" s="3">
        <v>0</v>
      </c>
      <c r="J2346" s="3" t="s">
        <v>18</v>
      </c>
      <c r="K2346" s="5">
        <v>0.03</v>
      </c>
      <c r="L2346" s="6">
        <v>0</v>
      </c>
      <c r="M2346" s="7" t="s">
        <v>4676</v>
      </c>
      <c r="N2346" s="8">
        <f>VLOOKUP(B2346,'[1]новый без картинок'!$A$5:$F$2672,6,0)</f>
        <v>352</v>
      </c>
    </row>
    <row r="2347" spans="1:14" ht="157.5" customHeight="1" x14ac:dyDescent="0.2">
      <c r="A2347" s="3">
        <v>2345</v>
      </c>
      <c r="B2347" s="3">
        <v>193403</v>
      </c>
      <c r="C2347" s="4" t="str">
        <f>HYPERLINK("http://optservis.net:5080/photo?tov_code_internet=193403","Увеличить")</f>
        <v>Увеличить</v>
      </c>
      <c r="D2347" s="3" t="s">
        <v>4688</v>
      </c>
      <c r="E2347" s="3"/>
      <c r="F2347" s="3" t="s">
        <v>4691</v>
      </c>
      <c r="G2347" s="3" t="s">
        <v>175</v>
      </c>
      <c r="H2347" s="3">
        <v>0.33300000000000002</v>
      </c>
      <c r="I2347" s="3">
        <v>0</v>
      </c>
      <c r="J2347" s="3" t="s">
        <v>18</v>
      </c>
      <c r="K2347" s="5">
        <v>0.03</v>
      </c>
      <c r="L2347" s="6">
        <v>0</v>
      </c>
      <c r="M2347" s="7" t="s">
        <v>4692</v>
      </c>
      <c r="N2347" s="8">
        <f>VLOOKUP(B2347,'[1]новый без картинок'!$A$5:$F$2672,6,0)</f>
        <v>343</v>
      </c>
    </row>
    <row r="2348" spans="1:14" ht="157.5" customHeight="1" x14ac:dyDescent="0.2">
      <c r="A2348" s="3">
        <v>2346</v>
      </c>
      <c r="B2348" s="3">
        <v>193407</v>
      </c>
      <c r="C2348" s="4" t="str">
        <f>HYPERLINK("http://optservis.net:5080/photo?tov_code_internet=193407","Увеличить")</f>
        <v>Увеличить</v>
      </c>
      <c r="D2348" s="3" t="s">
        <v>4688</v>
      </c>
      <c r="E2348" s="3"/>
      <c r="F2348" s="3" t="s">
        <v>4693</v>
      </c>
      <c r="G2348" s="3" t="s">
        <v>175</v>
      </c>
      <c r="H2348" s="3">
        <v>0.33300000000000002</v>
      </c>
      <c r="I2348" s="3">
        <v>0</v>
      </c>
      <c r="J2348" s="3" t="s">
        <v>18</v>
      </c>
      <c r="K2348" s="5">
        <v>0.03</v>
      </c>
      <c r="L2348" s="6">
        <v>0</v>
      </c>
      <c r="M2348" s="7" t="s">
        <v>4694</v>
      </c>
      <c r="N2348" s="8">
        <f>VLOOKUP(B2348,'[1]новый без картинок'!$A$5:$F$2672,6,0)</f>
        <v>367</v>
      </c>
    </row>
    <row r="2349" spans="1:14" ht="157.5" customHeight="1" x14ac:dyDescent="0.2">
      <c r="A2349" s="3">
        <v>2347</v>
      </c>
      <c r="B2349" s="3">
        <v>193405</v>
      </c>
      <c r="C2349" s="4" t="str">
        <f>HYPERLINK("http://optservis.net:5080/photo?tov_code_internet=193405","Увеличить")</f>
        <v>Увеличить</v>
      </c>
      <c r="D2349" s="3" t="s">
        <v>4688</v>
      </c>
      <c r="E2349" s="3"/>
      <c r="F2349" s="3" t="s">
        <v>4540</v>
      </c>
      <c r="G2349" s="3" t="s">
        <v>175</v>
      </c>
      <c r="H2349" s="3">
        <v>0.33300000000000002</v>
      </c>
      <c r="I2349" s="3">
        <v>0</v>
      </c>
      <c r="J2349" s="3" t="s">
        <v>18</v>
      </c>
      <c r="K2349" s="5">
        <v>0.03</v>
      </c>
      <c r="L2349" s="6">
        <v>0</v>
      </c>
      <c r="M2349" s="7" t="s">
        <v>4692</v>
      </c>
      <c r="N2349" s="8">
        <f>VLOOKUP(B2349,'[1]новый без картинок'!$A$5:$F$2672,6,0)</f>
        <v>343</v>
      </c>
    </row>
    <row r="2350" spans="1:14" ht="157.5" customHeight="1" x14ac:dyDescent="0.2">
      <c r="A2350" s="3">
        <v>2348</v>
      </c>
      <c r="B2350" s="3">
        <v>201286</v>
      </c>
      <c r="C2350" s="4" t="str">
        <f>HYPERLINK("http://optservis.net:5080/photo?tov_code_internet=201286","Увеличить")</f>
        <v>Увеличить</v>
      </c>
      <c r="D2350" s="3" t="s">
        <v>4695</v>
      </c>
      <c r="E2350" s="3"/>
      <c r="F2350" s="3" t="s">
        <v>4641</v>
      </c>
      <c r="G2350" s="3" t="s">
        <v>502</v>
      </c>
      <c r="H2350" s="3">
        <v>0.33300000000000002</v>
      </c>
      <c r="I2350" s="3">
        <v>0</v>
      </c>
      <c r="J2350" s="3" t="s">
        <v>18</v>
      </c>
      <c r="K2350" s="5">
        <v>0.03</v>
      </c>
      <c r="L2350" s="6">
        <v>0</v>
      </c>
      <c r="M2350" s="7" t="s">
        <v>4637</v>
      </c>
      <c r="N2350" s="8">
        <f>VLOOKUP(B2350,'[1]новый без картинок'!$A$5:$F$2672,6,0)</f>
        <v>452</v>
      </c>
    </row>
    <row r="2351" spans="1:14" ht="157.5" customHeight="1" x14ac:dyDescent="0.2">
      <c r="A2351" s="3">
        <v>2349</v>
      </c>
      <c r="B2351" s="3">
        <v>193412</v>
      </c>
      <c r="C2351" s="4" t="str">
        <f>HYPERLINK("http://optservis.net:5080/photo?tov_code_internet=193412","Увеличить")</f>
        <v>Увеличить</v>
      </c>
      <c r="D2351" s="3" t="s">
        <v>4695</v>
      </c>
      <c r="E2351" s="3"/>
      <c r="F2351" s="3" t="s">
        <v>4696</v>
      </c>
      <c r="G2351" s="3" t="s">
        <v>502</v>
      </c>
      <c r="H2351" s="3">
        <v>0.33300000000000002</v>
      </c>
      <c r="I2351" s="3">
        <v>0</v>
      </c>
      <c r="J2351" s="3" t="s">
        <v>18</v>
      </c>
      <c r="K2351" s="5">
        <v>0.03</v>
      </c>
      <c r="L2351" s="6">
        <v>0</v>
      </c>
      <c r="M2351" s="7" t="s">
        <v>4697</v>
      </c>
      <c r="N2351" s="8">
        <f>VLOOKUP(B2351,'[1]новый без картинок'!$A$5:$F$2672,6,0)</f>
        <v>456</v>
      </c>
    </row>
    <row r="2352" spans="1:14" ht="157.5" customHeight="1" x14ac:dyDescent="0.2">
      <c r="A2352" s="3">
        <v>2350</v>
      </c>
      <c r="B2352" s="3">
        <v>193411</v>
      </c>
      <c r="C2352" s="4" t="str">
        <f>HYPERLINK("http://optservis.net:5080/photo?tov_code_internet=193411","Увеличить")</f>
        <v>Увеличить</v>
      </c>
      <c r="D2352" s="3" t="s">
        <v>4695</v>
      </c>
      <c r="E2352" s="3" t="s">
        <v>4698</v>
      </c>
      <c r="F2352" s="3" t="s">
        <v>4650</v>
      </c>
      <c r="G2352" s="3" t="s">
        <v>502</v>
      </c>
      <c r="H2352" s="3">
        <v>0.33300000000000002</v>
      </c>
      <c r="I2352" s="3">
        <v>0</v>
      </c>
      <c r="J2352" s="3" t="s">
        <v>18</v>
      </c>
      <c r="K2352" s="5">
        <v>0.03</v>
      </c>
      <c r="L2352" s="6">
        <v>4690654016326</v>
      </c>
      <c r="M2352" s="7" t="s">
        <v>4697</v>
      </c>
      <c r="N2352" s="8">
        <f>VLOOKUP(B2352,'[1]новый без картинок'!$A$5:$F$2672,6,0)</f>
        <v>458</v>
      </c>
    </row>
    <row r="2353" spans="1:14" ht="157.5" customHeight="1" x14ac:dyDescent="0.2">
      <c r="A2353" s="3">
        <v>2351</v>
      </c>
      <c r="B2353" s="3">
        <v>201422</v>
      </c>
      <c r="C2353" s="4" t="str">
        <f>HYPERLINK("http://optservis.net:5080/photo?tov_code_internet=201422","Увеличить")</f>
        <v>Увеличить</v>
      </c>
      <c r="D2353" s="3" t="s">
        <v>4699</v>
      </c>
      <c r="E2353" s="3"/>
      <c r="F2353" s="3" t="s">
        <v>4628</v>
      </c>
      <c r="G2353" s="3" t="s">
        <v>175</v>
      </c>
      <c r="H2353" s="3">
        <v>0.33300000000000002</v>
      </c>
      <c r="I2353" s="3">
        <v>0</v>
      </c>
      <c r="J2353" s="3" t="s">
        <v>18</v>
      </c>
      <c r="K2353" s="5">
        <v>0.02</v>
      </c>
      <c r="L2353" s="6">
        <v>0</v>
      </c>
      <c r="M2353" s="7" t="s">
        <v>4700</v>
      </c>
      <c r="N2353" s="8">
        <f>VLOOKUP(B2353,'[1]новый без картинок'!$A$5:$F$2672,6,0)</f>
        <v>391</v>
      </c>
    </row>
    <row r="2354" spans="1:14" ht="157.5" customHeight="1" x14ac:dyDescent="0.2">
      <c r="A2354" s="3">
        <v>2352</v>
      </c>
      <c r="B2354" s="3">
        <v>193461</v>
      </c>
      <c r="C2354" s="4" t="str">
        <f>HYPERLINK("http://optservis.net:5080/photo?tov_code_internet=193461","Увеличить")</f>
        <v>Увеличить</v>
      </c>
      <c r="D2354" s="3" t="s">
        <v>4699</v>
      </c>
      <c r="E2354" s="3" t="s">
        <v>4701</v>
      </c>
      <c r="F2354" s="3" t="s">
        <v>4693</v>
      </c>
      <c r="G2354" s="3" t="s">
        <v>175</v>
      </c>
      <c r="H2354" s="3">
        <v>0.33300000000000002</v>
      </c>
      <c r="I2354" s="3">
        <v>0</v>
      </c>
      <c r="J2354" s="3" t="s">
        <v>18</v>
      </c>
      <c r="K2354" s="5">
        <v>0.03</v>
      </c>
      <c r="L2354" s="6">
        <v>4690654016197</v>
      </c>
      <c r="M2354" s="7" t="s">
        <v>4541</v>
      </c>
      <c r="N2354" s="8">
        <f>VLOOKUP(B2354,'[1]новый без картинок'!$A$5:$F$2672,6,0)</f>
        <v>397</v>
      </c>
    </row>
    <row r="2355" spans="1:14" ht="157.5" customHeight="1" x14ac:dyDescent="0.2">
      <c r="A2355" s="3">
        <v>2353</v>
      </c>
      <c r="B2355" s="3">
        <v>201285</v>
      </c>
      <c r="C2355" s="4" t="str">
        <f>HYPERLINK("http://optservis.net:5080/photo?tov_code_internet=201285","Увеличить")</f>
        <v>Увеличить</v>
      </c>
      <c r="D2355" s="3" t="s">
        <v>4702</v>
      </c>
      <c r="E2355" s="3"/>
      <c r="F2355" s="3" t="s">
        <v>4636</v>
      </c>
      <c r="G2355" s="3" t="s">
        <v>502</v>
      </c>
      <c r="H2355" s="3">
        <v>0.33300000000000002</v>
      </c>
      <c r="I2355" s="3">
        <v>0</v>
      </c>
      <c r="J2355" s="3" t="s">
        <v>18</v>
      </c>
      <c r="K2355" s="5">
        <v>0.02</v>
      </c>
      <c r="L2355" s="6">
        <v>0</v>
      </c>
      <c r="M2355" s="7" t="s">
        <v>4637</v>
      </c>
      <c r="N2355" s="8">
        <f>VLOOKUP(B2355,'[1]новый без картинок'!$A$5:$F$2672,6,0)</f>
        <v>441</v>
      </c>
    </row>
    <row r="2356" spans="1:14" ht="157.5" customHeight="1" x14ac:dyDescent="0.2">
      <c r="A2356" s="3">
        <v>2354</v>
      </c>
      <c r="B2356" s="3">
        <v>201282</v>
      </c>
      <c r="C2356" s="4" t="str">
        <f>HYPERLINK("http://optservis.net:5080/photo?tov_code_internet=201282","Увеличить")</f>
        <v>Увеличить</v>
      </c>
      <c r="D2356" s="3" t="s">
        <v>4702</v>
      </c>
      <c r="E2356" s="3"/>
      <c r="F2356" s="3" t="s">
        <v>4703</v>
      </c>
      <c r="G2356" s="3" t="s">
        <v>502</v>
      </c>
      <c r="H2356" s="3">
        <v>0.33300000000000002</v>
      </c>
      <c r="I2356" s="3">
        <v>0</v>
      </c>
      <c r="J2356" s="3" t="s">
        <v>18</v>
      </c>
      <c r="K2356" s="5">
        <v>0.02</v>
      </c>
      <c r="L2356" s="6">
        <v>0</v>
      </c>
      <c r="M2356" s="7" t="s">
        <v>4704</v>
      </c>
      <c r="N2356" s="8">
        <f>VLOOKUP(B2356,'[1]новый без картинок'!$A$5:$F$2672,6,0)</f>
        <v>460</v>
      </c>
    </row>
    <row r="2357" spans="1:14" ht="157.5" customHeight="1" x14ac:dyDescent="0.2">
      <c r="A2357" s="3">
        <v>2355</v>
      </c>
      <c r="B2357" s="3">
        <v>201283</v>
      </c>
      <c r="C2357" s="4" t="str">
        <f>HYPERLINK("http://optservis.net:5080/photo?tov_code_internet=201283","Увеличить")</f>
        <v>Увеличить</v>
      </c>
      <c r="D2357" s="3" t="s">
        <v>4702</v>
      </c>
      <c r="E2357" s="3"/>
      <c r="F2357" s="3" t="s">
        <v>4641</v>
      </c>
      <c r="G2357" s="3" t="s">
        <v>502</v>
      </c>
      <c r="H2357" s="3">
        <v>0.33300000000000002</v>
      </c>
      <c r="I2357" s="3">
        <v>0</v>
      </c>
      <c r="J2357" s="3" t="s">
        <v>18</v>
      </c>
      <c r="K2357" s="5">
        <v>0.02</v>
      </c>
      <c r="L2357" s="6">
        <v>0</v>
      </c>
      <c r="M2357" s="7" t="s">
        <v>4637</v>
      </c>
      <c r="N2357" s="8">
        <f>VLOOKUP(B2357,'[1]новый без картинок'!$A$5:$F$2672,6,0)</f>
        <v>451</v>
      </c>
    </row>
    <row r="2358" spans="1:14" ht="157.5" customHeight="1" x14ac:dyDescent="0.2">
      <c r="A2358" s="3">
        <v>2356</v>
      </c>
      <c r="B2358" s="3">
        <v>209134</v>
      </c>
      <c r="C2358" s="4" t="str">
        <f>HYPERLINK("http://optservis.net:5080/photo?tov_code_internet=209134","Увеличить")</f>
        <v>Увеличить</v>
      </c>
      <c r="D2358" s="3" t="s">
        <v>4702</v>
      </c>
      <c r="E2358" s="3"/>
      <c r="F2358" s="3" t="s">
        <v>4705</v>
      </c>
      <c r="G2358" s="3" t="s">
        <v>502</v>
      </c>
      <c r="H2358" s="3">
        <v>0.33300000000000002</v>
      </c>
      <c r="I2358" s="3">
        <v>0</v>
      </c>
      <c r="J2358" s="3" t="s">
        <v>18</v>
      </c>
      <c r="K2358" s="5">
        <v>0.02</v>
      </c>
      <c r="L2358" s="6">
        <v>0</v>
      </c>
      <c r="M2358" s="7" t="s">
        <v>4643</v>
      </c>
      <c r="N2358" s="8">
        <f>VLOOKUP(B2358,'[1]новый без картинок'!$A$5:$F$2672,6,0)</f>
        <v>475</v>
      </c>
    </row>
    <row r="2359" spans="1:14" ht="157.5" customHeight="1" x14ac:dyDescent="0.2">
      <c r="A2359" s="3">
        <v>2357</v>
      </c>
      <c r="B2359" s="3">
        <v>209137</v>
      </c>
      <c r="C2359" s="4" t="str">
        <f>HYPERLINK("http://optservis.net:5080/photo?tov_code_internet=209137","Увеличить")</f>
        <v>Увеличить</v>
      </c>
      <c r="D2359" s="3" t="s">
        <v>4702</v>
      </c>
      <c r="E2359" s="3"/>
      <c r="F2359" s="3" t="s">
        <v>4645</v>
      </c>
      <c r="G2359" s="3" t="s">
        <v>502</v>
      </c>
      <c r="H2359" s="3">
        <v>0.33300000000000002</v>
      </c>
      <c r="I2359" s="3">
        <v>0</v>
      </c>
      <c r="J2359" s="3" t="s">
        <v>18</v>
      </c>
      <c r="K2359" s="5">
        <v>0.02</v>
      </c>
      <c r="L2359" s="6">
        <v>0</v>
      </c>
      <c r="M2359" s="7" t="s">
        <v>4643</v>
      </c>
      <c r="N2359" s="8">
        <f>VLOOKUP(B2359,'[1]новый без картинок'!$A$5:$F$2672,6,0)</f>
        <v>465</v>
      </c>
    </row>
    <row r="2360" spans="1:14" ht="157.5" customHeight="1" x14ac:dyDescent="0.2">
      <c r="A2360" s="3">
        <v>2358</v>
      </c>
      <c r="B2360" s="3">
        <v>201281</v>
      </c>
      <c r="C2360" s="4" t="str">
        <f>HYPERLINK("http://optservis.net:5080/photo?tov_code_internet=201281","Увеличить")</f>
        <v>Увеличить</v>
      </c>
      <c r="D2360" s="3" t="s">
        <v>4702</v>
      </c>
      <c r="E2360" s="3"/>
      <c r="F2360" s="3" t="s">
        <v>4706</v>
      </c>
      <c r="G2360" s="3" t="s">
        <v>502</v>
      </c>
      <c r="H2360" s="3">
        <v>0.33300000000000002</v>
      </c>
      <c r="I2360" s="3">
        <v>0</v>
      </c>
      <c r="J2360" s="3" t="s">
        <v>18</v>
      </c>
      <c r="K2360" s="5">
        <v>0.02</v>
      </c>
      <c r="L2360" s="6">
        <v>0</v>
      </c>
      <c r="M2360" s="7" t="s">
        <v>4704</v>
      </c>
      <c r="N2360" s="8">
        <f>VLOOKUP(B2360,'[1]новый без картинок'!$A$5:$F$2672,6,0)</f>
        <v>460</v>
      </c>
    </row>
    <row r="2361" spans="1:14" ht="157.5" customHeight="1" x14ac:dyDescent="0.2">
      <c r="A2361" s="3">
        <v>2359</v>
      </c>
      <c r="B2361" s="3">
        <v>209138</v>
      </c>
      <c r="C2361" s="4" t="str">
        <f>HYPERLINK("http://optservis.net:5080/photo?tov_code_internet=209138","Увеличить")</f>
        <v>Увеличить</v>
      </c>
      <c r="D2361" s="3" t="s">
        <v>4702</v>
      </c>
      <c r="E2361" s="3" t="s">
        <v>4707</v>
      </c>
      <c r="F2361" s="3" t="s">
        <v>4708</v>
      </c>
      <c r="G2361" s="3" t="s">
        <v>502</v>
      </c>
      <c r="H2361" s="3">
        <v>0.2</v>
      </c>
      <c r="I2361" s="3">
        <v>0</v>
      </c>
      <c r="J2361" s="3" t="s">
        <v>18</v>
      </c>
      <c r="K2361" s="5">
        <v>0.01</v>
      </c>
      <c r="L2361" s="6">
        <v>4690654018597</v>
      </c>
      <c r="M2361" s="7" t="s">
        <v>4643</v>
      </c>
      <c r="N2361" s="8">
        <f>VLOOKUP(B2361,'[1]новый без картинок'!$A$5:$F$2672,6,0)</f>
        <v>455</v>
      </c>
    </row>
    <row r="2362" spans="1:14" ht="157.5" customHeight="1" x14ac:dyDescent="0.2">
      <c r="A2362" s="3">
        <v>2360</v>
      </c>
      <c r="B2362" s="3">
        <v>178703</v>
      </c>
      <c r="C2362" s="4" t="str">
        <f>HYPERLINK("http://optservis.net:5080/photo?tov_code_internet=178703","Увеличить")</f>
        <v>Увеличить</v>
      </c>
      <c r="D2362" s="3" t="s">
        <v>4702</v>
      </c>
      <c r="E2362" s="3" t="s">
        <v>4707</v>
      </c>
      <c r="F2362" s="3" t="s">
        <v>4709</v>
      </c>
      <c r="G2362" s="3" t="s">
        <v>502</v>
      </c>
      <c r="H2362" s="3">
        <v>0.5</v>
      </c>
      <c r="I2362" s="3">
        <v>0</v>
      </c>
      <c r="J2362" s="3" t="s">
        <v>18</v>
      </c>
      <c r="K2362" s="5">
        <v>0.03</v>
      </c>
      <c r="L2362" s="6">
        <v>4690654011826</v>
      </c>
      <c r="M2362" s="7" t="s">
        <v>4710</v>
      </c>
      <c r="N2362" s="8">
        <f>VLOOKUP(B2362,'[1]новый без картинок'!$A$5:$F$2672,6,0)</f>
        <v>404</v>
      </c>
    </row>
    <row r="2363" spans="1:14" ht="151.15" customHeight="1" x14ac:dyDescent="0.2">
      <c r="A2363" s="3">
        <v>2361</v>
      </c>
      <c r="B2363" s="3">
        <v>983123</v>
      </c>
      <c r="C2363" s="4" t="str">
        <f>HYPERLINK("http://optservis.net:5080/photo?tov_code_internet=983123","Увеличить")</f>
        <v>Увеличить</v>
      </c>
      <c r="D2363" s="3" t="s">
        <v>4702</v>
      </c>
      <c r="E2363" s="3" t="s">
        <v>4707</v>
      </c>
      <c r="F2363" s="3" t="s">
        <v>4511</v>
      </c>
      <c r="G2363" s="3" t="s">
        <v>502</v>
      </c>
      <c r="H2363" s="3">
        <v>0.5</v>
      </c>
      <c r="I2363" s="3">
        <v>0</v>
      </c>
      <c r="J2363" s="3" t="s">
        <v>18</v>
      </c>
      <c r="K2363" s="5">
        <v>0.04</v>
      </c>
      <c r="L2363" s="6">
        <v>4690654001698</v>
      </c>
      <c r="M2363" s="7" t="s">
        <v>4710</v>
      </c>
      <c r="N2363" s="8">
        <f>VLOOKUP(B2363,'[1]новый без картинок'!$A$5:$F$2672,6,0)</f>
        <v>432</v>
      </c>
    </row>
    <row r="2364" spans="1:14" ht="157.5" customHeight="1" x14ac:dyDescent="0.2">
      <c r="A2364" s="3">
        <v>2362</v>
      </c>
      <c r="B2364" s="3">
        <v>193459</v>
      </c>
      <c r="C2364" s="4" t="str">
        <f>HYPERLINK("http://optservis.net:5080/photo?tov_code_internet=193459","Увеличить")</f>
        <v>Увеличить</v>
      </c>
      <c r="D2364" s="3" t="s">
        <v>4702</v>
      </c>
      <c r="E2364" s="3" t="s">
        <v>4707</v>
      </c>
      <c r="F2364" s="3" t="s">
        <v>4711</v>
      </c>
      <c r="G2364" s="3" t="s">
        <v>502</v>
      </c>
      <c r="H2364" s="3">
        <v>0.33300000000000002</v>
      </c>
      <c r="I2364" s="3">
        <v>0</v>
      </c>
      <c r="J2364" s="3" t="s">
        <v>18</v>
      </c>
      <c r="K2364" s="5">
        <v>0.03</v>
      </c>
      <c r="L2364" s="6">
        <v>4690654017378</v>
      </c>
      <c r="M2364" s="7" t="s">
        <v>4684</v>
      </c>
      <c r="N2364" s="8">
        <f>VLOOKUP(B2364,'[1]новый без картинок'!$A$5:$F$2672,6,0)</f>
        <v>446</v>
      </c>
    </row>
    <row r="2365" spans="1:14" ht="157.5" customHeight="1" x14ac:dyDescent="0.2">
      <c r="A2365" s="3">
        <v>2363</v>
      </c>
      <c r="B2365" s="3">
        <v>193458</v>
      </c>
      <c r="C2365" s="4" t="str">
        <f>HYPERLINK("http://optservis.net:5080/photo?tov_code_internet=193458","Увеличить")</f>
        <v>Увеличить</v>
      </c>
      <c r="D2365" s="3" t="s">
        <v>4702</v>
      </c>
      <c r="E2365" s="3" t="s">
        <v>4707</v>
      </c>
      <c r="F2365" s="3" t="s">
        <v>4712</v>
      </c>
      <c r="G2365" s="3" t="s">
        <v>502</v>
      </c>
      <c r="H2365" s="3">
        <v>0.33300000000000002</v>
      </c>
      <c r="I2365" s="3">
        <v>0</v>
      </c>
      <c r="J2365" s="3" t="s">
        <v>18</v>
      </c>
      <c r="K2365" s="5">
        <v>0.03</v>
      </c>
      <c r="L2365" s="6">
        <v>4690654016944</v>
      </c>
      <c r="M2365" s="7" t="s">
        <v>4684</v>
      </c>
      <c r="N2365" s="8">
        <f>VLOOKUP(B2365,'[1]новый без картинок'!$A$5:$F$2672,6,0)</f>
        <v>465</v>
      </c>
    </row>
    <row r="2366" spans="1:14" ht="157.5" customHeight="1" x14ac:dyDescent="0.2">
      <c r="A2366" s="3">
        <v>2364</v>
      </c>
      <c r="B2366" s="3">
        <v>193457</v>
      </c>
      <c r="C2366" s="4" t="str">
        <f>HYPERLINK("http://optservis.net:5080/photo?tov_code_internet=193457","Увеличить")</f>
        <v>Увеличить</v>
      </c>
      <c r="D2366" s="3" t="s">
        <v>4702</v>
      </c>
      <c r="E2366" s="3" t="s">
        <v>4707</v>
      </c>
      <c r="F2366" s="3" t="s">
        <v>4696</v>
      </c>
      <c r="G2366" s="3" t="s">
        <v>502</v>
      </c>
      <c r="H2366" s="3">
        <v>0.33300000000000002</v>
      </c>
      <c r="I2366" s="3">
        <v>0</v>
      </c>
      <c r="J2366" s="3" t="s">
        <v>18</v>
      </c>
      <c r="K2366" s="5">
        <v>0.03</v>
      </c>
      <c r="L2366" s="6">
        <v>4690654017231</v>
      </c>
      <c r="M2366" s="7" t="s">
        <v>4684</v>
      </c>
      <c r="N2366" s="8">
        <f>VLOOKUP(B2366,'[1]новый без картинок'!$A$5:$F$2672,6,0)</f>
        <v>446</v>
      </c>
    </row>
    <row r="2367" spans="1:14" ht="157.5" customHeight="1" x14ac:dyDescent="0.2">
      <c r="A2367" s="3">
        <v>2365</v>
      </c>
      <c r="B2367" s="3">
        <v>193453</v>
      </c>
      <c r="C2367" s="4" t="str">
        <f>HYPERLINK("http://optservis.net:5080/photo?tov_code_internet=193453","Увеличить")</f>
        <v>Увеличить</v>
      </c>
      <c r="D2367" s="3" t="s">
        <v>4702</v>
      </c>
      <c r="E2367" s="3" t="s">
        <v>4707</v>
      </c>
      <c r="F2367" s="3" t="s">
        <v>4713</v>
      </c>
      <c r="G2367" s="3" t="s">
        <v>502</v>
      </c>
      <c r="H2367" s="3">
        <v>0.5</v>
      </c>
      <c r="I2367" s="3">
        <v>0</v>
      </c>
      <c r="J2367" s="3" t="s">
        <v>18</v>
      </c>
      <c r="K2367" s="5">
        <v>0.05</v>
      </c>
      <c r="L2367" s="6">
        <v>4690654014735</v>
      </c>
      <c r="M2367" s="7" t="s">
        <v>4714</v>
      </c>
      <c r="N2367" s="8">
        <f>VLOOKUP(B2367,'[1]новый без картинок'!$A$5:$F$2672,6,0)</f>
        <v>456</v>
      </c>
    </row>
    <row r="2368" spans="1:14" ht="157.5" customHeight="1" x14ac:dyDescent="0.2">
      <c r="A2368" s="3">
        <v>2366</v>
      </c>
      <c r="B2368" s="3">
        <v>193456</v>
      </c>
      <c r="C2368" s="4" t="str">
        <f>HYPERLINK("http://optservis.net:5080/photo?tov_code_internet=193456","Увеличить")</f>
        <v>Увеличить</v>
      </c>
      <c r="D2368" s="3" t="s">
        <v>4702</v>
      </c>
      <c r="E2368" s="3" t="s">
        <v>4707</v>
      </c>
      <c r="F2368" s="3" t="s">
        <v>4715</v>
      </c>
      <c r="G2368" s="3" t="s">
        <v>502</v>
      </c>
      <c r="H2368" s="3">
        <v>0.5</v>
      </c>
      <c r="I2368" s="3">
        <v>0</v>
      </c>
      <c r="J2368" s="3" t="s">
        <v>18</v>
      </c>
      <c r="K2368" s="5">
        <v>0.04</v>
      </c>
      <c r="L2368" s="6">
        <v>4690654014667</v>
      </c>
      <c r="M2368" s="7" t="s">
        <v>4684</v>
      </c>
      <c r="N2368" s="8">
        <f>VLOOKUP(B2368,'[1]новый без картинок'!$A$5:$F$2672,6,0)</f>
        <v>465</v>
      </c>
    </row>
    <row r="2369" spans="1:14" ht="157.5" customHeight="1" x14ac:dyDescent="0.2">
      <c r="A2369" s="3">
        <v>2367</v>
      </c>
      <c r="B2369" s="3">
        <v>212662</v>
      </c>
      <c r="C2369" s="4" t="str">
        <f>HYPERLINK("http://optservis.net:5080/photo?tov_code_internet=212662","Увеличить")</f>
        <v>Увеличить</v>
      </c>
      <c r="D2369" s="3" t="s">
        <v>4716</v>
      </c>
      <c r="E2369" s="3"/>
      <c r="F2369" s="3" t="s">
        <v>4717</v>
      </c>
      <c r="G2369" s="3" t="s">
        <v>175</v>
      </c>
      <c r="H2369" s="3">
        <v>0.2</v>
      </c>
      <c r="I2369" s="3">
        <v>0</v>
      </c>
      <c r="J2369" s="3" t="s">
        <v>18</v>
      </c>
      <c r="K2369" s="5">
        <v>0.02</v>
      </c>
      <c r="L2369" s="6">
        <v>0</v>
      </c>
      <c r="M2369" s="7" t="s">
        <v>4718</v>
      </c>
      <c r="N2369" s="8">
        <f>VLOOKUP(B2369,'[1]новый без картинок'!$A$5:$F$2672,6,0)</f>
        <v>469</v>
      </c>
    </row>
    <row r="2370" spans="1:14" ht="157.5" customHeight="1" x14ac:dyDescent="0.2">
      <c r="A2370" s="3">
        <v>2368</v>
      </c>
      <c r="B2370" s="3">
        <v>212661</v>
      </c>
      <c r="C2370" s="4" t="str">
        <f>HYPERLINK("http://optservis.net:5080/photo?tov_code_internet=212661","Увеличить")</f>
        <v>Увеличить</v>
      </c>
      <c r="D2370" s="3" t="s">
        <v>4716</v>
      </c>
      <c r="E2370" s="3" t="s">
        <v>4719</v>
      </c>
      <c r="F2370" s="3" t="s">
        <v>4578</v>
      </c>
      <c r="G2370" s="3" t="s">
        <v>175</v>
      </c>
      <c r="H2370" s="3">
        <v>0.2</v>
      </c>
      <c r="I2370" s="3">
        <v>0</v>
      </c>
      <c r="J2370" s="3" t="s">
        <v>18</v>
      </c>
      <c r="K2370" s="5">
        <v>0.02</v>
      </c>
      <c r="L2370" s="6">
        <v>4690654020842</v>
      </c>
      <c r="M2370" s="7" t="s">
        <v>4718</v>
      </c>
      <c r="N2370" s="8">
        <f>VLOOKUP(B2370,'[1]новый без картинок'!$A$5:$F$2672,6,0)</f>
        <v>458</v>
      </c>
    </row>
    <row r="2371" spans="1:14" ht="157.5" customHeight="1" x14ac:dyDescent="0.2">
      <c r="A2371" s="3">
        <v>2369</v>
      </c>
      <c r="B2371" s="3">
        <v>208868</v>
      </c>
      <c r="C2371" s="4" t="str">
        <f>HYPERLINK("http://optservis.net:5080/photo?tov_code_internet=208868","Увеличить")</f>
        <v>Увеличить</v>
      </c>
      <c r="D2371" s="3" t="s">
        <v>4720</v>
      </c>
      <c r="E2371" s="3"/>
      <c r="F2371" s="3" t="s">
        <v>4560</v>
      </c>
      <c r="G2371" s="3" t="s">
        <v>502</v>
      </c>
      <c r="H2371" s="3">
        <v>0.33300000000000002</v>
      </c>
      <c r="I2371" s="3">
        <v>0</v>
      </c>
      <c r="J2371" s="3" t="s">
        <v>18</v>
      </c>
      <c r="K2371" s="5">
        <v>0.03</v>
      </c>
      <c r="L2371" s="6">
        <v>0</v>
      </c>
      <c r="M2371" s="7" t="s">
        <v>4721</v>
      </c>
      <c r="N2371" s="8">
        <f>VLOOKUP(B2371,'[1]новый без картинок'!$A$5:$F$2672,6,0)</f>
        <v>473</v>
      </c>
    </row>
    <row r="2372" spans="1:14" ht="157.5" customHeight="1" x14ac:dyDescent="0.2">
      <c r="A2372" s="3">
        <v>2370</v>
      </c>
      <c r="B2372" s="3">
        <v>203675</v>
      </c>
      <c r="C2372" s="4" t="str">
        <f>HYPERLINK("http://optservis.net:5080/photo?tov_code_internet=203675","Увеличить")</f>
        <v>Увеличить</v>
      </c>
      <c r="D2372" s="3" t="s">
        <v>4720</v>
      </c>
      <c r="E2372" s="3"/>
      <c r="F2372" s="3" t="s">
        <v>4722</v>
      </c>
      <c r="G2372" s="3" t="s">
        <v>502</v>
      </c>
      <c r="H2372" s="3">
        <v>0.33300000000000002</v>
      </c>
      <c r="I2372" s="3">
        <v>0</v>
      </c>
      <c r="J2372" s="3" t="s">
        <v>18</v>
      </c>
      <c r="K2372" s="5">
        <v>0.03</v>
      </c>
      <c r="L2372" s="6">
        <v>0</v>
      </c>
      <c r="M2372" s="7" t="s">
        <v>4723</v>
      </c>
      <c r="N2372" s="8">
        <f>VLOOKUP(B2372,'[1]новый без картинок'!$A$5:$F$2672,6,0)</f>
        <v>460</v>
      </c>
    </row>
    <row r="2373" spans="1:14" ht="157.5" customHeight="1" x14ac:dyDescent="0.2">
      <c r="A2373" s="3">
        <v>2371</v>
      </c>
      <c r="B2373" s="3">
        <v>209135</v>
      </c>
      <c r="C2373" s="4" t="str">
        <f>HYPERLINK("http://optservis.net:5080/photo?tov_code_internet=209135","Увеличить")</f>
        <v>Увеличить</v>
      </c>
      <c r="D2373" s="3" t="s">
        <v>4720</v>
      </c>
      <c r="E2373" s="3"/>
      <c r="F2373" s="3" t="s">
        <v>4724</v>
      </c>
      <c r="G2373" s="3" t="s">
        <v>502</v>
      </c>
      <c r="H2373" s="3">
        <v>0.33300000000000002</v>
      </c>
      <c r="I2373" s="3">
        <v>0</v>
      </c>
      <c r="J2373" s="3" t="s">
        <v>18</v>
      </c>
      <c r="K2373" s="5">
        <v>0.03</v>
      </c>
      <c r="L2373" s="6">
        <v>0</v>
      </c>
      <c r="M2373" s="7" t="s">
        <v>4643</v>
      </c>
      <c r="N2373" s="8">
        <f>VLOOKUP(B2373,'[1]новый без картинок'!$A$5:$F$2672,6,0)</f>
        <v>484</v>
      </c>
    </row>
    <row r="2374" spans="1:14" ht="157.5" customHeight="1" x14ac:dyDescent="0.2">
      <c r="A2374" s="3">
        <v>2372</v>
      </c>
      <c r="B2374" s="3">
        <v>201279</v>
      </c>
      <c r="C2374" s="4" t="str">
        <f>HYPERLINK("http://optservis.net:5080/photo?tov_code_internet=201279","Увеличить")</f>
        <v>Увеличить</v>
      </c>
      <c r="D2374" s="3" t="s">
        <v>4720</v>
      </c>
      <c r="E2374" s="3"/>
      <c r="F2374" s="3" t="s">
        <v>4725</v>
      </c>
      <c r="G2374" s="3" t="s">
        <v>502</v>
      </c>
      <c r="H2374" s="3">
        <v>0.33300000000000002</v>
      </c>
      <c r="I2374" s="3">
        <v>0</v>
      </c>
      <c r="J2374" s="3" t="s">
        <v>18</v>
      </c>
      <c r="K2374" s="5">
        <v>0.03</v>
      </c>
      <c r="L2374" s="6">
        <v>0</v>
      </c>
      <c r="M2374" s="7" t="s">
        <v>4704</v>
      </c>
      <c r="N2374" s="8">
        <f>VLOOKUP(B2374,'[1]новый без картинок'!$A$5:$F$2672,6,0)</f>
        <v>469</v>
      </c>
    </row>
    <row r="2375" spans="1:14" ht="157.5" customHeight="1" x14ac:dyDescent="0.2">
      <c r="A2375" s="3">
        <v>2373</v>
      </c>
      <c r="B2375" s="3">
        <v>203674</v>
      </c>
      <c r="C2375" s="4" t="str">
        <f>HYPERLINK("http://optservis.net:5080/photo?tov_code_internet=203674","Увеличить")</f>
        <v>Увеличить</v>
      </c>
      <c r="D2375" s="3" t="s">
        <v>4720</v>
      </c>
      <c r="E2375" s="3"/>
      <c r="F2375" s="3" t="s">
        <v>4726</v>
      </c>
      <c r="G2375" s="3" t="s">
        <v>502</v>
      </c>
      <c r="H2375" s="3">
        <v>0.33300000000000002</v>
      </c>
      <c r="I2375" s="3">
        <v>0</v>
      </c>
      <c r="J2375" s="3" t="s">
        <v>18</v>
      </c>
      <c r="K2375" s="5">
        <v>0.03</v>
      </c>
      <c r="L2375" s="6">
        <v>0</v>
      </c>
      <c r="M2375" s="7" t="s">
        <v>4727</v>
      </c>
      <c r="N2375" s="8">
        <f>VLOOKUP(B2375,'[1]новый без картинок'!$A$5:$F$2672,6,0)</f>
        <v>464</v>
      </c>
    </row>
    <row r="2376" spans="1:14" ht="157.5" customHeight="1" x14ac:dyDescent="0.2">
      <c r="A2376" s="3">
        <v>2374</v>
      </c>
      <c r="B2376" s="3">
        <v>200604</v>
      </c>
      <c r="C2376" s="4" t="str">
        <f>HYPERLINK("http://optservis.net:5080/photo?tov_code_internet=200604","Увеличить")</f>
        <v>Увеличить</v>
      </c>
      <c r="D2376" s="3" t="s">
        <v>4720</v>
      </c>
      <c r="E2376" s="3" t="s">
        <v>4728</v>
      </c>
      <c r="F2376" s="3" t="s">
        <v>4729</v>
      </c>
      <c r="G2376" s="3" t="s">
        <v>502</v>
      </c>
      <c r="H2376" s="3">
        <v>0.33300000000000002</v>
      </c>
      <c r="I2376" s="3">
        <v>0</v>
      </c>
      <c r="J2376" s="3" t="s">
        <v>18</v>
      </c>
      <c r="K2376" s="5">
        <v>0.03</v>
      </c>
      <c r="L2376" s="6">
        <v>4690654020262</v>
      </c>
      <c r="M2376" s="7" t="s">
        <v>4730</v>
      </c>
      <c r="N2376" s="8">
        <f>VLOOKUP(B2376,'[1]новый без картинок'!$A$5:$F$2672,6,0)</f>
        <v>475</v>
      </c>
    </row>
    <row r="2377" spans="1:14" ht="157.5" customHeight="1" x14ac:dyDescent="0.2">
      <c r="A2377" s="3">
        <v>2375</v>
      </c>
      <c r="B2377" s="3">
        <v>208864</v>
      </c>
      <c r="C2377" s="4" t="str">
        <f>HYPERLINK("http://optservis.net:5080/photo?tov_code_internet=208864","Увеличить")</f>
        <v>Увеличить</v>
      </c>
      <c r="D2377" s="3" t="s">
        <v>4720</v>
      </c>
      <c r="E2377" s="3" t="s">
        <v>4728</v>
      </c>
      <c r="F2377" s="3" t="s">
        <v>4668</v>
      </c>
      <c r="G2377" s="3" t="s">
        <v>502</v>
      </c>
      <c r="H2377" s="3">
        <v>0.33300000000000002</v>
      </c>
      <c r="I2377" s="3">
        <v>0</v>
      </c>
      <c r="J2377" s="3" t="s">
        <v>18</v>
      </c>
      <c r="K2377" s="5">
        <v>0.03</v>
      </c>
      <c r="L2377" s="6">
        <v>4690654019235</v>
      </c>
      <c r="M2377" s="7" t="s">
        <v>4721</v>
      </c>
      <c r="N2377" s="8">
        <f>VLOOKUP(B2377,'[1]новый без картинок'!$A$5:$F$2672,6,0)</f>
        <v>478</v>
      </c>
    </row>
    <row r="2378" spans="1:14" ht="157.5" customHeight="1" x14ac:dyDescent="0.2">
      <c r="A2378" s="3">
        <v>2376</v>
      </c>
      <c r="B2378" s="3">
        <v>200605</v>
      </c>
      <c r="C2378" s="4" t="str">
        <f>HYPERLINK("http://optservis.net:5080/photo?tov_code_internet=200605","Увеличить")</f>
        <v>Увеличить</v>
      </c>
      <c r="D2378" s="3" t="s">
        <v>4720</v>
      </c>
      <c r="E2378" s="3" t="s">
        <v>4728</v>
      </c>
      <c r="F2378" s="3" t="s">
        <v>4731</v>
      </c>
      <c r="G2378" s="3" t="s">
        <v>502</v>
      </c>
      <c r="H2378" s="3">
        <v>0.33300000000000002</v>
      </c>
      <c r="I2378" s="3">
        <v>0</v>
      </c>
      <c r="J2378" s="3" t="s">
        <v>18</v>
      </c>
      <c r="K2378" s="5">
        <v>0.03</v>
      </c>
      <c r="L2378" s="6">
        <v>4690654018634</v>
      </c>
      <c r="M2378" s="7" t="s">
        <v>4732</v>
      </c>
      <c r="N2378" s="8">
        <f>VLOOKUP(B2378,'[1]новый без картинок'!$A$5:$F$2672,6,0)</f>
        <v>460</v>
      </c>
    </row>
    <row r="2379" spans="1:14" ht="157.5" customHeight="1" x14ac:dyDescent="0.2">
      <c r="A2379" s="3">
        <v>2377</v>
      </c>
      <c r="B2379" s="3">
        <v>192597</v>
      </c>
      <c r="C2379" s="4" t="str">
        <f>HYPERLINK("http://optservis.net:5080/photo?tov_code_internet=192597","Увеличить")</f>
        <v>Увеличить</v>
      </c>
      <c r="D2379" s="3" t="s">
        <v>4733</v>
      </c>
      <c r="E2379" s="3"/>
      <c r="F2379" s="3" t="s">
        <v>4734</v>
      </c>
      <c r="G2379" s="3" t="s">
        <v>4594</v>
      </c>
      <c r="H2379" s="3">
        <v>0.33300000000000002</v>
      </c>
      <c r="I2379" s="3">
        <v>0</v>
      </c>
      <c r="J2379" s="3" t="s">
        <v>18</v>
      </c>
      <c r="K2379" s="5">
        <v>0.05</v>
      </c>
      <c r="L2379" s="6">
        <v>0</v>
      </c>
      <c r="M2379" s="7" t="s">
        <v>4735</v>
      </c>
      <c r="N2379" s="8">
        <f>VLOOKUP(B2379,'[1]новый без картинок'!$A$5:$F$2672,6,0)</f>
        <v>1078</v>
      </c>
    </row>
    <row r="2380" spans="1:14" ht="157.5" customHeight="1" x14ac:dyDescent="0.2">
      <c r="A2380" s="3">
        <v>2378</v>
      </c>
      <c r="B2380" s="3">
        <v>196211</v>
      </c>
      <c r="C2380" s="4" t="str">
        <f>HYPERLINK("http://optservis.net:5080/photo?tov_code_internet=196211","Увеличить")</f>
        <v>Увеличить</v>
      </c>
      <c r="D2380" s="3" t="s">
        <v>4733</v>
      </c>
      <c r="E2380" s="3"/>
      <c r="F2380" s="3" t="s">
        <v>4600</v>
      </c>
      <c r="G2380" s="3" t="s">
        <v>4594</v>
      </c>
      <c r="H2380" s="3">
        <v>0.33300000000000002</v>
      </c>
      <c r="I2380" s="3">
        <v>0</v>
      </c>
      <c r="J2380" s="3" t="s">
        <v>18</v>
      </c>
      <c r="K2380" s="5">
        <v>0.05</v>
      </c>
      <c r="L2380" s="6">
        <v>0</v>
      </c>
      <c r="M2380" s="7" t="s">
        <v>4736</v>
      </c>
      <c r="N2380" s="8">
        <f>VLOOKUP(B2380,'[1]новый без картинок'!$A$5:$F$2672,6,0)</f>
        <v>993</v>
      </c>
    </row>
    <row r="2381" spans="1:14" ht="157.5" customHeight="1" x14ac:dyDescent="0.2">
      <c r="A2381" s="3">
        <v>2379</v>
      </c>
      <c r="B2381" s="3">
        <v>196193</v>
      </c>
      <c r="C2381" s="4" t="str">
        <f>HYPERLINK("http://optservis.net:5080/photo?tov_code_internet=196193","Увеличить")</f>
        <v>Увеличить</v>
      </c>
      <c r="D2381" s="3" t="s">
        <v>4733</v>
      </c>
      <c r="E2381" s="3"/>
      <c r="F2381" s="3" t="s">
        <v>4737</v>
      </c>
      <c r="G2381" s="3" t="s">
        <v>668</v>
      </c>
      <c r="H2381" s="3">
        <v>0.33300000000000002</v>
      </c>
      <c r="I2381" s="3">
        <v>0</v>
      </c>
      <c r="J2381" s="3" t="s">
        <v>18</v>
      </c>
      <c r="K2381" s="5">
        <v>0.05</v>
      </c>
      <c r="L2381" s="6">
        <v>0</v>
      </c>
      <c r="M2381" s="7" t="s">
        <v>4595</v>
      </c>
      <c r="N2381" s="8">
        <f>VLOOKUP(B2381,'[1]новый без картинок'!$A$5:$F$2672,6,0)</f>
        <v>1156</v>
      </c>
    </row>
    <row r="2382" spans="1:14" ht="157.5" customHeight="1" x14ac:dyDescent="0.2">
      <c r="A2382" s="3">
        <v>2380</v>
      </c>
      <c r="B2382" s="3">
        <v>196204</v>
      </c>
      <c r="C2382" s="4" t="str">
        <f>HYPERLINK("http://optservis.net:5080/photo?tov_code_internet=196204","Увеличить")</f>
        <v>Увеличить</v>
      </c>
      <c r="D2382" s="3" t="s">
        <v>4738</v>
      </c>
      <c r="E2382" s="3"/>
      <c r="F2382" s="3" t="s">
        <v>4739</v>
      </c>
      <c r="G2382" s="3" t="s">
        <v>4594</v>
      </c>
      <c r="H2382" s="3">
        <v>0.33300000000000002</v>
      </c>
      <c r="I2382" s="3">
        <v>0</v>
      </c>
      <c r="J2382" s="3" t="s">
        <v>18</v>
      </c>
      <c r="K2382" s="5">
        <v>0.05</v>
      </c>
      <c r="L2382" s="6">
        <v>0</v>
      </c>
      <c r="M2382" s="7" t="s">
        <v>4740</v>
      </c>
      <c r="N2382" s="8">
        <f>VLOOKUP(B2382,'[1]новый без картинок'!$A$5:$F$2672,6,0)</f>
        <v>1399</v>
      </c>
    </row>
    <row r="2383" spans="1:14" ht="157.5" customHeight="1" x14ac:dyDescent="0.2">
      <c r="A2383" s="3">
        <v>2381</v>
      </c>
      <c r="B2383" s="3">
        <v>209146</v>
      </c>
      <c r="C2383" s="4" t="str">
        <f>HYPERLINK("http://optservis.net:5080/photo?tov_code_internet=209146","Увеличить")</f>
        <v>Увеличить</v>
      </c>
      <c r="D2383" s="3" t="s">
        <v>4741</v>
      </c>
      <c r="E2383" s="3"/>
      <c r="F2383" s="3" t="s">
        <v>4742</v>
      </c>
      <c r="G2383" s="3" t="s">
        <v>110</v>
      </c>
      <c r="H2383" s="3">
        <v>0.33300000000000002</v>
      </c>
      <c r="I2383" s="3">
        <v>0</v>
      </c>
      <c r="J2383" s="3" t="s">
        <v>18</v>
      </c>
      <c r="K2383" s="5">
        <v>0.03</v>
      </c>
      <c r="L2383" s="6">
        <v>0</v>
      </c>
      <c r="M2383" s="7" t="s">
        <v>4743</v>
      </c>
      <c r="N2383" s="8">
        <f>VLOOKUP(B2383,'[1]новый без картинок'!$A$5:$F$2672,6,0)</f>
        <v>436</v>
      </c>
    </row>
    <row r="2384" spans="1:14" ht="157.5" customHeight="1" x14ac:dyDescent="0.2">
      <c r="A2384" s="3">
        <v>2382</v>
      </c>
      <c r="B2384" s="3">
        <v>201426</v>
      </c>
      <c r="C2384" s="4" t="str">
        <f>HYPERLINK("http://optservis.net:5080/photo?tov_code_internet=201426","Увеличить")</f>
        <v>Увеличить</v>
      </c>
      <c r="D2384" s="3" t="s">
        <v>4744</v>
      </c>
      <c r="E2384" s="3"/>
      <c r="F2384" s="3" t="s">
        <v>4689</v>
      </c>
      <c r="G2384" s="3" t="s">
        <v>110</v>
      </c>
      <c r="H2384" s="3">
        <v>0.33300000000000002</v>
      </c>
      <c r="I2384" s="3">
        <v>0</v>
      </c>
      <c r="J2384" s="3" t="s">
        <v>18</v>
      </c>
      <c r="K2384" s="5">
        <v>0.03</v>
      </c>
      <c r="L2384" s="6">
        <v>0</v>
      </c>
      <c r="M2384" s="7" t="s">
        <v>4745</v>
      </c>
      <c r="N2384" s="8">
        <f>VLOOKUP(B2384,'[1]новый без картинок'!$A$5:$F$2672,6,0)</f>
        <v>423</v>
      </c>
    </row>
    <row r="2385" spans="1:14" ht="157.5" customHeight="1" x14ac:dyDescent="0.2">
      <c r="A2385" s="3">
        <v>2383</v>
      </c>
      <c r="B2385" s="3">
        <v>193400</v>
      </c>
      <c r="C2385" s="4" t="str">
        <f>HYPERLINK("http://optservis.net:5080/photo?tov_code_internet=193400","Увеличить")</f>
        <v>Увеличить</v>
      </c>
      <c r="D2385" s="3" t="s">
        <v>4746</v>
      </c>
      <c r="E2385" s="3" t="s">
        <v>4747</v>
      </c>
      <c r="F2385" s="3" t="s">
        <v>4748</v>
      </c>
      <c r="G2385" s="3" t="s">
        <v>110</v>
      </c>
      <c r="H2385" s="3">
        <v>0.33300000000000002</v>
      </c>
      <c r="I2385" s="3">
        <v>0</v>
      </c>
      <c r="J2385" s="3" t="s">
        <v>18</v>
      </c>
      <c r="K2385" s="5">
        <v>0.03</v>
      </c>
      <c r="L2385" s="6">
        <v>4690654018153</v>
      </c>
      <c r="M2385" s="7" t="s">
        <v>4488</v>
      </c>
      <c r="N2385" s="8">
        <f>VLOOKUP(B2385,'[1]новый без картинок'!$A$5:$F$2672,6,0)</f>
        <v>426</v>
      </c>
    </row>
    <row r="2386" spans="1:14" ht="157.5" customHeight="1" x14ac:dyDescent="0.2">
      <c r="A2386" s="3">
        <v>2384</v>
      </c>
      <c r="B2386" s="3">
        <v>193446</v>
      </c>
      <c r="C2386" s="4" t="str">
        <f>HYPERLINK("http://optservis.net:5080/photo?tov_code_internet=193446","Увеличить")</f>
        <v>Увеличить</v>
      </c>
      <c r="D2386" s="3" t="s">
        <v>4749</v>
      </c>
      <c r="E2386" s="3"/>
      <c r="F2386" s="3" t="s">
        <v>4750</v>
      </c>
      <c r="G2386" s="3" t="s">
        <v>665</v>
      </c>
      <c r="H2386" s="3">
        <v>0.33300000000000002</v>
      </c>
      <c r="I2386" s="3">
        <v>0</v>
      </c>
      <c r="J2386" s="3" t="s">
        <v>18</v>
      </c>
      <c r="K2386" s="5">
        <v>0.04</v>
      </c>
      <c r="L2386" s="6">
        <v>0</v>
      </c>
      <c r="M2386" s="7" t="s">
        <v>4751</v>
      </c>
      <c r="N2386" s="8">
        <f>VLOOKUP(B2386,'[1]новый без картинок'!$A$5:$F$2672,6,0)</f>
        <v>653</v>
      </c>
    </row>
    <row r="2387" spans="1:14" ht="157.5" customHeight="1" x14ac:dyDescent="0.2">
      <c r="A2387" s="3">
        <v>2385</v>
      </c>
      <c r="B2387" s="3">
        <v>193399</v>
      </c>
      <c r="C2387" s="4" t="str">
        <f>HYPERLINK("http://optservis.net:5080/photo?tov_code_internet=193399","Увеличить")</f>
        <v>Увеличить</v>
      </c>
      <c r="D2387" s="3" t="s">
        <v>4752</v>
      </c>
      <c r="E2387" s="3"/>
      <c r="F2387" s="3" t="s">
        <v>4753</v>
      </c>
      <c r="G2387" s="3" t="s">
        <v>668</v>
      </c>
      <c r="H2387" s="3">
        <v>0.33300000000000002</v>
      </c>
      <c r="I2387" s="3">
        <v>0</v>
      </c>
      <c r="J2387" s="3" t="s">
        <v>18</v>
      </c>
      <c r="K2387" s="5">
        <v>0.05</v>
      </c>
      <c r="L2387" s="6">
        <v>0</v>
      </c>
      <c r="M2387" s="7" t="s">
        <v>4754</v>
      </c>
      <c r="N2387" s="8">
        <f>VLOOKUP(B2387,'[1]новый без картинок'!$A$5:$F$2672,6,0)</f>
        <v>1134</v>
      </c>
    </row>
    <row r="2388" spans="1:14" ht="157.5" customHeight="1" x14ac:dyDescent="0.2">
      <c r="A2388" s="3">
        <v>2386</v>
      </c>
      <c r="B2388" s="3">
        <v>193409</v>
      </c>
      <c r="C2388" s="4" t="str">
        <f>HYPERLINK("http://optservis.net:5080/photo?tov_code_internet=193409","Увеличить")</f>
        <v>Увеличить</v>
      </c>
      <c r="D2388" s="3" t="s">
        <v>4755</v>
      </c>
      <c r="E2388" s="3" t="s">
        <v>4756</v>
      </c>
      <c r="F2388" s="3" t="s">
        <v>4757</v>
      </c>
      <c r="G2388" s="3" t="s">
        <v>665</v>
      </c>
      <c r="H2388" s="3">
        <v>0.33300000000000002</v>
      </c>
      <c r="I2388" s="3">
        <v>0</v>
      </c>
      <c r="J2388" s="3" t="s">
        <v>18</v>
      </c>
      <c r="K2388" s="5">
        <v>0.04</v>
      </c>
      <c r="L2388" s="6">
        <v>4690654021085</v>
      </c>
      <c r="M2388" s="7" t="s">
        <v>4758</v>
      </c>
      <c r="N2388" s="8">
        <f>VLOOKUP(B2388,'[1]новый без картинок'!$A$5:$F$2672,6,0)</f>
        <v>839</v>
      </c>
    </row>
    <row r="2389" spans="1:14" ht="157.5" customHeight="1" x14ac:dyDescent="0.2">
      <c r="A2389" s="3">
        <v>2387</v>
      </c>
      <c r="B2389" s="3">
        <v>164509</v>
      </c>
      <c r="C2389" s="4" t="str">
        <f>HYPERLINK("http://optservis.net:5080/photo?tov_code_internet=164509","Увеличить")</f>
        <v>Увеличить</v>
      </c>
      <c r="D2389" s="3" t="s">
        <v>4759</v>
      </c>
      <c r="E2389" s="3"/>
      <c r="F2389" s="3" t="s">
        <v>4760</v>
      </c>
      <c r="G2389" s="3" t="s">
        <v>175</v>
      </c>
      <c r="H2389" s="3">
        <v>0.5</v>
      </c>
      <c r="I2389" s="3">
        <v>0</v>
      </c>
      <c r="J2389" s="3" t="s">
        <v>18</v>
      </c>
      <c r="K2389" s="5">
        <v>0.05</v>
      </c>
      <c r="L2389" s="6">
        <v>0</v>
      </c>
      <c r="M2389" s="7" t="s">
        <v>4761</v>
      </c>
      <c r="N2389" s="8">
        <f>VLOOKUP(B2389,'[1]новый без картинок'!$A$5:$F$2672,6,0)</f>
        <v>342</v>
      </c>
    </row>
    <row r="2390" spans="1:14" ht="157.5" customHeight="1" x14ac:dyDescent="0.2">
      <c r="A2390" s="3">
        <v>2388</v>
      </c>
      <c r="B2390" s="3">
        <v>164144</v>
      </c>
      <c r="C2390" s="4" t="str">
        <f>HYPERLINK("http://optservis.net:5080/photo?tov_code_internet=164144","Увеличить")</f>
        <v>Увеличить</v>
      </c>
      <c r="D2390" s="3" t="s">
        <v>4759</v>
      </c>
      <c r="E2390" s="3" t="s">
        <v>4762</v>
      </c>
      <c r="F2390" s="3" t="s">
        <v>4763</v>
      </c>
      <c r="G2390" s="3" t="s">
        <v>175</v>
      </c>
      <c r="H2390" s="3">
        <v>0.5</v>
      </c>
      <c r="I2390" s="3">
        <v>0</v>
      </c>
      <c r="J2390" s="3" t="s">
        <v>18</v>
      </c>
      <c r="K2390" s="5">
        <v>0.05</v>
      </c>
      <c r="L2390" s="6">
        <v>4690654010225</v>
      </c>
      <c r="M2390" s="7" t="s">
        <v>4761</v>
      </c>
      <c r="N2390" s="8">
        <f>VLOOKUP(B2390,'[1]новый без картинок'!$A$5:$F$2672,6,0)</f>
        <v>429</v>
      </c>
    </row>
    <row r="2391" spans="1:14" ht="157.5" customHeight="1" x14ac:dyDescent="0.2">
      <c r="A2391" s="3">
        <v>2389</v>
      </c>
      <c r="B2391" s="3">
        <v>211173</v>
      </c>
      <c r="C2391" s="4" t="str">
        <f>HYPERLINK("http://optservis.net:5080/photo?tov_code_internet=211173","Увеличить")</f>
        <v>Увеличить</v>
      </c>
      <c r="D2391" s="3" t="s">
        <v>4764</v>
      </c>
      <c r="E2391" s="3"/>
      <c r="F2391" s="3" t="s">
        <v>4765</v>
      </c>
      <c r="G2391" s="3" t="s">
        <v>502</v>
      </c>
      <c r="H2391" s="3">
        <v>0.2</v>
      </c>
      <c r="I2391" s="3">
        <v>0</v>
      </c>
      <c r="J2391" s="3" t="s">
        <v>18</v>
      </c>
      <c r="K2391" s="5">
        <v>0.01</v>
      </c>
      <c r="L2391" s="6">
        <v>0</v>
      </c>
      <c r="M2391" s="7" t="s">
        <v>4667</v>
      </c>
      <c r="N2391" s="8">
        <f>VLOOKUP(B2391,'[1]новый без картинок'!$A$5:$F$2672,6,0)</f>
        <v>649</v>
      </c>
    </row>
    <row r="2392" spans="1:14" ht="151.15" customHeight="1" x14ac:dyDescent="0.2">
      <c r="A2392" s="3">
        <v>2390</v>
      </c>
      <c r="B2392" s="3">
        <v>145460</v>
      </c>
      <c r="C2392" s="4" t="str">
        <f>HYPERLINK("http://optservis.net:5080/photo?tov_code_internet=145460","Увеличить")</f>
        <v>Увеличить</v>
      </c>
      <c r="D2392" s="3" t="s">
        <v>4766</v>
      </c>
      <c r="E2392" s="3" t="s">
        <v>4767</v>
      </c>
      <c r="F2392" s="3" t="s">
        <v>4768</v>
      </c>
      <c r="G2392" s="3" t="s">
        <v>502</v>
      </c>
      <c r="H2392" s="3">
        <v>0.5</v>
      </c>
      <c r="I2392" s="3">
        <v>0</v>
      </c>
      <c r="J2392" s="3" t="s">
        <v>18</v>
      </c>
      <c r="K2392" s="5">
        <v>0.03</v>
      </c>
      <c r="L2392" s="6">
        <v>4690654005832</v>
      </c>
      <c r="M2392" s="7" t="s">
        <v>4769</v>
      </c>
      <c r="N2392" s="8">
        <f>VLOOKUP(B2392,'[1]новый без картинок'!$A$5:$F$2672,6,0)</f>
        <v>451</v>
      </c>
    </row>
    <row r="2393" spans="1:14" ht="157.5" customHeight="1" x14ac:dyDescent="0.2">
      <c r="A2393" s="3">
        <v>2391</v>
      </c>
      <c r="B2393" s="3">
        <v>212664</v>
      </c>
      <c r="C2393" s="4" t="str">
        <f>HYPERLINK("http://optservis.net:5080/photo?tov_code_internet=212664","Увеличить")</f>
        <v>Увеличить</v>
      </c>
      <c r="D2393" s="3" t="s">
        <v>4770</v>
      </c>
      <c r="E2393" s="3"/>
      <c r="F2393" s="3" t="s">
        <v>4771</v>
      </c>
      <c r="G2393" s="3" t="s">
        <v>175</v>
      </c>
      <c r="H2393" s="3">
        <v>0.2</v>
      </c>
      <c r="I2393" s="3">
        <v>0</v>
      </c>
      <c r="J2393" s="3" t="s">
        <v>18</v>
      </c>
      <c r="K2393" s="5">
        <v>0.01</v>
      </c>
      <c r="L2393" s="6">
        <v>0</v>
      </c>
      <c r="M2393" s="7" t="s">
        <v>4772</v>
      </c>
      <c r="N2393" s="8">
        <f>VLOOKUP(B2393,'[1]новый без картинок'!$A$5:$F$2672,6,0)</f>
        <v>488</v>
      </c>
    </row>
    <row r="2394" spans="1:14" ht="157.5" customHeight="1" x14ac:dyDescent="0.2">
      <c r="A2394" s="3">
        <v>2392</v>
      </c>
      <c r="B2394" s="3">
        <v>203679</v>
      </c>
      <c r="C2394" s="4" t="str">
        <f>HYPERLINK("http://optservis.net:5080/photo?tov_code_internet=203679","Увеличить")</f>
        <v>Увеличить</v>
      </c>
      <c r="D2394" s="3" t="s">
        <v>4773</v>
      </c>
      <c r="E2394" s="3"/>
      <c r="F2394" s="3" t="s">
        <v>4774</v>
      </c>
      <c r="G2394" s="3" t="s">
        <v>502</v>
      </c>
      <c r="H2394" s="3">
        <v>0.2</v>
      </c>
      <c r="I2394" s="3">
        <v>0</v>
      </c>
      <c r="J2394" s="3" t="s">
        <v>18</v>
      </c>
      <c r="K2394" s="5">
        <v>0.01</v>
      </c>
      <c r="L2394" s="6">
        <v>0</v>
      </c>
      <c r="M2394" s="7" t="s">
        <v>4775</v>
      </c>
      <c r="N2394" s="8">
        <f>VLOOKUP(B2394,'[1]новый без картинок'!$A$5:$F$2672,6,0)</f>
        <v>480</v>
      </c>
    </row>
    <row r="2395" spans="1:14" ht="157.5" customHeight="1" x14ac:dyDescent="0.2">
      <c r="A2395" s="3">
        <v>2393</v>
      </c>
      <c r="B2395" s="3">
        <v>200607</v>
      </c>
      <c r="C2395" s="4" t="str">
        <f>HYPERLINK("http://optservis.net:5080/photo?tov_code_internet=200607","Увеличить")</f>
        <v>Увеличить</v>
      </c>
      <c r="D2395" s="3" t="s">
        <v>4773</v>
      </c>
      <c r="E2395" s="3"/>
      <c r="F2395" s="3" t="s">
        <v>4776</v>
      </c>
      <c r="G2395" s="3" t="s">
        <v>502</v>
      </c>
      <c r="H2395" s="3">
        <v>0.2</v>
      </c>
      <c r="I2395" s="3">
        <v>0</v>
      </c>
      <c r="J2395" s="3" t="s">
        <v>18</v>
      </c>
      <c r="K2395" s="5">
        <v>0.02</v>
      </c>
      <c r="L2395" s="6">
        <v>0</v>
      </c>
      <c r="M2395" s="7" t="s">
        <v>4732</v>
      </c>
      <c r="N2395" s="8">
        <f>VLOOKUP(B2395,'[1]новый без картинок'!$A$5:$F$2672,6,0)</f>
        <v>490</v>
      </c>
    </row>
    <row r="2396" spans="1:14" ht="157.5" customHeight="1" x14ac:dyDescent="0.2">
      <c r="A2396" s="3">
        <v>2394</v>
      </c>
      <c r="B2396" s="3">
        <v>196215</v>
      </c>
      <c r="C2396" s="4" t="str">
        <f>HYPERLINK("http://optservis.net:5080/photo?tov_code_internet=196215","Увеличить")</f>
        <v>Увеличить</v>
      </c>
      <c r="D2396" s="3" t="s">
        <v>4777</v>
      </c>
      <c r="E2396" s="3"/>
      <c r="F2396" s="3" t="s">
        <v>4778</v>
      </c>
      <c r="G2396" s="3" t="s">
        <v>4594</v>
      </c>
      <c r="H2396" s="3">
        <v>0.2</v>
      </c>
      <c r="I2396" s="3">
        <v>0</v>
      </c>
      <c r="J2396" s="3" t="s">
        <v>18</v>
      </c>
      <c r="K2396" s="5">
        <v>0.03</v>
      </c>
      <c r="L2396" s="6">
        <v>0</v>
      </c>
      <c r="M2396" s="7" t="s">
        <v>4740</v>
      </c>
      <c r="N2396" s="8">
        <f>VLOOKUP(B2396,'[1]новый без картинок'!$A$5:$F$2672,6,0)</f>
        <v>1023</v>
      </c>
    </row>
    <row r="2397" spans="1:14" ht="157.5" customHeight="1" x14ac:dyDescent="0.2">
      <c r="A2397" s="3">
        <v>2395</v>
      </c>
      <c r="B2397" s="3">
        <v>164510</v>
      </c>
      <c r="C2397" s="4" t="str">
        <f>HYPERLINK("http://optservis.net:5080/photo?tov_code_internet=164510","Увеличить")</f>
        <v>Увеличить</v>
      </c>
      <c r="D2397" s="3" t="s">
        <v>4779</v>
      </c>
      <c r="E2397" s="3"/>
      <c r="F2397" s="3" t="s">
        <v>4780</v>
      </c>
      <c r="G2397" s="3" t="s">
        <v>603</v>
      </c>
      <c r="H2397" s="3">
        <v>0.5</v>
      </c>
      <c r="I2397" s="3">
        <v>0</v>
      </c>
      <c r="J2397" s="3" t="s">
        <v>18</v>
      </c>
      <c r="K2397" s="5">
        <v>0.05</v>
      </c>
      <c r="L2397" s="6">
        <v>0</v>
      </c>
      <c r="M2397" s="7" t="s">
        <v>4781</v>
      </c>
      <c r="N2397" s="8">
        <f>VLOOKUP(B2397,'[1]новый без картинок'!$A$5:$F$2672,6,0)</f>
        <v>463</v>
      </c>
    </row>
    <row r="2398" spans="1:14" ht="157.5" customHeight="1" x14ac:dyDescent="0.2">
      <c r="A2398" s="3">
        <v>2396</v>
      </c>
      <c r="B2398" s="3">
        <v>164059</v>
      </c>
      <c r="C2398" s="4" t="str">
        <f>HYPERLINK("http://optservis.net:5080/photo?tov_code_internet=164059","Увеличить")</f>
        <v>Увеличить</v>
      </c>
      <c r="D2398" s="3" t="s">
        <v>4779</v>
      </c>
      <c r="E2398" s="3" t="s">
        <v>4782</v>
      </c>
      <c r="F2398" s="3" t="s">
        <v>4783</v>
      </c>
      <c r="G2398" s="3" t="s">
        <v>603</v>
      </c>
      <c r="H2398" s="3">
        <v>0.5</v>
      </c>
      <c r="I2398" s="3">
        <v>0</v>
      </c>
      <c r="J2398" s="3" t="s">
        <v>18</v>
      </c>
      <c r="K2398" s="5">
        <v>0.05</v>
      </c>
      <c r="L2398" s="6">
        <v>4690654007546</v>
      </c>
      <c r="M2398" s="7" t="s">
        <v>4781</v>
      </c>
      <c r="N2398" s="8">
        <f>VLOOKUP(B2398,'[1]новый без картинок'!$A$5:$F$2672,6,0)</f>
        <v>615</v>
      </c>
    </row>
    <row r="2399" spans="1:14" ht="138.6" customHeight="1" x14ac:dyDescent="0.2">
      <c r="A2399" s="3">
        <v>2397</v>
      </c>
      <c r="B2399" s="3">
        <v>982709</v>
      </c>
      <c r="C2399" s="4" t="str">
        <f>HYPERLINK("http://optservis.net:5080/photo?tov_code_internet=982709","Увеличить")</f>
        <v>Увеличить</v>
      </c>
      <c r="D2399" s="3" t="s">
        <v>4784</v>
      </c>
      <c r="E2399" s="3"/>
      <c r="F2399" s="3" t="s">
        <v>4785</v>
      </c>
      <c r="G2399" s="3" t="s">
        <v>621</v>
      </c>
      <c r="H2399" s="3">
        <v>0.5</v>
      </c>
      <c r="I2399" s="3">
        <v>0</v>
      </c>
      <c r="J2399" s="3" t="s">
        <v>18</v>
      </c>
      <c r="K2399" s="5">
        <v>0.05</v>
      </c>
      <c r="L2399" s="6">
        <v>0</v>
      </c>
      <c r="M2399" s="7" t="s">
        <v>4786</v>
      </c>
      <c r="N2399" s="8">
        <f>VLOOKUP(B2399,'[1]новый без картинок'!$A$5:$F$2672,6,0)</f>
        <v>666</v>
      </c>
    </row>
    <row r="2400" spans="1:14" ht="138.6" customHeight="1" x14ac:dyDescent="0.2">
      <c r="A2400" s="3">
        <v>2398</v>
      </c>
      <c r="B2400" s="3">
        <v>987095</v>
      </c>
      <c r="C2400" s="4" t="str">
        <f>HYPERLINK("http://optservis.net:5080/photo?tov_code_internet=987095","Увеличить")</f>
        <v>Увеличить</v>
      </c>
      <c r="D2400" s="3" t="s">
        <v>4787</v>
      </c>
      <c r="E2400" s="3" t="s">
        <v>4788</v>
      </c>
      <c r="F2400" s="3" t="s">
        <v>4789</v>
      </c>
      <c r="G2400" s="3" t="s">
        <v>603</v>
      </c>
      <c r="H2400" s="3">
        <v>0.5</v>
      </c>
      <c r="I2400" s="3">
        <v>0</v>
      </c>
      <c r="J2400" s="3" t="s">
        <v>18</v>
      </c>
      <c r="K2400" s="5">
        <v>0.03</v>
      </c>
      <c r="L2400" s="6">
        <v>4690654008970</v>
      </c>
      <c r="M2400" s="7" t="s">
        <v>4790</v>
      </c>
      <c r="N2400" s="8">
        <f>VLOOKUP(B2400,'[1]новый без картинок'!$A$5:$F$2672,6,0)</f>
        <v>568</v>
      </c>
    </row>
    <row r="2401" spans="1:14" ht="157.5" customHeight="1" x14ac:dyDescent="0.2">
      <c r="A2401" s="3">
        <v>2399</v>
      </c>
      <c r="B2401" s="3">
        <v>203678</v>
      </c>
      <c r="C2401" s="4" t="str">
        <f>HYPERLINK("http://optservis.net:5080/photo?tov_code_internet=203678","Увеличить")</f>
        <v>Увеличить</v>
      </c>
      <c r="D2401" s="3" t="s">
        <v>4791</v>
      </c>
      <c r="E2401" s="3"/>
      <c r="F2401" s="3" t="s">
        <v>4792</v>
      </c>
      <c r="G2401" s="3" t="s">
        <v>621</v>
      </c>
      <c r="H2401" s="3">
        <v>0.2</v>
      </c>
      <c r="I2401" s="3">
        <v>0</v>
      </c>
      <c r="J2401" s="3" t="s">
        <v>18</v>
      </c>
      <c r="K2401" s="5">
        <v>0.01</v>
      </c>
      <c r="L2401" s="6">
        <v>0</v>
      </c>
      <c r="M2401" s="7" t="s">
        <v>4793</v>
      </c>
      <c r="N2401" s="8">
        <f>VLOOKUP(B2401,'[1]новый без картинок'!$A$5:$F$2672,6,0)</f>
        <v>594</v>
      </c>
    </row>
    <row r="2402" spans="1:14" ht="157.5" customHeight="1" x14ac:dyDescent="0.2">
      <c r="A2402" s="3">
        <v>2400</v>
      </c>
      <c r="B2402" s="3">
        <v>200982</v>
      </c>
      <c r="C2402" s="4" t="str">
        <f>HYPERLINK("http://optservis.net:5080/photo?tov_code_internet=200982","Увеличить")</f>
        <v>Увеличить</v>
      </c>
      <c r="D2402" s="3" t="s">
        <v>4791</v>
      </c>
      <c r="E2402" s="3"/>
      <c r="F2402" s="3" t="s">
        <v>4794</v>
      </c>
      <c r="G2402" s="3" t="s">
        <v>621</v>
      </c>
      <c r="H2402" s="3">
        <v>0.5</v>
      </c>
      <c r="I2402" s="3">
        <v>0</v>
      </c>
      <c r="J2402" s="3" t="s">
        <v>18</v>
      </c>
      <c r="K2402" s="5">
        <v>0.04</v>
      </c>
      <c r="L2402" s="6">
        <v>0</v>
      </c>
      <c r="M2402" s="7" t="s">
        <v>4795</v>
      </c>
      <c r="N2402" s="8">
        <f>VLOOKUP(B2402,'[1]новый без картинок'!$A$5:$F$2672,6,0)</f>
        <v>605</v>
      </c>
    </row>
    <row r="2403" spans="1:14" ht="157.5" customHeight="1" x14ac:dyDescent="0.2">
      <c r="A2403" s="3">
        <v>2401</v>
      </c>
      <c r="B2403" s="3">
        <v>196214</v>
      </c>
      <c r="C2403" s="4" t="str">
        <f>HYPERLINK("http://optservis.net:5080/photo?tov_code_internet=196214","Увеличить")</f>
        <v>Увеличить</v>
      </c>
      <c r="D2403" s="3" t="s">
        <v>4796</v>
      </c>
      <c r="E2403" s="3"/>
      <c r="F2403" s="3" t="s">
        <v>4797</v>
      </c>
      <c r="G2403" s="3" t="s">
        <v>625</v>
      </c>
      <c r="H2403" s="3">
        <v>0.2</v>
      </c>
      <c r="I2403" s="3">
        <v>0</v>
      </c>
      <c r="J2403" s="3" t="s">
        <v>18</v>
      </c>
      <c r="K2403" s="5">
        <v>0.02</v>
      </c>
      <c r="L2403" s="6">
        <v>0</v>
      </c>
      <c r="M2403" s="7" t="s">
        <v>4798</v>
      </c>
      <c r="N2403" s="8">
        <f>VLOOKUP(B2403,'[1]новый без картинок'!$A$5:$F$2672,6,0)</f>
        <v>1144</v>
      </c>
    </row>
    <row r="2404" spans="1:14" ht="157.5" customHeight="1" x14ac:dyDescent="0.2">
      <c r="A2404" s="3">
        <v>2402</v>
      </c>
      <c r="B2404" s="3">
        <v>164057</v>
      </c>
      <c r="C2404" s="4" t="str">
        <f>HYPERLINK("http://optservis.net:5080/photo?tov_code_internet=164057","Увеличить")</f>
        <v>Увеличить</v>
      </c>
      <c r="D2404" s="3" t="s">
        <v>4799</v>
      </c>
      <c r="E2404" s="3" t="s">
        <v>4800</v>
      </c>
      <c r="F2404" s="3" t="s">
        <v>4502</v>
      </c>
      <c r="G2404" s="3" t="s">
        <v>175</v>
      </c>
      <c r="H2404" s="3">
        <v>0.5</v>
      </c>
      <c r="I2404" s="3">
        <v>0</v>
      </c>
      <c r="J2404" s="3" t="s">
        <v>18</v>
      </c>
      <c r="K2404" s="5">
        <v>0.06</v>
      </c>
      <c r="L2404" s="6">
        <v>4690654011994</v>
      </c>
      <c r="M2404" s="7" t="s">
        <v>4801</v>
      </c>
      <c r="N2404" s="8">
        <f>VLOOKUP(B2404,'[1]новый без картинок'!$A$5:$F$2672,6,0)</f>
        <v>472</v>
      </c>
    </row>
    <row r="2405" spans="1:14" ht="151.15" customHeight="1" x14ac:dyDescent="0.2">
      <c r="A2405" s="3">
        <v>2403</v>
      </c>
      <c r="B2405" s="3">
        <v>965602</v>
      </c>
      <c r="C2405" s="4" t="str">
        <f>HYPERLINK("http://optservis.net:5080/photo?tov_code_internet=965602","Увеличить")</f>
        <v>Увеличить</v>
      </c>
      <c r="D2405" s="3" t="s">
        <v>4802</v>
      </c>
      <c r="E2405" s="3" t="s">
        <v>4803</v>
      </c>
      <c r="F2405" s="3" t="s">
        <v>4511</v>
      </c>
      <c r="G2405" s="3" t="s">
        <v>502</v>
      </c>
      <c r="H2405" s="3">
        <v>0.5</v>
      </c>
      <c r="I2405" s="3">
        <v>0</v>
      </c>
      <c r="J2405" s="3" t="s">
        <v>18</v>
      </c>
      <c r="K2405" s="5">
        <v>0.04</v>
      </c>
      <c r="L2405" s="6">
        <v>4690654003777</v>
      </c>
      <c r="M2405" s="7" t="s">
        <v>4804</v>
      </c>
      <c r="N2405" s="8">
        <f>VLOOKUP(B2405,'[1]новый без картинок'!$A$5:$F$2672,6,0)</f>
        <v>416</v>
      </c>
    </row>
    <row r="2406" spans="1:14" ht="151.15" customHeight="1" x14ac:dyDescent="0.2">
      <c r="A2406" s="3">
        <v>2404</v>
      </c>
      <c r="B2406" s="3">
        <v>985129</v>
      </c>
      <c r="C2406" s="4" t="str">
        <f>HYPERLINK("http://optservis.net:5080/photo?tov_code_internet=985129","Увеличить")</f>
        <v>Увеличить</v>
      </c>
      <c r="D2406" s="3" t="s">
        <v>4802</v>
      </c>
      <c r="E2406" s="3" t="s">
        <v>4803</v>
      </c>
      <c r="F2406" s="3" t="s">
        <v>4651</v>
      </c>
      <c r="G2406" s="3" t="s">
        <v>502</v>
      </c>
      <c r="H2406" s="3">
        <v>0.5</v>
      </c>
      <c r="I2406" s="3">
        <v>0</v>
      </c>
      <c r="J2406" s="3" t="s">
        <v>18</v>
      </c>
      <c r="K2406" s="5">
        <v>0.05</v>
      </c>
      <c r="L2406" s="6">
        <v>4690654003784</v>
      </c>
      <c r="M2406" s="7" t="s">
        <v>4804</v>
      </c>
      <c r="N2406" s="8">
        <f>VLOOKUP(B2406,'[1]новый без картинок'!$A$5:$F$2672,6,0)</f>
        <v>473</v>
      </c>
    </row>
    <row r="2407" spans="1:14" ht="157.5" customHeight="1" x14ac:dyDescent="0.2">
      <c r="A2407" s="3">
        <v>2405</v>
      </c>
      <c r="B2407" s="3">
        <v>174613</v>
      </c>
      <c r="C2407" s="4" t="str">
        <f>HYPERLINK("http://optservis.net:5080/photo?tov_code_internet=174613","Увеличить")</f>
        <v>Увеличить</v>
      </c>
      <c r="D2407" s="3" t="s">
        <v>4805</v>
      </c>
      <c r="E2407" s="3"/>
      <c r="F2407" s="3" t="s">
        <v>4511</v>
      </c>
      <c r="G2407" s="3" t="s">
        <v>175</v>
      </c>
      <c r="H2407" s="3">
        <v>0.5</v>
      </c>
      <c r="I2407" s="3">
        <v>0</v>
      </c>
      <c r="J2407" s="3" t="s">
        <v>18</v>
      </c>
      <c r="K2407" s="5">
        <v>0.21</v>
      </c>
      <c r="L2407" s="6">
        <v>0</v>
      </c>
      <c r="M2407" s="7" t="s">
        <v>4806</v>
      </c>
      <c r="N2407" s="8">
        <f>VLOOKUP(B2407,'[1]новый без картинок'!$A$5:$F$2672,6,0)</f>
        <v>475</v>
      </c>
    </row>
    <row r="2408" spans="1:14" ht="157.5" customHeight="1" x14ac:dyDescent="0.2">
      <c r="A2408" s="3">
        <v>2406</v>
      </c>
      <c r="B2408" s="3">
        <v>164146</v>
      </c>
      <c r="C2408" s="4" t="str">
        <f>HYPERLINK("http://optservis.net:5080/photo?tov_code_internet=164146","Увеличить")</f>
        <v>Увеличить</v>
      </c>
      <c r="D2408" s="3" t="s">
        <v>4805</v>
      </c>
      <c r="E2408" s="3"/>
      <c r="F2408" s="3" t="s">
        <v>340</v>
      </c>
      <c r="G2408" s="3" t="s">
        <v>175</v>
      </c>
      <c r="H2408" s="3">
        <v>0.5</v>
      </c>
      <c r="I2408" s="3">
        <v>0</v>
      </c>
      <c r="J2408" s="3" t="s">
        <v>18</v>
      </c>
      <c r="K2408" s="5">
        <v>0.2</v>
      </c>
      <c r="L2408" s="6">
        <v>0</v>
      </c>
      <c r="M2408" s="7" t="s">
        <v>4806</v>
      </c>
      <c r="N2408" s="8">
        <f>VLOOKUP(B2408,'[1]новый без картинок'!$A$5:$F$2672,6,0)</f>
        <v>475</v>
      </c>
    </row>
    <row r="2409" spans="1:14" ht="157.5" customHeight="1" x14ac:dyDescent="0.2">
      <c r="A2409" s="3">
        <v>2407</v>
      </c>
      <c r="B2409" s="3">
        <v>174615</v>
      </c>
      <c r="C2409" s="4" t="str">
        <f>HYPERLINK("http://optservis.net:5080/photo?tov_code_internet=174615","Увеличить")</f>
        <v>Увеличить</v>
      </c>
      <c r="D2409" s="3" t="s">
        <v>4807</v>
      </c>
      <c r="E2409" s="3"/>
      <c r="F2409" s="3" t="s">
        <v>4808</v>
      </c>
      <c r="G2409" s="3" t="s">
        <v>502</v>
      </c>
      <c r="H2409" s="3">
        <v>0.5</v>
      </c>
      <c r="I2409" s="3">
        <v>0</v>
      </c>
      <c r="J2409" s="3" t="s">
        <v>18</v>
      </c>
      <c r="K2409" s="5">
        <v>0.2</v>
      </c>
      <c r="L2409" s="6">
        <v>0</v>
      </c>
      <c r="M2409" s="7" t="s">
        <v>4809</v>
      </c>
      <c r="N2409" s="8">
        <f>VLOOKUP(B2409,'[1]новый без картинок'!$A$5:$F$2672,6,0)</f>
        <v>556</v>
      </c>
    </row>
    <row r="2410" spans="1:14" ht="151.15" customHeight="1" x14ac:dyDescent="0.2">
      <c r="A2410" s="3">
        <v>2408</v>
      </c>
      <c r="B2410" s="3">
        <v>145653</v>
      </c>
      <c r="C2410" s="4" t="str">
        <f>HYPERLINK("http://optservis.net:5080/photo?tov_code_internet=145653","Увеличить")</f>
        <v>Увеличить</v>
      </c>
      <c r="D2410" s="3" t="s">
        <v>4810</v>
      </c>
      <c r="E2410" s="3" t="s">
        <v>4811</v>
      </c>
      <c r="F2410" s="3" t="s">
        <v>4812</v>
      </c>
      <c r="G2410" s="3" t="s">
        <v>4813</v>
      </c>
      <c r="H2410" s="3">
        <v>0.5</v>
      </c>
      <c r="I2410" s="3">
        <v>0</v>
      </c>
      <c r="J2410" s="3" t="s">
        <v>18</v>
      </c>
      <c r="K2410" s="5">
        <v>0.16</v>
      </c>
      <c r="L2410" s="6">
        <v>4690654005818</v>
      </c>
      <c r="M2410" s="7" t="s">
        <v>4814</v>
      </c>
      <c r="N2410" s="8">
        <f>VLOOKUP(B2410,'[1]новый без картинок'!$A$5:$F$2672,6,0)</f>
        <v>560</v>
      </c>
    </row>
    <row r="2411" spans="1:14" ht="151.15" customHeight="1" x14ac:dyDescent="0.2">
      <c r="A2411" s="3">
        <v>2409</v>
      </c>
      <c r="B2411" s="3">
        <v>145521</v>
      </c>
      <c r="C2411" s="4" t="str">
        <f>HYPERLINK("http://optservis.net:5080/photo?tov_code_internet=145521","Увеличить")</f>
        <v>Увеличить</v>
      </c>
      <c r="D2411" s="3" t="s">
        <v>4815</v>
      </c>
      <c r="E2411" s="3" t="s">
        <v>4816</v>
      </c>
      <c r="F2411" s="3" t="s">
        <v>4817</v>
      </c>
      <c r="G2411" s="3" t="s">
        <v>502</v>
      </c>
      <c r="H2411" s="3">
        <v>0.5</v>
      </c>
      <c r="I2411" s="3">
        <v>0</v>
      </c>
      <c r="J2411" s="3" t="s">
        <v>18</v>
      </c>
      <c r="K2411" s="5">
        <v>0.15</v>
      </c>
      <c r="L2411" s="6">
        <v>4690654006495</v>
      </c>
      <c r="M2411" s="7" t="s">
        <v>4818</v>
      </c>
      <c r="N2411" s="8">
        <f>VLOOKUP(B2411,'[1]новый без картинок'!$A$5:$F$2672,6,0)</f>
        <v>358</v>
      </c>
    </row>
    <row r="2412" spans="1:14" ht="149.44999999999999" customHeight="1" x14ac:dyDescent="0.2">
      <c r="A2412" s="3">
        <v>2410</v>
      </c>
      <c r="B2412" s="3">
        <v>970372</v>
      </c>
      <c r="C2412" s="4" t="str">
        <f>HYPERLINK("http://optservis.net:5080/photo?tov_code_internet=970372","Увеличить")</f>
        <v>Увеличить</v>
      </c>
      <c r="D2412" s="3" t="s">
        <v>4819</v>
      </c>
      <c r="E2412" s="3" t="s">
        <v>4820</v>
      </c>
      <c r="F2412" s="3" t="s">
        <v>4511</v>
      </c>
      <c r="G2412" s="3" t="s">
        <v>4821</v>
      </c>
      <c r="H2412" s="3">
        <v>0.5</v>
      </c>
      <c r="I2412" s="3">
        <v>0</v>
      </c>
      <c r="J2412" s="3" t="s">
        <v>18</v>
      </c>
      <c r="K2412" s="5">
        <v>0.16</v>
      </c>
      <c r="L2412" s="6">
        <v>4690654000882</v>
      </c>
      <c r="M2412" s="7" t="s">
        <v>4822</v>
      </c>
      <c r="N2412" s="8">
        <f>VLOOKUP(B2412,'[1]новый без картинок'!$A$5:$F$2672,6,0)</f>
        <v>230</v>
      </c>
    </row>
    <row r="2413" spans="1:14" ht="157.5" customHeight="1" x14ac:dyDescent="0.2">
      <c r="A2413" s="3">
        <v>2411</v>
      </c>
      <c r="B2413" s="3">
        <v>177420</v>
      </c>
      <c r="C2413" s="4" t="str">
        <f>HYPERLINK("http://optservis.net:5080/photo?tov_code_internet=177420","Увеличить")</f>
        <v>Увеличить</v>
      </c>
      <c r="D2413" s="3" t="s">
        <v>4823</v>
      </c>
      <c r="E2413" s="3" t="s">
        <v>4824</v>
      </c>
      <c r="F2413" s="3" t="s">
        <v>4825</v>
      </c>
      <c r="G2413" s="3" t="s">
        <v>502</v>
      </c>
      <c r="H2413" s="3">
        <v>0.5</v>
      </c>
      <c r="I2413" s="3">
        <v>0</v>
      </c>
      <c r="J2413" s="3" t="s">
        <v>18</v>
      </c>
      <c r="K2413" s="5">
        <v>0.15</v>
      </c>
      <c r="L2413" s="6">
        <v>4690654011550</v>
      </c>
      <c r="M2413" s="7" t="s">
        <v>4513</v>
      </c>
      <c r="N2413" s="8">
        <f>VLOOKUP(B2413,'[1]новый без картинок'!$A$5:$F$2672,6,0)</f>
        <v>398</v>
      </c>
    </row>
    <row r="2414" spans="1:14" ht="149.44999999999999" customHeight="1" x14ac:dyDescent="0.2">
      <c r="A2414" s="3">
        <v>2412</v>
      </c>
      <c r="B2414" s="3">
        <v>145518</v>
      </c>
      <c r="C2414" s="4" t="str">
        <f>HYPERLINK("http://optservis.net:5080/photo?tov_code_internet=145518","Увеличить")</f>
        <v>Увеличить</v>
      </c>
      <c r="D2414" s="3" t="s">
        <v>4823</v>
      </c>
      <c r="E2414" s="3" t="s">
        <v>4824</v>
      </c>
      <c r="F2414" s="3" t="s">
        <v>4826</v>
      </c>
      <c r="G2414" s="3" t="s">
        <v>502</v>
      </c>
      <c r="H2414" s="3">
        <v>0.5</v>
      </c>
      <c r="I2414" s="3">
        <v>0</v>
      </c>
      <c r="J2414" s="3" t="s">
        <v>18</v>
      </c>
      <c r="K2414" s="5">
        <v>0.16</v>
      </c>
      <c r="L2414" s="6">
        <v>4690654005962</v>
      </c>
      <c r="M2414" s="7" t="s">
        <v>4513</v>
      </c>
      <c r="N2414" s="8">
        <f>VLOOKUP(B2414,'[1]новый без картинок'!$A$5:$F$2672,6,0)</f>
        <v>384</v>
      </c>
    </row>
    <row r="2415" spans="1:14" ht="151.15" customHeight="1" x14ac:dyDescent="0.2">
      <c r="A2415" s="3">
        <v>2413</v>
      </c>
      <c r="B2415" s="3">
        <v>145520</v>
      </c>
      <c r="C2415" s="4" t="str">
        <f>HYPERLINK("http://optservis.net:5080/photo?tov_code_internet=145520","Увеличить")</f>
        <v>Увеличить</v>
      </c>
      <c r="D2415" s="3" t="s">
        <v>4823</v>
      </c>
      <c r="E2415" s="3" t="s">
        <v>4824</v>
      </c>
      <c r="F2415" s="3" t="s">
        <v>4827</v>
      </c>
      <c r="G2415" s="3" t="s">
        <v>502</v>
      </c>
      <c r="H2415" s="3">
        <v>0.5</v>
      </c>
      <c r="I2415" s="3">
        <v>0</v>
      </c>
      <c r="J2415" s="3" t="s">
        <v>18</v>
      </c>
      <c r="K2415" s="5">
        <v>0.16</v>
      </c>
      <c r="L2415" s="6">
        <v>4690654005979</v>
      </c>
      <c r="M2415" s="7" t="s">
        <v>4513</v>
      </c>
      <c r="N2415" s="8">
        <f>VLOOKUP(B2415,'[1]новый без картинок'!$A$5:$F$2672,6,0)</f>
        <v>369</v>
      </c>
    </row>
    <row r="2416" spans="1:14" ht="151.15" customHeight="1" x14ac:dyDescent="0.2">
      <c r="A2416" s="3">
        <v>2414</v>
      </c>
      <c r="B2416" s="3">
        <v>986898</v>
      </c>
      <c r="C2416" s="4" t="str">
        <f>HYPERLINK("http://optservis.net:5080/photo?tov_code_internet=986898","Увеличить")</f>
        <v>Увеличить</v>
      </c>
      <c r="D2416" s="3" t="s">
        <v>4823</v>
      </c>
      <c r="E2416" s="3" t="s">
        <v>4828</v>
      </c>
      <c r="F2416" s="3" t="s">
        <v>4829</v>
      </c>
      <c r="G2416" s="3" t="s">
        <v>502</v>
      </c>
      <c r="H2416" s="3">
        <v>0.5</v>
      </c>
      <c r="I2416" s="3">
        <v>0</v>
      </c>
      <c r="J2416" s="3" t="s">
        <v>18</v>
      </c>
      <c r="K2416" s="5">
        <v>0.15</v>
      </c>
      <c r="L2416" s="6">
        <v>4690654000912</v>
      </c>
      <c r="M2416" s="7" t="s">
        <v>4513</v>
      </c>
      <c r="N2416" s="8">
        <f>VLOOKUP(B2416,'[1]новый без картинок'!$A$5:$F$2672,6,0)</f>
        <v>378</v>
      </c>
    </row>
    <row r="2417" spans="1:14" ht="157.5" customHeight="1" x14ac:dyDescent="0.2">
      <c r="A2417" s="3">
        <v>2415</v>
      </c>
      <c r="B2417" s="3">
        <v>212657</v>
      </c>
      <c r="C2417" s="4" t="str">
        <f>HYPERLINK("http://optservis.net:5080/photo?tov_code_internet=212657","Увеличить")</f>
        <v>Увеличить</v>
      </c>
      <c r="D2417" s="3" t="s">
        <v>4830</v>
      </c>
      <c r="E2417" s="3"/>
      <c r="F2417" s="3" t="s">
        <v>4578</v>
      </c>
      <c r="G2417" s="3" t="s">
        <v>175</v>
      </c>
      <c r="H2417" s="3">
        <v>0.5</v>
      </c>
      <c r="I2417" s="3">
        <v>0</v>
      </c>
      <c r="J2417" s="3" t="s">
        <v>18</v>
      </c>
      <c r="K2417" s="5">
        <v>0.16</v>
      </c>
      <c r="L2417" s="6">
        <v>0</v>
      </c>
      <c r="M2417" s="7" t="s">
        <v>4831</v>
      </c>
      <c r="N2417" s="8">
        <f>VLOOKUP(B2417,'[1]новый без картинок'!$A$5:$F$2672,6,0)</f>
        <v>390</v>
      </c>
    </row>
    <row r="2418" spans="1:14" ht="157.5" customHeight="1" x14ac:dyDescent="0.2">
      <c r="A2418" s="3">
        <v>2416</v>
      </c>
      <c r="B2418" s="3">
        <v>203673</v>
      </c>
      <c r="C2418" s="4" t="str">
        <f>HYPERLINK("http://optservis.net:5080/photo?tov_code_internet=203673","Увеличить")</f>
        <v>Увеличить</v>
      </c>
      <c r="D2418" s="3" t="s">
        <v>4832</v>
      </c>
      <c r="E2418" s="3"/>
      <c r="F2418" s="3" t="s">
        <v>4774</v>
      </c>
      <c r="G2418" s="3" t="s">
        <v>502</v>
      </c>
      <c r="H2418" s="3">
        <v>0.5</v>
      </c>
      <c r="I2418" s="3">
        <v>0</v>
      </c>
      <c r="J2418" s="3" t="s">
        <v>18</v>
      </c>
      <c r="K2418" s="5">
        <v>0.16</v>
      </c>
      <c r="L2418" s="6">
        <v>0</v>
      </c>
      <c r="M2418" s="7" t="s">
        <v>4833</v>
      </c>
      <c r="N2418" s="8">
        <f>VLOOKUP(B2418,'[1]новый без картинок'!$A$5:$F$2672,6,0)</f>
        <v>386</v>
      </c>
    </row>
    <row r="2419" spans="1:14" ht="157.5" customHeight="1" x14ac:dyDescent="0.2">
      <c r="A2419" s="3">
        <v>2417</v>
      </c>
      <c r="B2419" s="3">
        <v>208906</v>
      </c>
      <c r="C2419" s="4" t="str">
        <f>HYPERLINK("http://optservis.net:5080/photo?tov_code_internet=208906","Увеличить")</f>
        <v>Увеличить</v>
      </c>
      <c r="D2419" s="3" t="s">
        <v>4832</v>
      </c>
      <c r="E2419" s="3"/>
      <c r="F2419" s="3" t="s">
        <v>4589</v>
      </c>
      <c r="G2419" s="3" t="s">
        <v>502</v>
      </c>
      <c r="H2419" s="3">
        <v>0.5</v>
      </c>
      <c r="I2419" s="3">
        <v>0</v>
      </c>
      <c r="J2419" s="3" t="s">
        <v>18</v>
      </c>
      <c r="K2419" s="5">
        <v>0.16</v>
      </c>
      <c r="L2419" s="6">
        <v>0</v>
      </c>
      <c r="M2419" s="7" t="s">
        <v>4834</v>
      </c>
      <c r="N2419" s="8">
        <f>VLOOKUP(B2419,'[1]новый без картинок'!$A$5:$F$2672,6,0)</f>
        <v>411</v>
      </c>
    </row>
    <row r="2420" spans="1:14" ht="157.5" customHeight="1" x14ac:dyDescent="0.2">
      <c r="A2420" s="3">
        <v>2418</v>
      </c>
      <c r="B2420" s="3">
        <v>203672</v>
      </c>
      <c r="C2420" s="4" t="str">
        <f>HYPERLINK("http://optservis.net:5080/photo?tov_code_internet=203672","Увеличить")</f>
        <v>Увеличить</v>
      </c>
      <c r="D2420" s="3" t="s">
        <v>4832</v>
      </c>
      <c r="E2420" s="3"/>
      <c r="F2420" s="3" t="s">
        <v>4581</v>
      </c>
      <c r="G2420" s="3" t="s">
        <v>502</v>
      </c>
      <c r="H2420" s="3">
        <v>0.5</v>
      </c>
      <c r="I2420" s="3">
        <v>0</v>
      </c>
      <c r="J2420" s="3" t="s">
        <v>18</v>
      </c>
      <c r="K2420" s="5">
        <v>0.16</v>
      </c>
      <c r="L2420" s="6">
        <v>0</v>
      </c>
      <c r="M2420" s="7" t="s">
        <v>4833</v>
      </c>
      <c r="N2420" s="8">
        <f>VLOOKUP(B2420,'[1]новый без картинок'!$A$5:$F$2672,6,0)</f>
        <v>382</v>
      </c>
    </row>
    <row r="2421" spans="1:14" ht="157.5" customHeight="1" x14ac:dyDescent="0.2">
      <c r="A2421" s="3">
        <v>2419</v>
      </c>
      <c r="B2421" s="3">
        <v>200611</v>
      </c>
      <c r="C2421" s="4" t="str">
        <f>HYPERLINK("http://optservis.net:5080/photo?tov_code_internet=200611","Увеличить")</f>
        <v>Увеличить</v>
      </c>
      <c r="D2421" s="3" t="s">
        <v>4832</v>
      </c>
      <c r="E2421" s="3" t="s">
        <v>4835</v>
      </c>
      <c r="F2421" s="3" t="s">
        <v>4731</v>
      </c>
      <c r="G2421" s="3" t="s">
        <v>502</v>
      </c>
      <c r="H2421" s="3">
        <v>0.5</v>
      </c>
      <c r="I2421" s="3">
        <v>0</v>
      </c>
      <c r="J2421" s="3" t="s">
        <v>18</v>
      </c>
      <c r="K2421" s="5">
        <v>0.16</v>
      </c>
      <c r="L2421" s="6">
        <v>4690654016104</v>
      </c>
      <c r="M2421" s="7" t="s">
        <v>4833</v>
      </c>
      <c r="N2421" s="8">
        <f>VLOOKUP(B2421,'[1]новый без картинок'!$A$5:$F$2672,6,0)</f>
        <v>393</v>
      </c>
    </row>
    <row r="2422" spans="1:14" ht="157.5" customHeight="1" x14ac:dyDescent="0.2">
      <c r="A2422" s="3">
        <v>2420</v>
      </c>
      <c r="B2422" s="3">
        <v>196200</v>
      </c>
      <c r="C2422" s="4" t="str">
        <f>HYPERLINK("http://optservis.net:5080/photo?tov_code_internet=196200","Увеличить")</f>
        <v>Увеличить</v>
      </c>
      <c r="D2422" s="3" t="s">
        <v>4836</v>
      </c>
      <c r="E2422" s="3"/>
      <c r="F2422" s="3" t="s">
        <v>4734</v>
      </c>
      <c r="G2422" s="3" t="s">
        <v>4594</v>
      </c>
      <c r="H2422" s="3">
        <v>0.5</v>
      </c>
      <c r="I2422" s="3">
        <v>0</v>
      </c>
      <c r="J2422" s="3" t="s">
        <v>18</v>
      </c>
      <c r="K2422" s="5">
        <v>0.19</v>
      </c>
      <c r="L2422" s="6">
        <v>0</v>
      </c>
      <c r="M2422" s="7" t="s">
        <v>4837</v>
      </c>
      <c r="N2422" s="8">
        <f>VLOOKUP(B2422,'[1]новый без картинок'!$A$5:$F$2672,6,0)</f>
        <v>1010</v>
      </c>
    </row>
    <row r="2423" spans="1:14" ht="157.5" customHeight="1" x14ac:dyDescent="0.2">
      <c r="A2423" s="3">
        <v>2421</v>
      </c>
      <c r="B2423" s="3">
        <v>184312</v>
      </c>
      <c r="C2423" s="4" t="str">
        <f>HYPERLINK("http://optservis.net:5080/photo?tov_code_internet=184312","Увеличить")</f>
        <v>Увеличить</v>
      </c>
      <c r="D2423" s="3" t="s">
        <v>4838</v>
      </c>
      <c r="E2423" s="3" t="s">
        <v>4839</v>
      </c>
      <c r="F2423" s="3" t="s">
        <v>837</v>
      </c>
      <c r="G2423" s="3" t="s">
        <v>110</v>
      </c>
      <c r="H2423" s="3">
        <v>0.5</v>
      </c>
      <c r="I2423" s="3">
        <v>0</v>
      </c>
      <c r="J2423" s="3" t="s">
        <v>18</v>
      </c>
      <c r="K2423" s="5">
        <v>0.16</v>
      </c>
      <c r="L2423" s="6">
        <v>4690654012656</v>
      </c>
      <c r="M2423" s="7" t="s">
        <v>4840</v>
      </c>
      <c r="N2423" s="8">
        <f>VLOOKUP(B2423,'[1]новый без картинок'!$A$5:$F$2672,6,0)</f>
        <v>359</v>
      </c>
    </row>
    <row r="2424" spans="1:14" ht="157.5" customHeight="1" x14ac:dyDescent="0.2">
      <c r="A2424" s="3">
        <v>2422</v>
      </c>
      <c r="B2424" s="3">
        <v>184304</v>
      </c>
      <c r="C2424" s="4" t="str">
        <f>HYPERLINK("http://optservis.net:5080/photo?tov_code_internet=184304","Увеличить")</f>
        <v>Увеличить</v>
      </c>
      <c r="D2424" s="3" t="s">
        <v>4838</v>
      </c>
      <c r="E2424" s="3" t="s">
        <v>4839</v>
      </c>
      <c r="F2424" s="3" t="s">
        <v>4841</v>
      </c>
      <c r="G2424" s="3" t="s">
        <v>110</v>
      </c>
      <c r="H2424" s="3">
        <v>0.5</v>
      </c>
      <c r="I2424" s="3">
        <v>0</v>
      </c>
      <c r="J2424" s="3" t="s">
        <v>18</v>
      </c>
      <c r="K2424" s="5">
        <v>0.16</v>
      </c>
      <c r="L2424" s="6">
        <v>4690654012663</v>
      </c>
      <c r="M2424" s="7" t="s">
        <v>4840</v>
      </c>
      <c r="N2424" s="8">
        <f>VLOOKUP(B2424,'[1]новый без картинок'!$A$5:$F$2672,6,0)</f>
        <v>348</v>
      </c>
    </row>
    <row r="2425" spans="1:14" ht="157.5" customHeight="1" x14ac:dyDescent="0.2">
      <c r="A2425" s="3">
        <v>2423</v>
      </c>
      <c r="B2425" s="3">
        <v>184320</v>
      </c>
      <c r="C2425" s="4" t="str">
        <f>HYPERLINK("http://optservis.net:5080/photo?tov_code_internet=184320","Увеличить")</f>
        <v>Увеличить</v>
      </c>
      <c r="D2425" s="3" t="s">
        <v>4838</v>
      </c>
      <c r="E2425" s="3" t="s">
        <v>4839</v>
      </c>
      <c r="F2425" s="3" t="s">
        <v>4842</v>
      </c>
      <c r="G2425" s="3" t="s">
        <v>110</v>
      </c>
      <c r="H2425" s="3">
        <v>0.5</v>
      </c>
      <c r="I2425" s="3">
        <v>0</v>
      </c>
      <c r="J2425" s="3" t="s">
        <v>18</v>
      </c>
      <c r="K2425" s="5">
        <v>0.16</v>
      </c>
      <c r="L2425" s="6">
        <v>4690654012670</v>
      </c>
      <c r="M2425" s="7" t="s">
        <v>4840</v>
      </c>
      <c r="N2425" s="8">
        <f>VLOOKUP(B2425,'[1]новый без картинок'!$A$5:$F$2672,6,0)</f>
        <v>345</v>
      </c>
    </row>
    <row r="2426" spans="1:14" ht="151.15" customHeight="1" x14ac:dyDescent="0.2">
      <c r="A2426" s="3">
        <v>2424</v>
      </c>
      <c r="B2426" s="3">
        <v>156491</v>
      </c>
      <c r="C2426" s="4" t="str">
        <f>HYPERLINK("http://optservis.net:5080/photo?tov_code_internet=156491","Увеличить")</f>
        <v>Увеличить</v>
      </c>
      <c r="D2426" s="3" t="s">
        <v>4843</v>
      </c>
      <c r="E2426" s="3"/>
      <c r="F2426" s="3" t="s">
        <v>4603</v>
      </c>
      <c r="G2426" s="3" t="s">
        <v>665</v>
      </c>
      <c r="H2426" s="3">
        <v>0.5</v>
      </c>
      <c r="I2426" s="3">
        <v>0</v>
      </c>
      <c r="J2426" s="3" t="s">
        <v>18</v>
      </c>
      <c r="K2426" s="5">
        <v>0.16</v>
      </c>
      <c r="L2426" s="6">
        <v>0</v>
      </c>
      <c r="M2426" s="7" t="s">
        <v>4844</v>
      </c>
      <c r="N2426" s="8">
        <f>VLOOKUP(B2426,'[1]новый без картинок'!$A$5:$F$2672,6,0)</f>
        <v>585</v>
      </c>
    </row>
    <row r="2427" spans="1:14" ht="151.15" customHeight="1" x14ac:dyDescent="0.2">
      <c r="A2427" s="3">
        <v>2425</v>
      </c>
      <c r="B2427" s="3">
        <v>148569</v>
      </c>
      <c r="C2427" s="4" t="str">
        <f>HYPERLINK("http://optservis.net:5080/photo?tov_code_internet=148569","Увеличить")</f>
        <v>Увеличить</v>
      </c>
      <c r="D2427" s="3" t="s">
        <v>4845</v>
      </c>
      <c r="E2427" s="3" t="s">
        <v>4846</v>
      </c>
      <c r="F2427" s="3" t="s">
        <v>587</v>
      </c>
      <c r="G2427" s="3" t="s">
        <v>4847</v>
      </c>
      <c r="H2427" s="3">
        <v>0.5</v>
      </c>
      <c r="I2427" s="3">
        <v>0</v>
      </c>
      <c r="J2427" s="3" t="s">
        <v>18</v>
      </c>
      <c r="K2427" s="5">
        <v>0.16</v>
      </c>
      <c r="L2427" s="6">
        <v>4690654013455</v>
      </c>
      <c r="M2427" s="7" t="s">
        <v>4848</v>
      </c>
      <c r="N2427" s="8">
        <f>VLOOKUP(B2427,'[1]новый без картинок'!$A$5:$F$2672,6,0)</f>
        <v>672</v>
      </c>
    </row>
    <row r="2428" spans="1:14" ht="151.15" customHeight="1" x14ac:dyDescent="0.2">
      <c r="A2428" s="3">
        <v>2426</v>
      </c>
      <c r="B2428" s="3">
        <v>145686</v>
      </c>
      <c r="C2428" s="4" t="str">
        <f>HYPERLINK("http://optservis.net:5080/photo?tov_code_internet=145686","Увеличить")</f>
        <v>Увеличить</v>
      </c>
      <c r="D2428" s="3" t="s">
        <v>4849</v>
      </c>
      <c r="E2428" s="3" t="s">
        <v>4850</v>
      </c>
      <c r="F2428" s="3" t="s">
        <v>4851</v>
      </c>
      <c r="G2428" s="3" t="s">
        <v>588</v>
      </c>
      <c r="H2428" s="3">
        <v>0.5</v>
      </c>
      <c r="I2428" s="3">
        <v>0</v>
      </c>
      <c r="J2428" s="3" t="s">
        <v>18</v>
      </c>
      <c r="K2428" s="5">
        <v>0.18</v>
      </c>
      <c r="L2428" s="6">
        <v>4690654005825</v>
      </c>
      <c r="M2428" s="7" t="s">
        <v>4852</v>
      </c>
      <c r="N2428" s="8">
        <f>VLOOKUP(B2428,'[1]новый без картинок'!$A$5:$F$2672,6,0)</f>
        <v>845</v>
      </c>
    </row>
    <row r="2429" spans="1:14" ht="151.15" customHeight="1" x14ac:dyDescent="0.2">
      <c r="A2429" s="3">
        <v>2427</v>
      </c>
      <c r="B2429" s="3">
        <v>151770</v>
      </c>
      <c r="C2429" s="4" t="str">
        <f>HYPERLINK("http://optservis.net:5080/photo?tov_code_internet=151770","Увеличить")</f>
        <v>Увеличить</v>
      </c>
      <c r="D2429" s="3" t="s">
        <v>4853</v>
      </c>
      <c r="E2429" s="3"/>
      <c r="F2429" s="3" t="s">
        <v>4854</v>
      </c>
      <c r="G2429" s="3" t="s">
        <v>59</v>
      </c>
      <c r="H2429" s="3">
        <v>0.5</v>
      </c>
      <c r="I2429" s="3">
        <v>0</v>
      </c>
      <c r="J2429" s="3" t="s">
        <v>18</v>
      </c>
      <c r="K2429" s="5">
        <v>7.0000000000000007E-2</v>
      </c>
      <c r="L2429" s="6">
        <v>0</v>
      </c>
      <c r="M2429" s="7" t="s">
        <v>4855</v>
      </c>
      <c r="N2429" s="8">
        <f>VLOOKUP(B2429,'[1]новый без картинок'!$A$5:$F$2672,6,0)</f>
        <v>2098</v>
      </c>
    </row>
    <row r="2430" spans="1:14" ht="151.15" customHeight="1" x14ac:dyDescent="0.2">
      <c r="A2430" s="3">
        <v>2428</v>
      </c>
      <c r="B2430" s="3">
        <v>151771</v>
      </c>
      <c r="C2430" s="4" t="str">
        <f>HYPERLINK("http://optservis.net:5080/photo?tov_code_internet=151771","Увеличить")</f>
        <v>Увеличить</v>
      </c>
      <c r="D2430" s="3" t="s">
        <v>4856</v>
      </c>
      <c r="E2430" s="3" t="s">
        <v>4857</v>
      </c>
      <c r="F2430" s="3" t="s">
        <v>4858</v>
      </c>
      <c r="G2430" s="3" t="s">
        <v>59</v>
      </c>
      <c r="H2430" s="3">
        <v>0.5</v>
      </c>
      <c r="I2430" s="3">
        <v>0</v>
      </c>
      <c r="J2430" s="3" t="s">
        <v>18</v>
      </c>
      <c r="K2430" s="5">
        <v>7.0000000000000007E-2</v>
      </c>
      <c r="L2430" s="6">
        <v>4690654011833</v>
      </c>
      <c r="M2430" s="7" t="s">
        <v>4859</v>
      </c>
      <c r="N2430" s="8">
        <f>VLOOKUP(B2430,'[1]новый без картинок'!$A$5:$F$2672,6,0)</f>
        <v>1275</v>
      </c>
    </row>
    <row r="2431" spans="1:14" ht="151.15" customHeight="1" x14ac:dyDescent="0.2">
      <c r="A2431" s="3">
        <v>2429</v>
      </c>
      <c r="B2431" s="3">
        <v>138223</v>
      </c>
      <c r="C2431" s="4" t="str">
        <f>HYPERLINK("http://optservis.net:5080/photo?tov_code_internet=138223","Увеличить")</f>
        <v>Увеличить</v>
      </c>
      <c r="D2431" s="3" t="s">
        <v>4860</v>
      </c>
      <c r="E2431" s="3" t="s">
        <v>4861</v>
      </c>
      <c r="F2431" s="3" t="s">
        <v>4862</v>
      </c>
      <c r="G2431" s="3" t="s">
        <v>502</v>
      </c>
      <c r="H2431" s="3">
        <v>0.5</v>
      </c>
      <c r="I2431" s="3">
        <v>0</v>
      </c>
      <c r="J2431" s="3" t="s">
        <v>18</v>
      </c>
      <c r="K2431" s="5">
        <v>0.11</v>
      </c>
      <c r="L2431" s="6">
        <v>4690654006358</v>
      </c>
      <c r="M2431" s="7" t="s">
        <v>4863</v>
      </c>
      <c r="N2431" s="8">
        <f>VLOOKUP(B2431,'[1]новый без картинок'!$A$5:$F$2672,6,0)</f>
        <v>481</v>
      </c>
    </row>
    <row r="2432" spans="1:14" ht="151.15" customHeight="1" x14ac:dyDescent="0.2">
      <c r="A2432" s="3">
        <v>2430</v>
      </c>
      <c r="B2432" s="3">
        <v>138290</v>
      </c>
      <c r="C2432" s="4" t="str">
        <f>HYPERLINK("http://optservis.net:5080/photo?tov_code_internet=138290","Увеличить")</f>
        <v>Увеличить</v>
      </c>
      <c r="D2432" s="3" t="s">
        <v>4864</v>
      </c>
      <c r="E2432" s="3"/>
      <c r="F2432" s="3" t="s">
        <v>4865</v>
      </c>
      <c r="G2432" s="3" t="s">
        <v>175</v>
      </c>
      <c r="H2432" s="3">
        <v>0.5</v>
      </c>
      <c r="I2432" s="3">
        <v>0</v>
      </c>
      <c r="J2432" s="3" t="s">
        <v>18</v>
      </c>
      <c r="K2432" s="5">
        <v>0.11</v>
      </c>
      <c r="L2432" s="6">
        <v>0</v>
      </c>
      <c r="M2432" s="7" t="s">
        <v>4866</v>
      </c>
      <c r="N2432" s="8">
        <f>VLOOKUP(B2432,'[1]новый без картинок'!$A$5:$F$2672,6,0)</f>
        <v>373</v>
      </c>
    </row>
    <row r="2433" spans="1:14" ht="157.5" customHeight="1" x14ac:dyDescent="0.2">
      <c r="A2433" s="3">
        <v>2431</v>
      </c>
      <c r="B2433" s="3">
        <v>196218</v>
      </c>
      <c r="C2433" s="4" t="str">
        <f>HYPERLINK("http://optservis.net:5080/photo?tov_code_internet=196218","Увеличить")</f>
        <v>Увеличить</v>
      </c>
      <c r="D2433" s="3" t="s">
        <v>4867</v>
      </c>
      <c r="E2433" s="3"/>
      <c r="F2433" s="3" t="s">
        <v>4868</v>
      </c>
      <c r="G2433" s="3" t="s">
        <v>4594</v>
      </c>
      <c r="H2433" s="3">
        <v>0.5</v>
      </c>
      <c r="I2433" s="3">
        <v>0</v>
      </c>
      <c r="J2433" s="3" t="s">
        <v>18</v>
      </c>
      <c r="K2433" s="5">
        <v>0.14000000000000001</v>
      </c>
      <c r="L2433" s="6">
        <v>0</v>
      </c>
      <c r="M2433" s="7" t="s">
        <v>4869</v>
      </c>
      <c r="N2433" s="8">
        <f>VLOOKUP(B2433,'[1]новый без картинок'!$A$5:$F$2672,6,0)</f>
        <v>1037</v>
      </c>
    </row>
    <row r="2434" spans="1:14" ht="157.5" customHeight="1" x14ac:dyDescent="0.2">
      <c r="A2434" s="3">
        <v>2432</v>
      </c>
      <c r="B2434" s="3">
        <v>200610</v>
      </c>
      <c r="C2434" s="4" t="str">
        <f>HYPERLINK("http://optservis.net:5080/photo?tov_code_internet=200610","Увеличить")</f>
        <v>Увеличить</v>
      </c>
      <c r="D2434" s="3" t="s">
        <v>4870</v>
      </c>
      <c r="E2434" s="3"/>
      <c r="F2434" s="3" t="s">
        <v>4871</v>
      </c>
      <c r="G2434" s="3" t="s">
        <v>502</v>
      </c>
      <c r="H2434" s="3">
        <v>0.5</v>
      </c>
      <c r="I2434" s="3">
        <v>0</v>
      </c>
      <c r="J2434" s="3" t="s">
        <v>18</v>
      </c>
      <c r="K2434" s="5">
        <v>0.12</v>
      </c>
      <c r="L2434" s="6">
        <v>0</v>
      </c>
      <c r="M2434" s="7" t="s">
        <v>4872</v>
      </c>
      <c r="N2434" s="8">
        <f>VLOOKUP(B2434,'[1]новый без картинок'!$A$5:$F$2672,6,0)</f>
        <v>504</v>
      </c>
    </row>
    <row r="2435" spans="1:14" ht="151.15" customHeight="1" x14ac:dyDescent="0.2">
      <c r="A2435" s="3">
        <v>2433</v>
      </c>
      <c r="B2435" s="3">
        <v>147020</v>
      </c>
      <c r="C2435" s="4" t="str">
        <f>HYPERLINK("http://optservis.net:5080/photo?tov_code_internet=147020","Увеличить")</f>
        <v>Увеличить</v>
      </c>
      <c r="D2435" s="3" t="s">
        <v>4873</v>
      </c>
      <c r="E2435" s="3"/>
      <c r="F2435" s="3" t="s">
        <v>4874</v>
      </c>
      <c r="G2435" s="3" t="s">
        <v>502</v>
      </c>
      <c r="H2435" s="3">
        <v>0.5</v>
      </c>
      <c r="I2435" s="3">
        <v>0</v>
      </c>
      <c r="J2435" s="3" t="s">
        <v>18</v>
      </c>
      <c r="K2435" s="5">
        <v>0.13</v>
      </c>
      <c r="L2435" s="6">
        <v>0</v>
      </c>
      <c r="M2435" s="7" t="s">
        <v>4875</v>
      </c>
      <c r="N2435" s="8">
        <f>VLOOKUP(B2435,'[1]новый без картинок'!$A$5:$F$2672,6,0)</f>
        <v>447</v>
      </c>
    </row>
    <row r="2436" spans="1:14" ht="151.15" customHeight="1" x14ac:dyDescent="0.2">
      <c r="A2436" s="3">
        <v>2434</v>
      </c>
      <c r="B2436" s="3">
        <v>147033</v>
      </c>
      <c r="C2436" s="4" t="str">
        <f>HYPERLINK("http://optservis.net:5080/photo?tov_code_internet=147033","Увеличить")</f>
        <v>Увеличить</v>
      </c>
      <c r="D2436" s="3" t="s">
        <v>4876</v>
      </c>
      <c r="E2436" s="3" t="s">
        <v>4877</v>
      </c>
      <c r="F2436" s="3" t="s">
        <v>4651</v>
      </c>
      <c r="G2436" s="3" t="s">
        <v>502</v>
      </c>
      <c r="H2436" s="3">
        <v>0.5</v>
      </c>
      <c r="I2436" s="3">
        <v>0</v>
      </c>
      <c r="J2436" s="3" t="s">
        <v>18</v>
      </c>
      <c r="K2436" s="5">
        <v>0.14000000000000001</v>
      </c>
      <c r="L2436" s="6">
        <v>4690654005566</v>
      </c>
      <c r="M2436" s="7" t="s">
        <v>4878</v>
      </c>
      <c r="N2436" s="8">
        <f>VLOOKUP(B2436,'[1]новый без картинок'!$A$5:$F$2672,6,0)</f>
        <v>458</v>
      </c>
    </row>
    <row r="2437" spans="1:14" ht="157.5" customHeight="1" x14ac:dyDescent="0.2">
      <c r="A2437" s="3">
        <v>2435</v>
      </c>
      <c r="B2437" s="3">
        <v>212658</v>
      </c>
      <c r="C2437" s="4" t="str">
        <f>HYPERLINK("http://optservis.net:5080/photo?tov_code_internet=212658","Увеличить")</f>
        <v>Увеличить</v>
      </c>
      <c r="D2437" s="3" t="s">
        <v>4879</v>
      </c>
      <c r="E2437" s="3"/>
      <c r="F2437" s="3" t="s">
        <v>4578</v>
      </c>
      <c r="G2437" s="3" t="s">
        <v>175</v>
      </c>
      <c r="H2437" s="3">
        <v>0.5</v>
      </c>
      <c r="I2437" s="3">
        <v>0</v>
      </c>
      <c r="J2437" s="3" t="s">
        <v>18</v>
      </c>
      <c r="K2437" s="5">
        <v>0.14000000000000001</v>
      </c>
      <c r="L2437" s="6">
        <v>0</v>
      </c>
      <c r="M2437" s="7" t="s">
        <v>4880</v>
      </c>
      <c r="N2437" s="8">
        <f>VLOOKUP(B2437,'[1]новый без картинок'!$A$5:$F$2672,6,0)</f>
        <v>484</v>
      </c>
    </row>
    <row r="2438" spans="1:14" ht="157.5" customHeight="1" x14ac:dyDescent="0.2">
      <c r="A2438" s="3">
        <v>2436</v>
      </c>
      <c r="B2438" s="3">
        <v>203681</v>
      </c>
      <c r="C2438" s="4" t="str">
        <f>HYPERLINK("http://optservis.net:5080/photo?tov_code_internet=203681","Увеличить")</f>
        <v>Увеличить</v>
      </c>
      <c r="D2438" s="3" t="s">
        <v>4881</v>
      </c>
      <c r="E2438" s="3"/>
      <c r="F2438" s="3" t="s">
        <v>4581</v>
      </c>
      <c r="G2438" s="3" t="s">
        <v>502</v>
      </c>
      <c r="H2438" s="3">
        <v>0.5</v>
      </c>
      <c r="I2438" s="3">
        <v>0</v>
      </c>
      <c r="J2438" s="3" t="s">
        <v>18</v>
      </c>
      <c r="K2438" s="5">
        <v>0.14000000000000001</v>
      </c>
      <c r="L2438" s="6">
        <v>0</v>
      </c>
      <c r="M2438" s="7" t="s">
        <v>4882</v>
      </c>
      <c r="N2438" s="8">
        <f>VLOOKUP(B2438,'[1]новый без картинок'!$A$5:$F$2672,6,0)</f>
        <v>476</v>
      </c>
    </row>
    <row r="2439" spans="1:14" ht="157.5" customHeight="1" x14ac:dyDescent="0.2">
      <c r="A2439" s="3">
        <v>2437</v>
      </c>
      <c r="B2439" s="3">
        <v>208861</v>
      </c>
      <c r="C2439" s="4" t="str">
        <f>HYPERLINK("http://optservis.net:5080/photo?tov_code_internet=208861","Увеличить")</f>
        <v>Увеличить</v>
      </c>
      <c r="D2439" s="3" t="s">
        <v>4881</v>
      </c>
      <c r="E2439" s="3"/>
      <c r="F2439" s="3" t="s">
        <v>4583</v>
      </c>
      <c r="G2439" s="3" t="s">
        <v>502</v>
      </c>
      <c r="H2439" s="3">
        <v>0.5</v>
      </c>
      <c r="I2439" s="3">
        <v>0</v>
      </c>
      <c r="J2439" s="3" t="s">
        <v>18</v>
      </c>
      <c r="K2439" s="5">
        <v>0.15</v>
      </c>
      <c r="L2439" s="6">
        <v>0</v>
      </c>
      <c r="M2439" s="7" t="s">
        <v>4882</v>
      </c>
      <c r="N2439" s="8">
        <f>VLOOKUP(B2439,'[1]новый без картинок'!$A$5:$F$2672,6,0)</f>
        <v>490</v>
      </c>
    </row>
    <row r="2440" spans="1:14" ht="157.5" customHeight="1" x14ac:dyDescent="0.2">
      <c r="A2440" s="3">
        <v>2438</v>
      </c>
      <c r="B2440" s="3">
        <v>200603</v>
      </c>
      <c r="C2440" s="4" t="str">
        <f>HYPERLINK("http://optservis.net:5080/photo?tov_code_internet=200603","Увеличить")</f>
        <v>Увеличить</v>
      </c>
      <c r="D2440" s="3" t="s">
        <v>4881</v>
      </c>
      <c r="E2440" s="3" t="s">
        <v>4883</v>
      </c>
      <c r="F2440" s="3" t="s">
        <v>4731</v>
      </c>
      <c r="G2440" s="3" t="s">
        <v>502</v>
      </c>
      <c r="H2440" s="3">
        <v>0.5</v>
      </c>
      <c r="I2440" s="3">
        <v>0</v>
      </c>
      <c r="J2440" s="3" t="s">
        <v>18</v>
      </c>
      <c r="K2440" s="5">
        <v>0.15</v>
      </c>
      <c r="L2440" s="6">
        <v>4690654018443</v>
      </c>
      <c r="M2440" s="7" t="s">
        <v>4884</v>
      </c>
      <c r="N2440" s="8">
        <f>VLOOKUP(B2440,'[1]новый без картинок'!$A$5:$F$2672,6,0)</f>
        <v>486</v>
      </c>
    </row>
    <row r="2441" spans="1:14" ht="157.5" customHeight="1" x14ac:dyDescent="0.2">
      <c r="A2441" s="3">
        <v>2439</v>
      </c>
      <c r="B2441" s="3">
        <v>196210</v>
      </c>
      <c r="C2441" s="4" t="str">
        <f>HYPERLINK("http://optservis.net:5080/photo?tov_code_internet=196210","Увеличить")</f>
        <v>Увеличить</v>
      </c>
      <c r="D2441" s="3" t="s">
        <v>4885</v>
      </c>
      <c r="E2441" s="3"/>
      <c r="F2441" s="3" t="s">
        <v>4886</v>
      </c>
      <c r="G2441" s="3" t="s">
        <v>4594</v>
      </c>
      <c r="H2441" s="3">
        <v>0.5</v>
      </c>
      <c r="I2441" s="3">
        <v>0</v>
      </c>
      <c r="J2441" s="3" t="s">
        <v>18</v>
      </c>
      <c r="K2441" s="5">
        <v>0.16</v>
      </c>
      <c r="L2441" s="6">
        <v>0</v>
      </c>
      <c r="M2441" s="7" t="s">
        <v>4887</v>
      </c>
      <c r="N2441" s="8">
        <f>VLOOKUP(B2441,'[1]новый без картинок'!$A$5:$F$2672,6,0)</f>
        <v>1413</v>
      </c>
    </row>
    <row r="2442" spans="1:14" ht="157.5" customHeight="1" x14ac:dyDescent="0.2">
      <c r="A2442" s="3">
        <v>2440</v>
      </c>
      <c r="B2442" s="3">
        <v>184322</v>
      </c>
      <c r="C2442" s="4" t="str">
        <f>HYPERLINK("http://optservis.net:5080/photo?tov_code_internet=184322","Увеличить")</f>
        <v>Увеличить</v>
      </c>
      <c r="D2442" s="3" t="s">
        <v>4888</v>
      </c>
      <c r="E2442" s="3"/>
      <c r="F2442" s="3" t="s">
        <v>109</v>
      </c>
      <c r="G2442" s="3" t="s">
        <v>110</v>
      </c>
      <c r="H2442" s="3">
        <v>0.5</v>
      </c>
      <c r="I2442" s="3">
        <v>0</v>
      </c>
      <c r="J2442" s="3" t="s">
        <v>18</v>
      </c>
      <c r="K2442" s="5">
        <v>0.15</v>
      </c>
      <c r="L2442" s="6">
        <v>0</v>
      </c>
      <c r="M2442" s="7" t="s">
        <v>4889</v>
      </c>
      <c r="N2442" s="8">
        <f>VLOOKUP(B2442,'[1]новый без картинок'!$A$5:$F$2672,6,0)</f>
        <v>438</v>
      </c>
    </row>
    <row r="2443" spans="1:14" ht="153" customHeight="1" x14ac:dyDescent="0.2">
      <c r="A2443" s="3">
        <v>2441</v>
      </c>
      <c r="B2443" s="3">
        <v>195360</v>
      </c>
      <c r="C2443" s="4" t="str">
        <f>HYPERLINK("http://optservis.net:5080/photo?tov_code_internet=195360","Увеличить")</f>
        <v>Увеличить</v>
      </c>
      <c r="D2443" s="3" t="s">
        <v>4890</v>
      </c>
      <c r="E2443" s="3"/>
      <c r="F2443" s="3" t="s">
        <v>4734</v>
      </c>
      <c r="G2443" s="3" t="s">
        <v>4594</v>
      </c>
      <c r="H2443" s="3">
        <v>0.5</v>
      </c>
      <c r="I2443" s="3">
        <v>0</v>
      </c>
      <c r="J2443" s="3" t="s">
        <v>18</v>
      </c>
      <c r="K2443" s="5">
        <v>0.16</v>
      </c>
      <c r="L2443" s="6">
        <v>0</v>
      </c>
      <c r="M2443" s="7" t="s">
        <v>4891</v>
      </c>
      <c r="N2443" s="8">
        <f>VLOOKUP(B2443,'[1]новый без картинок'!$A$5:$F$2672,6,0)</f>
        <v>1104</v>
      </c>
    </row>
    <row r="2444" spans="1:14" ht="138.6" customHeight="1" x14ac:dyDescent="0.2">
      <c r="A2444" s="3">
        <v>2442</v>
      </c>
      <c r="B2444" s="3">
        <v>167920</v>
      </c>
      <c r="C2444" s="4" t="str">
        <f>HYPERLINK("http://optservis.net:5080/photo?tov_code_internet=167920","Увеличить")</f>
        <v>Увеличить</v>
      </c>
      <c r="D2444" s="3" t="s">
        <v>4892</v>
      </c>
      <c r="E2444" s="3"/>
      <c r="F2444" s="3" t="s">
        <v>678</v>
      </c>
      <c r="G2444" s="3" t="s">
        <v>502</v>
      </c>
      <c r="H2444" s="3">
        <v>0.5</v>
      </c>
      <c r="I2444" s="3">
        <v>0</v>
      </c>
      <c r="J2444" s="3" t="s">
        <v>18</v>
      </c>
      <c r="K2444" s="5">
        <v>0.2</v>
      </c>
      <c r="L2444" s="6">
        <v>0</v>
      </c>
      <c r="M2444" s="7" t="s">
        <v>4893</v>
      </c>
      <c r="N2444" s="8">
        <f>VLOOKUP(B2444,'[1]новый без картинок'!$A$5:$F$2672,6,0)</f>
        <v>504</v>
      </c>
    </row>
    <row r="2445" spans="1:14" ht="138.6" customHeight="1" x14ac:dyDescent="0.2">
      <c r="A2445" s="3">
        <v>2443</v>
      </c>
      <c r="B2445" s="3">
        <v>167915</v>
      </c>
      <c r="C2445" s="4" t="str">
        <f>HYPERLINK("http://optservis.net:5080/photo?tov_code_internet=167915","Увеличить")</f>
        <v>Увеличить</v>
      </c>
      <c r="D2445" s="3" t="s">
        <v>4894</v>
      </c>
      <c r="E2445" s="3"/>
      <c r="F2445" s="3" t="s">
        <v>4651</v>
      </c>
      <c r="G2445" s="3" t="s">
        <v>502</v>
      </c>
      <c r="H2445" s="3">
        <v>0.5</v>
      </c>
      <c r="I2445" s="3">
        <v>0</v>
      </c>
      <c r="J2445" s="3" t="s">
        <v>18</v>
      </c>
      <c r="K2445" s="5">
        <v>0.22</v>
      </c>
      <c r="L2445" s="6">
        <v>0</v>
      </c>
      <c r="M2445" s="7" t="s">
        <v>4893</v>
      </c>
      <c r="N2445" s="8">
        <f>VLOOKUP(B2445,'[1]новый без картинок'!$A$5:$F$2672,6,0)</f>
        <v>560</v>
      </c>
    </row>
    <row r="2446" spans="1:14" ht="157.5" customHeight="1" x14ac:dyDescent="0.2">
      <c r="A2446" s="3">
        <v>2444</v>
      </c>
      <c r="B2446" s="3">
        <v>196202</v>
      </c>
      <c r="C2446" s="4" t="str">
        <f>HYPERLINK("http://optservis.net:5080/photo?tov_code_internet=196202","Увеличить")</f>
        <v>Увеличить</v>
      </c>
      <c r="D2446" s="3" t="s">
        <v>4895</v>
      </c>
      <c r="E2446" s="3"/>
      <c r="F2446" s="3" t="s">
        <v>4734</v>
      </c>
      <c r="G2446" s="3" t="s">
        <v>4594</v>
      </c>
      <c r="H2446" s="3">
        <v>0.5</v>
      </c>
      <c r="I2446" s="3">
        <v>0</v>
      </c>
      <c r="J2446" s="3" t="s">
        <v>18</v>
      </c>
      <c r="K2446" s="5">
        <v>0.23</v>
      </c>
      <c r="L2446" s="6">
        <v>0</v>
      </c>
      <c r="M2446" s="7" t="s">
        <v>4896</v>
      </c>
      <c r="N2446" s="8">
        <f>VLOOKUP(B2446,'[1]новый без картинок'!$A$5:$F$2672,6,0)</f>
        <v>1164</v>
      </c>
    </row>
    <row r="2447" spans="1:14" ht="157.5" customHeight="1" x14ac:dyDescent="0.2">
      <c r="A2447" s="3">
        <v>2445</v>
      </c>
      <c r="B2447" s="3">
        <v>185746</v>
      </c>
      <c r="C2447" s="4" t="str">
        <f>HYPERLINK("http://optservis.net:5080/photo?tov_code_internet=185746","Увеличить")</f>
        <v>Увеличить</v>
      </c>
      <c r="D2447" s="3" t="s">
        <v>4897</v>
      </c>
      <c r="E2447" s="3" t="s">
        <v>4898</v>
      </c>
      <c r="F2447" s="3" t="s">
        <v>4899</v>
      </c>
      <c r="G2447" s="3" t="s">
        <v>4900</v>
      </c>
      <c r="H2447" s="3">
        <v>0.5</v>
      </c>
      <c r="I2447" s="3">
        <v>0</v>
      </c>
      <c r="J2447" s="3" t="s">
        <v>18</v>
      </c>
      <c r="K2447" s="5">
        <v>0.15</v>
      </c>
      <c r="L2447" s="6">
        <v>4690654019211</v>
      </c>
      <c r="M2447" s="7" t="s">
        <v>4901</v>
      </c>
      <c r="N2447" s="8">
        <f>VLOOKUP(B2447,'[1]новый без картинок'!$A$5:$F$2672,6,0)</f>
        <v>426</v>
      </c>
    </row>
    <row r="2448" spans="1:14" ht="157.5" customHeight="1" x14ac:dyDescent="0.2">
      <c r="A2448" s="3">
        <v>2446</v>
      </c>
      <c r="B2448" s="3">
        <v>214603</v>
      </c>
      <c r="C2448" s="4" t="str">
        <f>HYPERLINK("http://optservis.net:5080/photo?tov_code_internet=214603","Увеличить")</f>
        <v>Увеличить</v>
      </c>
      <c r="D2448" s="3" t="s">
        <v>4902</v>
      </c>
      <c r="E2448" s="3"/>
      <c r="F2448" s="3" t="s">
        <v>4556</v>
      </c>
      <c r="G2448" s="3" t="s">
        <v>4900</v>
      </c>
      <c r="H2448" s="3">
        <v>0.5</v>
      </c>
      <c r="I2448" s="3">
        <v>0</v>
      </c>
      <c r="J2448" s="3" t="s">
        <v>18</v>
      </c>
      <c r="K2448" s="5">
        <v>0.14000000000000001</v>
      </c>
      <c r="L2448" s="6">
        <v>0</v>
      </c>
      <c r="M2448" s="7" t="s">
        <v>4903</v>
      </c>
      <c r="N2448" s="8">
        <f>VLOOKUP(B2448,'[1]новый без картинок'!$A$5:$F$2672,6,0)</f>
        <v>464</v>
      </c>
    </row>
    <row r="2449" spans="1:14" ht="157.5" customHeight="1" x14ac:dyDescent="0.2">
      <c r="A2449" s="3">
        <v>2447</v>
      </c>
      <c r="B2449" s="3">
        <v>214604</v>
      </c>
      <c r="C2449" s="4" t="str">
        <f>HYPERLINK("http://optservis.net:5080/photo?tov_code_internet=214604","Увеличить")</f>
        <v>Увеличить</v>
      </c>
      <c r="D2449" s="3" t="s">
        <v>4902</v>
      </c>
      <c r="E2449" s="3"/>
      <c r="F2449" s="3" t="s">
        <v>4558</v>
      </c>
      <c r="G2449" s="3" t="s">
        <v>4900</v>
      </c>
      <c r="H2449" s="3">
        <v>0.5</v>
      </c>
      <c r="I2449" s="3">
        <v>0</v>
      </c>
      <c r="J2449" s="3" t="s">
        <v>18</v>
      </c>
      <c r="K2449" s="5">
        <v>0.14000000000000001</v>
      </c>
      <c r="L2449" s="6">
        <v>0</v>
      </c>
      <c r="M2449" s="7" t="s">
        <v>4903</v>
      </c>
      <c r="N2449" s="8">
        <f>VLOOKUP(B2449,'[1]новый без картинок'!$A$5:$F$2672,6,0)</f>
        <v>464</v>
      </c>
    </row>
    <row r="2450" spans="1:14" ht="157.5" customHeight="1" x14ac:dyDescent="0.2">
      <c r="A2450" s="3">
        <v>2448</v>
      </c>
      <c r="B2450" s="3">
        <v>211169</v>
      </c>
      <c r="C2450" s="4" t="str">
        <f>HYPERLINK("http://optservis.net:5080/photo?tov_code_internet=211169","Увеличить")</f>
        <v>Увеличить</v>
      </c>
      <c r="D2450" s="3" t="s">
        <v>4904</v>
      </c>
      <c r="E2450" s="3"/>
      <c r="F2450" s="3" t="s">
        <v>4560</v>
      </c>
      <c r="G2450" s="3" t="s">
        <v>818</v>
      </c>
      <c r="H2450" s="3">
        <v>0.5</v>
      </c>
      <c r="I2450" s="3">
        <v>0</v>
      </c>
      <c r="J2450" s="3" t="s">
        <v>18</v>
      </c>
      <c r="K2450" s="5">
        <v>0.13</v>
      </c>
      <c r="L2450" s="6">
        <v>0</v>
      </c>
      <c r="M2450" s="7" t="s">
        <v>4905</v>
      </c>
      <c r="N2450" s="8">
        <f>VLOOKUP(B2450,'[1]новый без картинок'!$A$5:$F$2672,6,0)</f>
        <v>615</v>
      </c>
    </row>
    <row r="2451" spans="1:14" ht="157.5" customHeight="1" x14ac:dyDescent="0.2">
      <c r="A2451" s="3">
        <v>2449</v>
      </c>
      <c r="B2451" s="3">
        <v>211170</v>
      </c>
      <c r="C2451" s="4" t="str">
        <f>HYPERLINK("http://optservis.net:5080/photo?tov_code_internet=211170","Увеличить")</f>
        <v>Увеличить</v>
      </c>
      <c r="D2451" s="3" t="s">
        <v>4904</v>
      </c>
      <c r="E2451" s="3"/>
      <c r="F2451" s="3" t="s">
        <v>4562</v>
      </c>
      <c r="G2451" s="3" t="s">
        <v>818</v>
      </c>
      <c r="H2451" s="3">
        <v>0.5</v>
      </c>
      <c r="I2451" s="3">
        <v>0</v>
      </c>
      <c r="J2451" s="3" t="s">
        <v>18</v>
      </c>
      <c r="K2451" s="5">
        <v>0.13</v>
      </c>
      <c r="L2451" s="6">
        <v>0</v>
      </c>
      <c r="M2451" s="7" t="s">
        <v>4905</v>
      </c>
      <c r="N2451" s="8">
        <f>VLOOKUP(B2451,'[1]новый без картинок'!$A$5:$F$2672,6,0)</f>
        <v>615</v>
      </c>
    </row>
    <row r="2452" spans="1:14" ht="157.5" customHeight="1" x14ac:dyDescent="0.2">
      <c r="A2452" s="3">
        <v>2450</v>
      </c>
      <c r="B2452" s="3">
        <v>184792</v>
      </c>
      <c r="C2452" s="4" t="str">
        <f>HYPERLINK("http://optservis.net:5080/photo?tov_code_internet=184792","Увеличить")</f>
        <v>Увеличить</v>
      </c>
      <c r="D2452" s="3" t="s">
        <v>4906</v>
      </c>
      <c r="E2452" s="3" t="s">
        <v>4907</v>
      </c>
      <c r="F2452" s="3" t="s">
        <v>4908</v>
      </c>
      <c r="G2452" s="3" t="s">
        <v>818</v>
      </c>
      <c r="H2452" s="3">
        <v>0.5</v>
      </c>
      <c r="I2452" s="3">
        <v>0</v>
      </c>
      <c r="J2452" s="3" t="s">
        <v>18</v>
      </c>
      <c r="K2452" s="5">
        <v>0.15</v>
      </c>
      <c r="L2452" s="6">
        <v>4690654014438</v>
      </c>
      <c r="M2452" s="7" t="s">
        <v>4909</v>
      </c>
      <c r="N2452" s="8">
        <f>VLOOKUP(B2452,'[1]новый без картинок'!$A$5:$F$2672,6,0)</f>
        <v>491</v>
      </c>
    </row>
    <row r="2453" spans="1:14" ht="157.5" customHeight="1" x14ac:dyDescent="0.2">
      <c r="A2453" s="3">
        <v>2451</v>
      </c>
      <c r="B2453" s="3">
        <v>184804</v>
      </c>
      <c r="C2453" s="4" t="str">
        <f>HYPERLINK("http://optservis.net:5080/photo?tov_code_internet=184804","Увеличить")</f>
        <v>Увеличить</v>
      </c>
      <c r="D2453" s="3" t="s">
        <v>4906</v>
      </c>
      <c r="E2453" s="3" t="s">
        <v>4910</v>
      </c>
      <c r="F2453" s="3" t="s">
        <v>4911</v>
      </c>
      <c r="G2453" s="3" t="s">
        <v>818</v>
      </c>
      <c r="H2453" s="3">
        <v>0.5</v>
      </c>
      <c r="I2453" s="3">
        <v>0</v>
      </c>
      <c r="J2453" s="3" t="s">
        <v>18</v>
      </c>
      <c r="K2453" s="5">
        <v>0.15</v>
      </c>
      <c r="L2453" s="6">
        <v>4690654012564</v>
      </c>
      <c r="M2453" s="7" t="s">
        <v>4909</v>
      </c>
      <c r="N2453" s="8">
        <f>VLOOKUP(B2453,'[1]новый без картинок'!$A$5:$F$2672,6,0)</f>
        <v>519</v>
      </c>
    </row>
    <row r="2454" spans="1:14" ht="157.5" customHeight="1" x14ac:dyDescent="0.2">
      <c r="A2454" s="3">
        <v>2452</v>
      </c>
      <c r="B2454" s="3">
        <v>185747</v>
      </c>
      <c r="C2454" s="4" t="str">
        <f>HYPERLINK("http://optservis.net:5080/photo?tov_code_internet=185747","Увеличить")</f>
        <v>Увеличить</v>
      </c>
      <c r="D2454" s="3" t="s">
        <v>4906</v>
      </c>
      <c r="E2454" s="3" t="s">
        <v>4910</v>
      </c>
      <c r="F2454" s="3" t="s">
        <v>4912</v>
      </c>
      <c r="G2454" s="3" t="s">
        <v>818</v>
      </c>
      <c r="H2454" s="3">
        <v>0.5</v>
      </c>
      <c r="I2454" s="3">
        <v>0</v>
      </c>
      <c r="J2454" s="3" t="s">
        <v>18</v>
      </c>
      <c r="K2454" s="5">
        <v>0.15</v>
      </c>
      <c r="L2454" s="6">
        <v>4690654013677</v>
      </c>
      <c r="M2454" s="7" t="s">
        <v>4909</v>
      </c>
      <c r="N2454" s="8">
        <f>VLOOKUP(B2454,'[1]новый без картинок'!$A$5:$F$2672,6,0)</f>
        <v>471</v>
      </c>
    </row>
    <row r="2455" spans="1:14" ht="157.5" customHeight="1" x14ac:dyDescent="0.2">
      <c r="A2455" s="3">
        <v>2453</v>
      </c>
      <c r="B2455" s="3">
        <v>196220</v>
      </c>
      <c r="C2455" s="4" t="str">
        <f>HYPERLINK("http://optservis.net:5080/photo?tov_code_internet=196220","Увеличить")</f>
        <v>Увеличить</v>
      </c>
      <c r="D2455" s="3" t="s">
        <v>4913</v>
      </c>
      <c r="E2455" s="3"/>
      <c r="F2455" s="3" t="s">
        <v>4914</v>
      </c>
      <c r="G2455" s="3" t="s">
        <v>4915</v>
      </c>
      <c r="H2455" s="3">
        <v>0.5</v>
      </c>
      <c r="I2455" s="3">
        <v>0</v>
      </c>
      <c r="J2455" s="3" t="s">
        <v>18</v>
      </c>
      <c r="K2455" s="5">
        <v>0.16</v>
      </c>
      <c r="L2455" s="6">
        <v>0</v>
      </c>
      <c r="M2455" s="7" t="s">
        <v>4916</v>
      </c>
      <c r="N2455" s="8">
        <f>VLOOKUP(B2455,'[1]новый без картинок'!$A$5:$F$2672,6,0)</f>
        <v>989</v>
      </c>
    </row>
    <row r="2456" spans="1:14" ht="138.6" customHeight="1" x14ac:dyDescent="0.2">
      <c r="A2456" s="3">
        <v>2454</v>
      </c>
      <c r="B2456" s="3">
        <v>208088</v>
      </c>
      <c r="C2456" s="4" t="str">
        <f>HYPERLINK("http://optservis.net:5080/photo?tov_code_internet=208088","Увеличить")</f>
        <v>Увеличить</v>
      </c>
      <c r="D2456" s="3" t="s">
        <v>4917</v>
      </c>
      <c r="E2456" s="3"/>
      <c r="F2456" s="3" t="s">
        <v>4918</v>
      </c>
      <c r="G2456" s="3" t="s">
        <v>4919</v>
      </c>
      <c r="H2456" s="3">
        <v>0.5</v>
      </c>
      <c r="I2456" s="3">
        <v>0</v>
      </c>
      <c r="J2456" s="3" t="s">
        <v>18</v>
      </c>
      <c r="K2456" s="5">
        <v>0.16</v>
      </c>
      <c r="L2456" s="6">
        <v>0</v>
      </c>
      <c r="M2456" s="7" t="s">
        <v>4920</v>
      </c>
      <c r="N2456" s="8">
        <f>VLOOKUP(B2456,'[1]новый без картинок'!$A$5:$F$2672,6,0)</f>
        <v>839</v>
      </c>
    </row>
    <row r="2457" spans="1:14" ht="138.6" customHeight="1" x14ac:dyDescent="0.2">
      <c r="A2457" s="3">
        <v>2455</v>
      </c>
      <c r="B2457" s="3">
        <v>208087</v>
      </c>
      <c r="C2457" s="4" t="str">
        <f>HYPERLINK("http://optservis.net:5080/photo?tov_code_internet=208087","Увеличить")</f>
        <v>Увеличить</v>
      </c>
      <c r="D2457" s="3" t="s">
        <v>4917</v>
      </c>
      <c r="E2457" s="3"/>
      <c r="F2457" s="3" t="s">
        <v>4921</v>
      </c>
      <c r="G2457" s="3" t="s">
        <v>4919</v>
      </c>
      <c r="H2457" s="3">
        <v>0.5</v>
      </c>
      <c r="I2457" s="3">
        <v>0</v>
      </c>
      <c r="J2457" s="3" t="s">
        <v>18</v>
      </c>
      <c r="K2457" s="5">
        <v>0.16</v>
      </c>
      <c r="L2457" s="6">
        <v>0</v>
      </c>
      <c r="M2457" s="7" t="s">
        <v>4920</v>
      </c>
      <c r="N2457" s="8">
        <f>VLOOKUP(B2457,'[1]новый без картинок'!$A$5:$F$2672,6,0)</f>
        <v>839</v>
      </c>
    </row>
    <row r="2458" spans="1:14" ht="138.6" customHeight="1" x14ac:dyDescent="0.2">
      <c r="A2458" s="3">
        <v>2456</v>
      </c>
      <c r="B2458" s="3">
        <v>208089</v>
      </c>
      <c r="C2458" s="4" t="str">
        <f>HYPERLINK("http://optservis.net:5080/photo?tov_code_internet=208089","Увеличить")</f>
        <v>Увеличить</v>
      </c>
      <c r="D2458" s="3" t="s">
        <v>4917</v>
      </c>
      <c r="E2458" s="3" t="s">
        <v>4922</v>
      </c>
      <c r="F2458" s="3" t="s">
        <v>4923</v>
      </c>
      <c r="G2458" s="3" t="s">
        <v>4919</v>
      </c>
      <c r="H2458" s="3">
        <v>0.5</v>
      </c>
      <c r="I2458" s="3">
        <v>0</v>
      </c>
      <c r="J2458" s="3" t="s">
        <v>18</v>
      </c>
      <c r="K2458" s="5">
        <v>0.16</v>
      </c>
      <c r="L2458" s="6">
        <v>4690654020422</v>
      </c>
      <c r="M2458" s="7" t="s">
        <v>4920</v>
      </c>
      <c r="N2458" s="8">
        <f>VLOOKUP(B2458,'[1]новый без картинок'!$A$5:$F$2672,6,0)</f>
        <v>839</v>
      </c>
    </row>
    <row r="2459" spans="1:14" ht="138.6" customHeight="1" x14ac:dyDescent="0.2">
      <c r="A2459" s="3">
        <v>2457</v>
      </c>
      <c r="B2459" s="3">
        <v>208086</v>
      </c>
      <c r="C2459" s="4" t="str">
        <f>HYPERLINK("http://optservis.net:5080/photo?tov_code_internet=208086","Увеличить")</f>
        <v>Увеличить</v>
      </c>
      <c r="D2459" s="3" t="s">
        <v>4917</v>
      </c>
      <c r="E2459" s="3" t="s">
        <v>4922</v>
      </c>
      <c r="F2459" s="3" t="s">
        <v>4924</v>
      </c>
      <c r="G2459" s="3" t="s">
        <v>4919</v>
      </c>
      <c r="H2459" s="3">
        <v>0.5</v>
      </c>
      <c r="I2459" s="3">
        <v>0</v>
      </c>
      <c r="J2459" s="3" t="s">
        <v>18</v>
      </c>
      <c r="K2459" s="5">
        <v>0.16</v>
      </c>
      <c r="L2459" s="6">
        <v>4690654020439</v>
      </c>
      <c r="M2459" s="7" t="s">
        <v>4920</v>
      </c>
      <c r="N2459" s="8">
        <f>VLOOKUP(B2459,'[1]новый без картинок'!$A$5:$F$2672,6,0)</f>
        <v>839</v>
      </c>
    </row>
    <row r="2460" spans="1:14" ht="157.5" customHeight="1" x14ac:dyDescent="0.2">
      <c r="A2460" s="3">
        <v>2458</v>
      </c>
      <c r="B2460" s="3">
        <v>213964</v>
      </c>
      <c r="C2460" s="4" t="str">
        <f>HYPERLINK("http://optservis.net:5080/photo?tov_code_internet=213964","Увеличить")</f>
        <v>Увеличить</v>
      </c>
      <c r="D2460" s="3" t="s">
        <v>4925</v>
      </c>
      <c r="E2460" s="3"/>
      <c r="F2460" s="3" t="s">
        <v>4926</v>
      </c>
      <c r="G2460" s="3" t="s">
        <v>4919</v>
      </c>
      <c r="H2460" s="3">
        <v>0.5</v>
      </c>
      <c r="I2460" s="3">
        <v>0</v>
      </c>
      <c r="J2460" s="3" t="s">
        <v>18</v>
      </c>
      <c r="K2460" s="5">
        <v>0.16</v>
      </c>
      <c r="L2460" s="6">
        <v>0</v>
      </c>
      <c r="M2460" s="7" t="s">
        <v>4927</v>
      </c>
      <c r="N2460" s="8">
        <f>VLOOKUP(B2460,'[1]новый без картинок'!$A$5:$F$2672,6,0)</f>
        <v>839</v>
      </c>
    </row>
    <row r="2461" spans="1:14" ht="157.5" customHeight="1" x14ac:dyDescent="0.2">
      <c r="A2461" s="3">
        <v>2459</v>
      </c>
      <c r="B2461" s="3">
        <v>212655</v>
      </c>
      <c r="C2461" s="4" t="str">
        <f>HYPERLINK("http://optservis.net:5080/photo?tov_code_internet=212655","Увеличить")</f>
        <v>Увеличить</v>
      </c>
      <c r="D2461" s="3" t="s">
        <v>4928</v>
      </c>
      <c r="E2461" s="3"/>
      <c r="F2461" s="3" t="s">
        <v>4929</v>
      </c>
      <c r="G2461" s="3" t="s">
        <v>4900</v>
      </c>
      <c r="H2461" s="3">
        <v>0.5</v>
      </c>
      <c r="I2461" s="3">
        <v>0</v>
      </c>
      <c r="J2461" s="3" t="s">
        <v>18</v>
      </c>
      <c r="K2461" s="5">
        <v>0.14000000000000001</v>
      </c>
      <c r="L2461" s="6">
        <v>0</v>
      </c>
      <c r="M2461" s="7" t="s">
        <v>4930</v>
      </c>
      <c r="N2461" s="8">
        <f>VLOOKUP(B2461,'[1]новый без картинок'!$A$5:$F$2672,6,0)</f>
        <v>425</v>
      </c>
    </row>
    <row r="2462" spans="1:14" ht="157.5" customHeight="1" x14ac:dyDescent="0.2">
      <c r="A2462" s="3">
        <v>2460</v>
      </c>
      <c r="B2462" s="3">
        <v>212654</v>
      </c>
      <c r="C2462" s="4" t="str">
        <f>HYPERLINK("http://optservis.net:5080/photo?tov_code_internet=212654","Увеличить")</f>
        <v>Увеличить</v>
      </c>
      <c r="D2462" s="3" t="s">
        <v>4928</v>
      </c>
      <c r="E2462" s="3" t="s">
        <v>4931</v>
      </c>
      <c r="F2462" s="3" t="s">
        <v>4932</v>
      </c>
      <c r="G2462" s="3" t="s">
        <v>4900</v>
      </c>
      <c r="H2462" s="3">
        <v>0.5</v>
      </c>
      <c r="I2462" s="3">
        <v>0</v>
      </c>
      <c r="J2462" s="3" t="s">
        <v>18</v>
      </c>
      <c r="K2462" s="5">
        <v>0.14000000000000001</v>
      </c>
      <c r="L2462" s="6">
        <v>4690654020392</v>
      </c>
      <c r="M2462" s="7" t="s">
        <v>4930</v>
      </c>
      <c r="N2462" s="8">
        <f>VLOOKUP(B2462,'[1]новый без картинок'!$A$5:$F$2672,6,0)</f>
        <v>425</v>
      </c>
    </row>
    <row r="2463" spans="1:14" ht="157.5" customHeight="1" x14ac:dyDescent="0.2">
      <c r="A2463" s="3">
        <v>2461</v>
      </c>
      <c r="B2463" s="3">
        <v>203687</v>
      </c>
      <c r="C2463" s="4" t="str">
        <f>HYPERLINK("http://optservis.net:5080/photo?tov_code_internet=203687","Увеличить")</f>
        <v>Увеличить</v>
      </c>
      <c r="D2463" s="3" t="s">
        <v>4933</v>
      </c>
      <c r="E2463" s="3"/>
      <c r="F2463" s="3" t="s">
        <v>4934</v>
      </c>
      <c r="G2463" s="3" t="s">
        <v>818</v>
      </c>
      <c r="H2463" s="3">
        <v>0.5</v>
      </c>
      <c r="I2463" s="3">
        <v>0</v>
      </c>
      <c r="J2463" s="3" t="s">
        <v>18</v>
      </c>
      <c r="K2463" s="5">
        <v>0.13</v>
      </c>
      <c r="L2463" s="6">
        <v>0</v>
      </c>
      <c r="M2463" s="7" t="s">
        <v>4935</v>
      </c>
      <c r="N2463" s="8">
        <f>VLOOKUP(B2463,'[1]новый без картинок'!$A$5:$F$2672,6,0)</f>
        <v>419</v>
      </c>
    </row>
    <row r="2464" spans="1:14" ht="157.5" customHeight="1" x14ac:dyDescent="0.2">
      <c r="A2464" s="3">
        <v>2462</v>
      </c>
      <c r="B2464" s="3">
        <v>208912</v>
      </c>
      <c r="C2464" s="4" t="str">
        <f>HYPERLINK("http://optservis.net:5080/photo?tov_code_internet=208912","Увеличить")</f>
        <v>Увеличить</v>
      </c>
      <c r="D2464" s="3" t="s">
        <v>4933</v>
      </c>
      <c r="E2464" s="3" t="s">
        <v>4936</v>
      </c>
      <c r="F2464" s="3" t="s">
        <v>4560</v>
      </c>
      <c r="G2464" s="3" t="s">
        <v>818</v>
      </c>
      <c r="H2464" s="3">
        <v>0.5</v>
      </c>
      <c r="I2464" s="3">
        <v>0</v>
      </c>
      <c r="J2464" s="3" t="s">
        <v>18</v>
      </c>
      <c r="K2464" s="5">
        <v>0.14000000000000001</v>
      </c>
      <c r="L2464" s="6">
        <v>4690654019396</v>
      </c>
      <c r="M2464" s="7" t="s">
        <v>4937</v>
      </c>
      <c r="N2464" s="8">
        <f>VLOOKUP(B2464,'[1]новый без картинок'!$A$5:$F$2672,6,0)</f>
        <v>432</v>
      </c>
    </row>
    <row r="2465" spans="1:14" ht="157.5" customHeight="1" x14ac:dyDescent="0.2">
      <c r="A2465" s="3">
        <v>2463</v>
      </c>
      <c r="B2465" s="3">
        <v>203686</v>
      </c>
      <c r="C2465" s="4" t="str">
        <f>HYPERLINK("http://optservis.net:5080/photo?tov_code_internet=203686","Увеличить")</f>
        <v>Увеличить</v>
      </c>
      <c r="D2465" s="3" t="s">
        <v>4933</v>
      </c>
      <c r="E2465" s="3" t="s">
        <v>4936</v>
      </c>
      <c r="F2465" s="3" t="s">
        <v>4938</v>
      </c>
      <c r="G2465" s="3" t="s">
        <v>818</v>
      </c>
      <c r="H2465" s="3">
        <v>0.5</v>
      </c>
      <c r="I2465" s="3">
        <v>0</v>
      </c>
      <c r="J2465" s="3" t="s">
        <v>18</v>
      </c>
      <c r="K2465" s="5">
        <v>0.13</v>
      </c>
      <c r="L2465" s="6">
        <v>4690654016913</v>
      </c>
      <c r="M2465" s="7" t="s">
        <v>4935</v>
      </c>
      <c r="N2465" s="8">
        <f>VLOOKUP(B2465,'[1]новый без картинок'!$A$5:$F$2672,6,0)</f>
        <v>419</v>
      </c>
    </row>
    <row r="2466" spans="1:14" ht="157.5" customHeight="1" x14ac:dyDescent="0.2">
      <c r="A2466" s="3">
        <v>2464</v>
      </c>
      <c r="B2466" s="3">
        <v>200958</v>
      </c>
      <c r="C2466" s="4" t="str">
        <f>HYPERLINK("http://optservis.net:5080/photo?tov_code_internet=200958","Увеличить")</f>
        <v>Увеличить</v>
      </c>
      <c r="D2466" s="3" t="s">
        <v>4933</v>
      </c>
      <c r="E2466" s="3" t="s">
        <v>4939</v>
      </c>
      <c r="F2466" s="3" t="s">
        <v>4590</v>
      </c>
      <c r="G2466" s="3" t="s">
        <v>818</v>
      </c>
      <c r="H2466" s="3">
        <v>0.5</v>
      </c>
      <c r="I2466" s="3">
        <v>0</v>
      </c>
      <c r="J2466" s="3" t="s">
        <v>18</v>
      </c>
      <c r="K2466" s="5">
        <v>0.14000000000000001</v>
      </c>
      <c r="L2466" s="6">
        <v>4690654018580</v>
      </c>
      <c r="M2466" s="7" t="s">
        <v>4940</v>
      </c>
      <c r="N2466" s="8">
        <f>VLOOKUP(B2466,'[1]новый без картинок'!$A$5:$F$2672,6,0)</f>
        <v>429</v>
      </c>
    </row>
    <row r="2467" spans="1:14" ht="157.5" customHeight="1" x14ac:dyDescent="0.2">
      <c r="A2467" s="3">
        <v>2465</v>
      </c>
      <c r="B2467" s="3">
        <v>196219</v>
      </c>
      <c r="C2467" s="4" t="str">
        <f>HYPERLINK("http://optservis.net:5080/photo?tov_code_internet=196219","Увеличить")</f>
        <v>Увеличить</v>
      </c>
      <c r="D2467" s="3" t="s">
        <v>4941</v>
      </c>
      <c r="E2467" s="3"/>
      <c r="F2467" s="3" t="s">
        <v>4942</v>
      </c>
      <c r="G2467" s="3" t="s">
        <v>4915</v>
      </c>
      <c r="H2467" s="3">
        <v>0.5</v>
      </c>
      <c r="I2467" s="3">
        <v>0</v>
      </c>
      <c r="J2467" s="3" t="s">
        <v>18</v>
      </c>
      <c r="K2467" s="5">
        <v>0.16</v>
      </c>
      <c r="L2467" s="6">
        <v>0</v>
      </c>
      <c r="M2467" s="7" t="s">
        <v>4916</v>
      </c>
      <c r="N2467" s="8">
        <f>VLOOKUP(B2467,'[1]новый без картинок'!$A$5:$F$2672,6,0)</f>
        <v>961</v>
      </c>
    </row>
    <row r="2468" spans="1:14" ht="157.5" customHeight="1" x14ac:dyDescent="0.2">
      <c r="A2468" s="3">
        <v>2466</v>
      </c>
      <c r="B2468" s="3">
        <v>196203</v>
      </c>
      <c r="C2468" s="4" t="str">
        <f>HYPERLINK("http://optservis.net:5080/photo?tov_code_internet=196203","Увеличить")</f>
        <v>Увеличить</v>
      </c>
      <c r="D2468" s="3" t="s">
        <v>4941</v>
      </c>
      <c r="E2468" s="3"/>
      <c r="F2468" s="3" t="s">
        <v>4593</v>
      </c>
      <c r="G2468" s="3" t="s">
        <v>4915</v>
      </c>
      <c r="H2468" s="3">
        <v>0.5</v>
      </c>
      <c r="I2468" s="3">
        <v>0</v>
      </c>
      <c r="J2468" s="3" t="s">
        <v>18</v>
      </c>
      <c r="K2468" s="5">
        <v>0.15</v>
      </c>
      <c r="L2468" s="6">
        <v>0</v>
      </c>
      <c r="M2468" s="7" t="s">
        <v>4943</v>
      </c>
      <c r="N2468" s="8">
        <f>VLOOKUP(B2468,'[1]новый без картинок'!$A$5:$F$2672,6,0)</f>
        <v>1047</v>
      </c>
    </row>
    <row r="2469" spans="1:14" ht="138.6" customHeight="1" x14ac:dyDescent="0.2">
      <c r="A2469" s="3">
        <v>2467</v>
      </c>
      <c r="B2469" s="3">
        <v>212915</v>
      </c>
      <c r="C2469" s="4" t="str">
        <f>HYPERLINK("http://optservis.net:5080/photo?tov_code_internet=212915","Увеличить")</f>
        <v>Увеличить</v>
      </c>
      <c r="D2469" s="3" t="s">
        <v>4944</v>
      </c>
      <c r="E2469" s="3"/>
      <c r="F2469" s="3" t="s">
        <v>4918</v>
      </c>
      <c r="G2469" s="3" t="s">
        <v>4919</v>
      </c>
      <c r="H2469" s="3">
        <v>0.5</v>
      </c>
      <c r="I2469" s="3">
        <v>0</v>
      </c>
      <c r="J2469" s="3" t="s">
        <v>18</v>
      </c>
      <c r="K2469" s="5">
        <v>0.15</v>
      </c>
      <c r="L2469" s="6">
        <v>0</v>
      </c>
      <c r="M2469" s="7" t="s">
        <v>4945</v>
      </c>
      <c r="N2469" s="8">
        <f>VLOOKUP(B2469,'[1]новый без картинок'!$A$5:$F$2672,6,0)</f>
        <v>952</v>
      </c>
    </row>
    <row r="2470" spans="1:14" ht="138.6" customHeight="1" x14ac:dyDescent="0.2">
      <c r="A2470" s="3">
        <v>2468</v>
      </c>
      <c r="B2470" s="3">
        <v>212916</v>
      </c>
      <c r="C2470" s="4" t="str">
        <f>HYPERLINK("http://optservis.net:5080/photo?tov_code_internet=212916","Увеличить")</f>
        <v>Увеличить</v>
      </c>
      <c r="D2470" s="3" t="s">
        <v>4944</v>
      </c>
      <c r="E2470" s="3"/>
      <c r="F2470" s="3" t="s">
        <v>4923</v>
      </c>
      <c r="G2470" s="3" t="s">
        <v>4919</v>
      </c>
      <c r="H2470" s="3">
        <v>0.5</v>
      </c>
      <c r="I2470" s="3">
        <v>0</v>
      </c>
      <c r="J2470" s="3" t="s">
        <v>18</v>
      </c>
      <c r="K2470" s="5">
        <v>0.15</v>
      </c>
      <c r="L2470" s="6">
        <v>0</v>
      </c>
      <c r="M2470" s="7" t="s">
        <v>4945</v>
      </c>
      <c r="N2470" s="8">
        <f>VLOOKUP(B2470,'[1]новый без картинок'!$A$5:$F$2672,6,0)</f>
        <v>952</v>
      </c>
    </row>
    <row r="2471" spans="1:14" ht="138.6" customHeight="1" x14ac:dyDescent="0.2">
      <c r="A2471" s="3">
        <v>2469</v>
      </c>
      <c r="B2471" s="3">
        <v>212914</v>
      </c>
      <c r="C2471" s="4" t="str">
        <f>HYPERLINK("http://optservis.net:5080/photo?tov_code_internet=212914","Увеличить")</f>
        <v>Увеличить</v>
      </c>
      <c r="D2471" s="3" t="s">
        <v>4944</v>
      </c>
      <c r="E2471" s="3"/>
      <c r="F2471" s="3" t="s">
        <v>4921</v>
      </c>
      <c r="G2471" s="3" t="s">
        <v>4919</v>
      </c>
      <c r="H2471" s="3">
        <v>0.5</v>
      </c>
      <c r="I2471" s="3">
        <v>0</v>
      </c>
      <c r="J2471" s="3" t="s">
        <v>18</v>
      </c>
      <c r="K2471" s="5">
        <v>0.15</v>
      </c>
      <c r="L2471" s="6">
        <v>0</v>
      </c>
      <c r="M2471" s="7" t="s">
        <v>4945</v>
      </c>
      <c r="N2471" s="8">
        <f>VLOOKUP(B2471,'[1]новый без картинок'!$A$5:$F$2672,6,0)</f>
        <v>952</v>
      </c>
    </row>
    <row r="2472" spans="1:14" ht="157.5" customHeight="1" x14ac:dyDescent="0.2">
      <c r="A2472" s="3">
        <v>2470</v>
      </c>
      <c r="B2472" s="3">
        <v>213963</v>
      </c>
      <c r="C2472" s="4" t="str">
        <f>HYPERLINK("http://optservis.net:5080/photo?tov_code_internet=213963","Увеличить")</f>
        <v>Увеличить</v>
      </c>
      <c r="D2472" s="3" t="s">
        <v>4944</v>
      </c>
      <c r="E2472" s="3"/>
      <c r="F2472" s="3" t="s">
        <v>4926</v>
      </c>
      <c r="G2472" s="3" t="s">
        <v>4919</v>
      </c>
      <c r="H2472" s="3">
        <v>0.5</v>
      </c>
      <c r="I2472" s="3">
        <v>0</v>
      </c>
      <c r="J2472" s="3" t="s">
        <v>18</v>
      </c>
      <c r="K2472" s="5">
        <v>0.15</v>
      </c>
      <c r="L2472" s="6">
        <v>0</v>
      </c>
      <c r="M2472" s="7" t="s">
        <v>4945</v>
      </c>
      <c r="N2472" s="8">
        <f>VLOOKUP(B2472,'[1]новый без картинок'!$A$5:$F$2672,6,0)</f>
        <v>952</v>
      </c>
    </row>
    <row r="2473" spans="1:14" ht="138.6" customHeight="1" x14ac:dyDescent="0.2">
      <c r="A2473" s="3">
        <v>2471</v>
      </c>
      <c r="B2473" s="3">
        <v>212913</v>
      </c>
      <c r="C2473" s="4" t="str">
        <f>HYPERLINK("http://optservis.net:5080/photo?tov_code_internet=212913","Увеличить")</f>
        <v>Увеличить</v>
      </c>
      <c r="D2473" s="3" t="s">
        <v>4944</v>
      </c>
      <c r="E2473" s="3"/>
      <c r="F2473" s="3" t="s">
        <v>4924</v>
      </c>
      <c r="G2473" s="3" t="s">
        <v>4919</v>
      </c>
      <c r="H2473" s="3">
        <v>0.5</v>
      </c>
      <c r="I2473" s="3">
        <v>0</v>
      </c>
      <c r="J2473" s="3" t="s">
        <v>18</v>
      </c>
      <c r="K2473" s="5">
        <v>0.15</v>
      </c>
      <c r="L2473" s="6">
        <v>0</v>
      </c>
      <c r="M2473" s="7" t="s">
        <v>4945</v>
      </c>
      <c r="N2473" s="8">
        <f>VLOOKUP(B2473,'[1]новый без картинок'!$A$5:$F$2672,6,0)</f>
        <v>952</v>
      </c>
    </row>
    <row r="2474" spans="1:14" ht="157.5" customHeight="1" x14ac:dyDescent="0.2">
      <c r="A2474" s="3">
        <v>2472</v>
      </c>
      <c r="B2474" s="3">
        <v>213962</v>
      </c>
      <c r="C2474" s="4" t="str">
        <f>HYPERLINK("http://optservis.net:5080/photo?tov_code_internet=213962","Увеличить")</f>
        <v>Увеличить</v>
      </c>
      <c r="D2474" s="3" t="s">
        <v>4946</v>
      </c>
      <c r="E2474" s="3"/>
      <c r="F2474" s="3" t="s">
        <v>4947</v>
      </c>
      <c r="G2474" s="3" t="s">
        <v>1127</v>
      </c>
      <c r="H2474" s="3">
        <v>0.5</v>
      </c>
      <c r="I2474" s="3">
        <v>0</v>
      </c>
      <c r="J2474" s="3" t="s">
        <v>18</v>
      </c>
      <c r="K2474" s="5">
        <v>0.14000000000000001</v>
      </c>
      <c r="L2474" s="6">
        <v>0</v>
      </c>
      <c r="M2474" s="7" t="s">
        <v>4948</v>
      </c>
      <c r="N2474" s="8">
        <f>VLOOKUP(B2474,'[1]новый без картинок'!$A$5:$F$2672,6,0)</f>
        <v>381</v>
      </c>
    </row>
    <row r="2475" spans="1:14" ht="157.5" customHeight="1" x14ac:dyDescent="0.2">
      <c r="A2475" s="3">
        <v>2473</v>
      </c>
      <c r="B2475" s="3">
        <v>183583</v>
      </c>
      <c r="C2475" s="4" t="str">
        <f>HYPERLINK("http://optservis.net:5080/photo?tov_code_internet=183583","Увеличить")</f>
        <v>Увеличить</v>
      </c>
      <c r="D2475" s="3" t="s">
        <v>4946</v>
      </c>
      <c r="E2475" s="3" t="s">
        <v>4949</v>
      </c>
      <c r="F2475" s="3" t="s">
        <v>1285</v>
      </c>
      <c r="G2475" s="3" t="s">
        <v>788</v>
      </c>
      <c r="H2475" s="3">
        <v>0.5</v>
      </c>
      <c r="I2475" s="3">
        <v>0</v>
      </c>
      <c r="J2475" s="3" t="s">
        <v>18</v>
      </c>
      <c r="K2475" s="5">
        <v>0.14000000000000001</v>
      </c>
      <c r="L2475" s="6">
        <v>4690654011789</v>
      </c>
      <c r="M2475" s="7" t="s">
        <v>4950</v>
      </c>
      <c r="N2475" s="8">
        <f>VLOOKUP(B2475,'[1]новый без картинок'!$A$5:$F$2672,6,0)</f>
        <v>381</v>
      </c>
    </row>
    <row r="2476" spans="1:14" ht="157.5" customHeight="1" x14ac:dyDescent="0.2">
      <c r="A2476" s="3">
        <v>2474</v>
      </c>
      <c r="B2476" s="3">
        <v>183585</v>
      </c>
      <c r="C2476" s="4" t="str">
        <f>HYPERLINK("http://optservis.net:5080/photo?tov_code_internet=183585","Увеличить")</f>
        <v>Увеличить</v>
      </c>
      <c r="D2476" s="3" t="s">
        <v>4946</v>
      </c>
      <c r="E2476" s="3" t="s">
        <v>4949</v>
      </c>
      <c r="F2476" s="3" t="s">
        <v>828</v>
      </c>
      <c r="G2476" s="3" t="s">
        <v>788</v>
      </c>
      <c r="H2476" s="3">
        <v>0.5</v>
      </c>
      <c r="I2476" s="3">
        <v>0</v>
      </c>
      <c r="J2476" s="3" t="s">
        <v>18</v>
      </c>
      <c r="K2476" s="5">
        <v>0.14000000000000001</v>
      </c>
      <c r="L2476" s="6">
        <v>4690654012908</v>
      </c>
      <c r="M2476" s="7" t="s">
        <v>4950</v>
      </c>
      <c r="N2476" s="8">
        <f>VLOOKUP(B2476,'[1]новый без картинок'!$A$5:$F$2672,6,0)</f>
        <v>381</v>
      </c>
    </row>
    <row r="2477" spans="1:14" ht="157.5" customHeight="1" x14ac:dyDescent="0.2">
      <c r="A2477" s="3">
        <v>2475</v>
      </c>
      <c r="B2477" s="3">
        <v>183581</v>
      </c>
      <c r="C2477" s="4" t="str">
        <f>HYPERLINK("http://optservis.net:5080/photo?tov_code_internet=183581","Увеличить")</f>
        <v>Увеличить</v>
      </c>
      <c r="D2477" s="3" t="s">
        <v>4946</v>
      </c>
      <c r="E2477" s="3" t="s">
        <v>4949</v>
      </c>
      <c r="F2477" s="3" t="s">
        <v>280</v>
      </c>
      <c r="G2477" s="3" t="s">
        <v>788</v>
      </c>
      <c r="H2477" s="3">
        <v>0.5</v>
      </c>
      <c r="I2477" s="3">
        <v>0</v>
      </c>
      <c r="J2477" s="3" t="s">
        <v>18</v>
      </c>
      <c r="K2477" s="5">
        <v>0.14000000000000001</v>
      </c>
      <c r="L2477" s="6">
        <v>4690654012915</v>
      </c>
      <c r="M2477" s="7" t="s">
        <v>4950</v>
      </c>
      <c r="N2477" s="8">
        <f>VLOOKUP(B2477,'[1]новый без картинок'!$A$5:$F$2672,6,0)</f>
        <v>381</v>
      </c>
    </row>
    <row r="2478" spans="1:14" ht="157.5" customHeight="1" x14ac:dyDescent="0.2">
      <c r="A2478" s="3">
        <v>2476</v>
      </c>
      <c r="B2478" s="3">
        <v>183584</v>
      </c>
      <c r="C2478" s="4" t="str">
        <f>HYPERLINK("http://optservis.net:5080/photo?tov_code_internet=183584","Увеличить")</f>
        <v>Увеличить</v>
      </c>
      <c r="D2478" s="3" t="s">
        <v>4946</v>
      </c>
      <c r="E2478" s="3" t="s">
        <v>4949</v>
      </c>
      <c r="F2478" s="3" t="s">
        <v>853</v>
      </c>
      <c r="G2478" s="3" t="s">
        <v>788</v>
      </c>
      <c r="H2478" s="3">
        <v>0.5</v>
      </c>
      <c r="I2478" s="3">
        <v>0</v>
      </c>
      <c r="J2478" s="3" t="s">
        <v>18</v>
      </c>
      <c r="K2478" s="5">
        <v>0.14000000000000001</v>
      </c>
      <c r="L2478" s="6">
        <v>4690654012922</v>
      </c>
      <c r="M2478" s="7" t="s">
        <v>4950</v>
      </c>
      <c r="N2478" s="8">
        <f>VLOOKUP(B2478,'[1]новый без картинок'!$A$5:$F$2672,6,0)</f>
        <v>381</v>
      </c>
    </row>
    <row r="2479" spans="1:14" ht="157.5" customHeight="1" x14ac:dyDescent="0.2">
      <c r="A2479" s="3">
        <v>2477</v>
      </c>
      <c r="B2479" s="3">
        <v>183582</v>
      </c>
      <c r="C2479" s="4" t="str">
        <f>HYPERLINK("http://optservis.net:5080/photo?tov_code_internet=183582","Увеличить")</f>
        <v>Увеличить</v>
      </c>
      <c r="D2479" s="3" t="s">
        <v>4946</v>
      </c>
      <c r="E2479" s="3" t="s">
        <v>4949</v>
      </c>
      <c r="F2479" s="3" t="s">
        <v>4951</v>
      </c>
      <c r="G2479" s="3" t="s">
        <v>788</v>
      </c>
      <c r="H2479" s="3">
        <v>0.5</v>
      </c>
      <c r="I2479" s="3">
        <v>0</v>
      </c>
      <c r="J2479" s="3" t="s">
        <v>18</v>
      </c>
      <c r="K2479" s="5">
        <v>0.14000000000000001</v>
      </c>
      <c r="L2479" s="6">
        <v>4690654012939</v>
      </c>
      <c r="M2479" s="7" t="s">
        <v>4950</v>
      </c>
      <c r="N2479" s="8">
        <f>VLOOKUP(B2479,'[1]новый без картинок'!$A$5:$F$2672,6,0)</f>
        <v>381</v>
      </c>
    </row>
    <row r="2480" spans="1:14" ht="157.5" customHeight="1" x14ac:dyDescent="0.2">
      <c r="A2480" s="3">
        <v>2478</v>
      </c>
      <c r="B2480" s="3">
        <v>179897</v>
      </c>
      <c r="C2480" s="4" t="str">
        <f>HYPERLINK("http://optservis.net:5080/photo?tov_code_internet=179897","Увеличить")</f>
        <v>Увеличить</v>
      </c>
      <c r="D2480" s="3" t="s">
        <v>4946</v>
      </c>
      <c r="E2480" s="3" t="s">
        <v>4949</v>
      </c>
      <c r="F2480" s="3" t="s">
        <v>165</v>
      </c>
      <c r="G2480" s="3" t="s">
        <v>788</v>
      </c>
      <c r="H2480" s="3">
        <v>0.5</v>
      </c>
      <c r="I2480" s="3">
        <v>0</v>
      </c>
      <c r="J2480" s="3" t="s">
        <v>18</v>
      </c>
      <c r="K2480" s="5">
        <v>0.14000000000000001</v>
      </c>
      <c r="L2480" s="6">
        <v>4690654011611</v>
      </c>
      <c r="M2480" s="7" t="s">
        <v>4950</v>
      </c>
      <c r="N2480" s="8">
        <f>VLOOKUP(B2480,'[1]новый без картинок'!$A$5:$F$2672,6,0)</f>
        <v>381</v>
      </c>
    </row>
    <row r="2481" spans="1:14" ht="157.5" customHeight="1" x14ac:dyDescent="0.2">
      <c r="A2481" s="3">
        <v>2479</v>
      </c>
      <c r="B2481" s="3">
        <v>184505</v>
      </c>
      <c r="C2481" s="4" t="str">
        <f>HYPERLINK("http://optservis.net:5080/photo?tov_code_internet=184505","Увеличить")</f>
        <v>Увеличить</v>
      </c>
      <c r="D2481" s="3" t="s">
        <v>4952</v>
      </c>
      <c r="E2481" s="3" t="s">
        <v>4953</v>
      </c>
      <c r="F2481" s="3" t="s">
        <v>280</v>
      </c>
      <c r="G2481" s="3" t="s">
        <v>373</v>
      </c>
      <c r="H2481" s="3">
        <v>0.5</v>
      </c>
      <c r="I2481" s="3">
        <v>0</v>
      </c>
      <c r="J2481" s="3" t="s">
        <v>18</v>
      </c>
      <c r="K2481" s="5">
        <v>0.15</v>
      </c>
      <c r="L2481" s="6">
        <v>4690654013141</v>
      </c>
      <c r="M2481" s="7" t="s">
        <v>4954</v>
      </c>
      <c r="N2481" s="8">
        <f>VLOOKUP(B2481,'[1]новый без картинок'!$A$5:$F$2672,6,0)</f>
        <v>267</v>
      </c>
    </row>
    <row r="2482" spans="1:14" ht="157.5" customHeight="1" x14ac:dyDescent="0.2">
      <c r="A2482" s="3">
        <v>2480</v>
      </c>
      <c r="B2482" s="3">
        <v>184541</v>
      </c>
      <c r="C2482" s="4" t="str">
        <f>HYPERLINK("http://optservis.net:5080/photo?tov_code_internet=184541","Увеличить")</f>
        <v>Увеличить</v>
      </c>
      <c r="D2482" s="3" t="s">
        <v>4955</v>
      </c>
      <c r="E2482" s="3" t="s">
        <v>4956</v>
      </c>
      <c r="F2482" s="3" t="s">
        <v>4957</v>
      </c>
      <c r="G2482" s="3" t="s">
        <v>4900</v>
      </c>
      <c r="H2482" s="3">
        <v>0.5</v>
      </c>
      <c r="I2482" s="3">
        <v>0</v>
      </c>
      <c r="J2482" s="3" t="s">
        <v>18</v>
      </c>
      <c r="K2482" s="5">
        <v>0.13</v>
      </c>
      <c r="L2482" s="6">
        <v>4690654013684</v>
      </c>
      <c r="M2482" s="7" t="s">
        <v>4958</v>
      </c>
      <c r="N2482" s="8">
        <f>VLOOKUP(B2482,'[1]новый без картинок'!$A$5:$F$2672,6,0)</f>
        <v>351</v>
      </c>
    </row>
    <row r="2483" spans="1:14" ht="157.5" customHeight="1" x14ac:dyDescent="0.2">
      <c r="A2483" s="3">
        <v>2481</v>
      </c>
      <c r="B2483" s="3">
        <v>184540</v>
      </c>
      <c r="C2483" s="4" t="str">
        <f>HYPERLINK("http://optservis.net:5080/photo?tov_code_internet=184540","Увеличить")</f>
        <v>Увеличить</v>
      </c>
      <c r="D2483" s="3" t="s">
        <v>4959</v>
      </c>
      <c r="E2483" s="3" t="s">
        <v>4960</v>
      </c>
      <c r="F2483" s="3" t="s">
        <v>4961</v>
      </c>
      <c r="G2483" s="3" t="s">
        <v>4900</v>
      </c>
      <c r="H2483" s="3">
        <v>0.5</v>
      </c>
      <c r="I2483" s="3">
        <v>0</v>
      </c>
      <c r="J2483" s="3" t="s">
        <v>18</v>
      </c>
      <c r="K2483" s="5">
        <v>0.14000000000000001</v>
      </c>
      <c r="L2483" s="6">
        <v>4690654012687</v>
      </c>
      <c r="M2483" s="7" t="s">
        <v>4958</v>
      </c>
      <c r="N2483" s="8">
        <f>VLOOKUP(B2483,'[1]новый без картинок'!$A$5:$F$2672,6,0)</f>
        <v>298</v>
      </c>
    </row>
    <row r="2484" spans="1:14" ht="153" customHeight="1" x14ac:dyDescent="0.2">
      <c r="A2484" s="3">
        <v>2482</v>
      </c>
      <c r="B2484" s="3">
        <v>195358</v>
      </c>
      <c r="C2484" s="4" t="str">
        <f>HYPERLINK("http://optservis.net:5080/photo?tov_code_internet=195358","Увеличить")</f>
        <v>Увеличить</v>
      </c>
      <c r="D2484" s="3" t="s">
        <v>4962</v>
      </c>
      <c r="E2484" s="3"/>
      <c r="F2484" s="3" t="s">
        <v>4963</v>
      </c>
      <c r="G2484" s="3" t="s">
        <v>4915</v>
      </c>
      <c r="H2484" s="3">
        <v>0.5</v>
      </c>
      <c r="I2484" s="3">
        <v>0</v>
      </c>
      <c r="J2484" s="3" t="s">
        <v>18</v>
      </c>
      <c r="K2484" s="5">
        <v>0.16</v>
      </c>
      <c r="L2484" s="6">
        <v>0</v>
      </c>
      <c r="M2484" s="7" t="s">
        <v>4964</v>
      </c>
      <c r="N2484" s="8">
        <f>VLOOKUP(B2484,'[1]новый без картинок'!$A$5:$F$2672,6,0)</f>
        <v>1356</v>
      </c>
    </row>
    <row r="2485" spans="1:14" ht="138.6" customHeight="1" x14ac:dyDescent="0.2">
      <c r="A2485" s="3">
        <v>2483</v>
      </c>
      <c r="B2485" s="3">
        <v>985078</v>
      </c>
      <c r="C2485" s="4" t="str">
        <f>HYPERLINK("http://optservis.net:5080/photo?tov_code_internet=985078","Увеличить")</f>
        <v>Увеличить</v>
      </c>
      <c r="D2485" s="3" t="s">
        <v>4965</v>
      </c>
      <c r="E2485" s="3" t="s">
        <v>4966</v>
      </c>
      <c r="F2485" s="3" t="s">
        <v>4763</v>
      </c>
      <c r="G2485" s="3" t="s">
        <v>175</v>
      </c>
      <c r="H2485" s="3">
        <v>0.5</v>
      </c>
      <c r="I2485" s="3">
        <v>0</v>
      </c>
      <c r="J2485" s="3" t="s">
        <v>18</v>
      </c>
      <c r="K2485" s="5">
        <v>0.23</v>
      </c>
      <c r="L2485" s="6">
        <v>4690654003708</v>
      </c>
      <c r="M2485" s="7" t="s">
        <v>4967</v>
      </c>
      <c r="N2485" s="8">
        <f>VLOOKUP(B2485,'[1]новый без картинок'!$A$5:$F$2672,6,0)</f>
        <v>523</v>
      </c>
    </row>
    <row r="2486" spans="1:14" ht="138.6" customHeight="1" x14ac:dyDescent="0.2">
      <c r="A2486" s="3">
        <v>2484</v>
      </c>
      <c r="B2486" s="3">
        <v>986900</v>
      </c>
      <c r="C2486" s="4" t="str">
        <f>HYPERLINK("http://optservis.net:5080/photo?tov_code_internet=986900","Увеличить")</f>
        <v>Увеличить</v>
      </c>
      <c r="D2486" s="3" t="s">
        <v>4965</v>
      </c>
      <c r="E2486" s="3" t="s">
        <v>4966</v>
      </c>
      <c r="F2486" s="3" t="s">
        <v>4575</v>
      </c>
      <c r="G2486" s="3" t="s">
        <v>175</v>
      </c>
      <c r="H2486" s="3">
        <v>0.5</v>
      </c>
      <c r="I2486" s="3">
        <v>0</v>
      </c>
      <c r="J2486" s="3" t="s">
        <v>18</v>
      </c>
      <c r="K2486" s="5">
        <v>0.23</v>
      </c>
      <c r="L2486" s="6">
        <v>4690654003722</v>
      </c>
      <c r="M2486" s="7" t="s">
        <v>4968</v>
      </c>
      <c r="N2486" s="8">
        <f>VLOOKUP(B2486,'[1]новый без картинок'!$A$5:$F$2672,6,0)</f>
        <v>523</v>
      </c>
    </row>
    <row r="2487" spans="1:14" ht="151.15" customHeight="1" x14ac:dyDescent="0.2">
      <c r="A2487" s="3">
        <v>2485</v>
      </c>
      <c r="B2487" s="3">
        <v>982919</v>
      </c>
      <c r="C2487" s="4" t="str">
        <f>HYPERLINK("http://optservis.net:5080/photo?tov_code_internet=982919","Увеличить")</f>
        <v>Увеличить</v>
      </c>
      <c r="D2487" s="3" t="s">
        <v>4969</v>
      </c>
      <c r="E2487" s="3" t="s">
        <v>4970</v>
      </c>
      <c r="F2487" s="3" t="s">
        <v>4511</v>
      </c>
      <c r="G2487" s="3" t="s">
        <v>502</v>
      </c>
      <c r="H2487" s="3">
        <v>0.5</v>
      </c>
      <c r="I2487" s="3">
        <v>0</v>
      </c>
      <c r="J2487" s="3" t="s">
        <v>18</v>
      </c>
      <c r="K2487" s="5">
        <v>0.22</v>
      </c>
      <c r="L2487" s="6">
        <v>4690654001704</v>
      </c>
      <c r="M2487" s="7" t="s">
        <v>4971</v>
      </c>
      <c r="N2487" s="8">
        <f>VLOOKUP(B2487,'[1]новый без картинок'!$A$5:$F$2672,6,0)</f>
        <v>625</v>
      </c>
    </row>
    <row r="2488" spans="1:14" ht="157.5" customHeight="1" x14ac:dyDescent="0.2">
      <c r="A2488" s="3">
        <v>2486</v>
      </c>
      <c r="B2488" s="3">
        <v>212656</v>
      </c>
      <c r="C2488" s="4" t="str">
        <f>HYPERLINK("http://optservis.net:5080/photo?tov_code_internet=212656","Увеличить")</f>
        <v>Увеличить</v>
      </c>
      <c r="D2488" s="3" t="s">
        <v>4972</v>
      </c>
      <c r="E2488" s="3"/>
      <c r="F2488" s="3" t="s">
        <v>4578</v>
      </c>
      <c r="G2488" s="3" t="s">
        <v>175</v>
      </c>
      <c r="H2488" s="3">
        <v>0.5</v>
      </c>
      <c r="I2488" s="3">
        <v>0</v>
      </c>
      <c r="J2488" s="3" t="s">
        <v>18</v>
      </c>
      <c r="K2488" s="5">
        <v>0.22</v>
      </c>
      <c r="L2488" s="6">
        <v>0</v>
      </c>
      <c r="M2488" s="7" t="s">
        <v>4973</v>
      </c>
      <c r="N2488" s="8">
        <f>VLOOKUP(B2488,'[1]новый без картинок'!$A$5:$F$2672,6,0)</f>
        <v>650</v>
      </c>
    </row>
    <row r="2489" spans="1:14" ht="157.5" customHeight="1" x14ac:dyDescent="0.2">
      <c r="A2489" s="3">
        <v>2487</v>
      </c>
      <c r="B2489" s="3">
        <v>203682</v>
      </c>
      <c r="C2489" s="4" t="str">
        <f>HYPERLINK("http://optservis.net:5080/photo?tov_code_internet=203682","Увеличить")</f>
        <v>Увеличить</v>
      </c>
      <c r="D2489" s="3" t="s">
        <v>4974</v>
      </c>
      <c r="E2489" s="3"/>
      <c r="F2489" s="3" t="s">
        <v>4581</v>
      </c>
      <c r="G2489" s="3" t="s">
        <v>502</v>
      </c>
      <c r="H2489" s="3">
        <v>0.5</v>
      </c>
      <c r="I2489" s="3">
        <v>0</v>
      </c>
      <c r="J2489" s="3" t="s">
        <v>18</v>
      </c>
      <c r="K2489" s="5">
        <v>0.22</v>
      </c>
      <c r="L2489" s="6">
        <v>0</v>
      </c>
      <c r="M2489" s="7" t="s">
        <v>4975</v>
      </c>
      <c r="N2489" s="8">
        <f>VLOOKUP(B2489,'[1]новый без картинок'!$A$5:$F$2672,6,0)</f>
        <v>644</v>
      </c>
    </row>
    <row r="2490" spans="1:14" ht="157.5" customHeight="1" x14ac:dyDescent="0.2">
      <c r="A2490" s="3">
        <v>2488</v>
      </c>
      <c r="B2490" s="3">
        <v>208911</v>
      </c>
      <c r="C2490" s="4" t="str">
        <f>HYPERLINK("http://optservis.net:5080/photo?tov_code_internet=208911","Увеличить")</f>
        <v>Увеличить</v>
      </c>
      <c r="D2490" s="3" t="s">
        <v>4974</v>
      </c>
      <c r="E2490" s="3"/>
      <c r="F2490" s="3" t="s">
        <v>4583</v>
      </c>
      <c r="G2490" s="3" t="s">
        <v>502</v>
      </c>
      <c r="H2490" s="3">
        <v>0.5</v>
      </c>
      <c r="I2490" s="3">
        <v>0</v>
      </c>
      <c r="J2490" s="3" t="s">
        <v>18</v>
      </c>
      <c r="K2490" s="5">
        <v>0.23</v>
      </c>
      <c r="L2490" s="6">
        <v>0</v>
      </c>
      <c r="M2490" s="7" t="s">
        <v>4976</v>
      </c>
      <c r="N2490" s="8">
        <f>VLOOKUP(B2490,'[1]новый без картинок'!$A$5:$F$2672,6,0)</f>
        <v>658</v>
      </c>
    </row>
    <row r="2491" spans="1:14" ht="157.5" customHeight="1" x14ac:dyDescent="0.2">
      <c r="A2491" s="3">
        <v>2489</v>
      </c>
      <c r="B2491" s="3">
        <v>200612</v>
      </c>
      <c r="C2491" s="4" t="str">
        <f>HYPERLINK("http://optservis.net:5080/photo?tov_code_internet=200612","Увеличить")</f>
        <v>Увеличить</v>
      </c>
      <c r="D2491" s="3" t="s">
        <v>4974</v>
      </c>
      <c r="E2491" s="3" t="s">
        <v>4977</v>
      </c>
      <c r="F2491" s="3" t="s">
        <v>4731</v>
      </c>
      <c r="G2491" s="3" t="s">
        <v>502</v>
      </c>
      <c r="H2491" s="3">
        <v>0.5</v>
      </c>
      <c r="I2491" s="3">
        <v>0</v>
      </c>
      <c r="J2491" s="3" t="s">
        <v>18</v>
      </c>
      <c r="K2491" s="5">
        <v>0.23</v>
      </c>
      <c r="L2491" s="6">
        <v>4690654015831</v>
      </c>
      <c r="M2491" s="7" t="s">
        <v>4833</v>
      </c>
      <c r="N2491" s="8">
        <f>VLOOKUP(B2491,'[1]новый без картинок'!$A$5:$F$2672,6,0)</f>
        <v>654</v>
      </c>
    </row>
    <row r="2492" spans="1:14" ht="157.5" customHeight="1" x14ac:dyDescent="0.2">
      <c r="A2492" s="3">
        <v>2490</v>
      </c>
      <c r="B2492" s="3">
        <v>196199</v>
      </c>
      <c r="C2492" s="4" t="str">
        <f>HYPERLINK("http://optservis.net:5080/photo?tov_code_internet=196199","Увеличить")</f>
        <v>Увеличить</v>
      </c>
      <c r="D2492" s="3" t="s">
        <v>4978</v>
      </c>
      <c r="E2492" s="3"/>
      <c r="F2492" s="3" t="s">
        <v>4734</v>
      </c>
      <c r="G2492" s="3" t="s">
        <v>4594</v>
      </c>
      <c r="H2492" s="3">
        <v>0.5</v>
      </c>
      <c r="I2492" s="3">
        <v>0</v>
      </c>
      <c r="J2492" s="3" t="s">
        <v>18</v>
      </c>
      <c r="K2492" s="5">
        <v>0.26</v>
      </c>
      <c r="L2492" s="6">
        <v>0</v>
      </c>
      <c r="M2492" s="7" t="s">
        <v>4979</v>
      </c>
      <c r="N2492" s="8">
        <f>VLOOKUP(B2492,'[1]новый без картинок'!$A$5:$F$2672,6,0)</f>
        <v>1271</v>
      </c>
    </row>
    <row r="2493" spans="1:14" ht="157.5" customHeight="1" x14ac:dyDescent="0.2">
      <c r="A2493" s="3">
        <v>2491</v>
      </c>
      <c r="B2493" s="3">
        <v>196209</v>
      </c>
      <c r="C2493" s="4" t="str">
        <f>HYPERLINK("http://optservis.net:5080/photo?tov_code_internet=196209","Увеличить")</f>
        <v>Увеличить</v>
      </c>
      <c r="D2493" s="3" t="s">
        <v>4980</v>
      </c>
      <c r="E2493" s="3"/>
      <c r="F2493" s="3" t="s">
        <v>4886</v>
      </c>
      <c r="G2493" s="3" t="s">
        <v>4594</v>
      </c>
      <c r="H2493" s="3">
        <v>0.5</v>
      </c>
      <c r="I2493" s="3">
        <v>0</v>
      </c>
      <c r="J2493" s="3" t="s">
        <v>18</v>
      </c>
      <c r="K2493" s="5">
        <v>0.26</v>
      </c>
      <c r="L2493" s="6">
        <v>0</v>
      </c>
      <c r="M2493" s="7" t="s">
        <v>4981</v>
      </c>
      <c r="N2493" s="8">
        <f>VLOOKUP(B2493,'[1]новый без картинок'!$A$5:$F$2672,6,0)</f>
        <v>1581</v>
      </c>
    </row>
    <row r="2494" spans="1:14" ht="157.5" customHeight="1" x14ac:dyDescent="0.2">
      <c r="A2494" s="3">
        <v>2492</v>
      </c>
      <c r="B2494" s="3">
        <v>193842</v>
      </c>
      <c r="C2494" s="4" t="str">
        <f>HYPERLINK("http://optservis.net:5080/photo?tov_code_internet=193842","Увеличить")</f>
        <v>Увеличить</v>
      </c>
      <c r="D2494" s="3" t="s">
        <v>4982</v>
      </c>
      <c r="E2494" s="3"/>
      <c r="F2494" s="3" t="s">
        <v>554</v>
      </c>
      <c r="G2494" s="3" t="s">
        <v>502</v>
      </c>
      <c r="H2494" s="3">
        <v>0.5</v>
      </c>
      <c r="I2494" s="3">
        <v>0</v>
      </c>
      <c r="J2494" s="3" t="s">
        <v>18</v>
      </c>
      <c r="K2494" s="5">
        <v>0.02</v>
      </c>
      <c r="L2494" s="6">
        <v>0</v>
      </c>
      <c r="M2494" s="7" t="s">
        <v>4983</v>
      </c>
      <c r="N2494" s="8">
        <f>VLOOKUP(B2494,'[1]новый без картинок'!$A$5:$F$2672,6,0)</f>
        <v>298</v>
      </c>
    </row>
    <row r="2495" spans="1:14" ht="157.5" customHeight="1" x14ac:dyDescent="0.2">
      <c r="A2495" s="3">
        <v>2493</v>
      </c>
      <c r="B2495" s="3">
        <v>193843</v>
      </c>
      <c r="C2495" s="4" t="str">
        <f>HYPERLINK("http://optservis.net:5080/photo?tov_code_internet=193843","Увеличить")</f>
        <v>Увеличить</v>
      </c>
      <c r="D2495" s="3" t="s">
        <v>4984</v>
      </c>
      <c r="E2495" s="3"/>
      <c r="F2495" s="3" t="s">
        <v>4985</v>
      </c>
      <c r="G2495" s="3" t="s">
        <v>665</v>
      </c>
      <c r="H2495" s="3">
        <v>0.5</v>
      </c>
      <c r="I2495" s="3">
        <v>0</v>
      </c>
      <c r="J2495" s="3" t="s">
        <v>18</v>
      </c>
      <c r="K2495" s="5">
        <v>0.04</v>
      </c>
      <c r="L2495" s="6">
        <v>0</v>
      </c>
      <c r="M2495" s="7" t="s">
        <v>4986</v>
      </c>
      <c r="N2495" s="8">
        <f>VLOOKUP(B2495,'[1]новый без картинок'!$A$5:$F$2672,6,0)</f>
        <v>598</v>
      </c>
    </row>
    <row r="2496" spans="1:14" ht="157.5" customHeight="1" x14ac:dyDescent="0.2">
      <c r="A2496" s="3">
        <v>2494</v>
      </c>
      <c r="B2496" s="3">
        <v>193834</v>
      </c>
      <c r="C2496" s="4" t="str">
        <f>HYPERLINK("http://optservis.net:5080/photo?tov_code_internet=193834","Увеличить")</f>
        <v>Увеличить</v>
      </c>
      <c r="D2496" s="3" t="s">
        <v>4987</v>
      </c>
      <c r="E2496" s="3" t="s">
        <v>4988</v>
      </c>
      <c r="F2496" s="3" t="s">
        <v>4989</v>
      </c>
      <c r="G2496" s="3" t="s">
        <v>665</v>
      </c>
      <c r="H2496" s="3">
        <v>0.5</v>
      </c>
      <c r="I2496" s="3">
        <v>0</v>
      </c>
      <c r="J2496" s="3" t="s">
        <v>18</v>
      </c>
      <c r="K2496" s="5">
        <v>0.04</v>
      </c>
      <c r="L2496" s="6">
        <v>4690654021078</v>
      </c>
      <c r="M2496" s="7" t="s">
        <v>4990</v>
      </c>
      <c r="N2496" s="8">
        <f>VLOOKUP(B2496,'[1]новый без картинок'!$A$5:$F$2672,6,0)</f>
        <v>784</v>
      </c>
    </row>
    <row r="2497" spans="1:14" ht="157.5" customHeight="1" x14ac:dyDescent="0.2">
      <c r="A2497" s="3">
        <v>2495</v>
      </c>
      <c r="B2497" s="3">
        <v>193833</v>
      </c>
      <c r="C2497" s="4" t="str">
        <f>HYPERLINK("http://optservis.net:5080/photo?tov_code_internet=193833","Увеличить")</f>
        <v>Увеличить</v>
      </c>
      <c r="D2497" s="3" t="s">
        <v>4991</v>
      </c>
      <c r="E2497" s="3" t="s">
        <v>4992</v>
      </c>
      <c r="F2497" s="3" t="s">
        <v>4502</v>
      </c>
      <c r="G2497" s="3" t="s">
        <v>175</v>
      </c>
      <c r="H2497" s="3">
        <v>0.5</v>
      </c>
      <c r="I2497" s="3">
        <v>0</v>
      </c>
      <c r="J2497" s="3" t="s">
        <v>18</v>
      </c>
      <c r="K2497" s="5">
        <v>0.02</v>
      </c>
      <c r="L2497" s="6">
        <v>4690654016333</v>
      </c>
      <c r="M2497" s="7" t="s">
        <v>4993</v>
      </c>
      <c r="N2497" s="8">
        <f>VLOOKUP(B2497,'[1]новый без картинок'!$A$5:$F$2672,6,0)</f>
        <v>311</v>
      </c>
    </row>
    <row r="2498" spans="1:14" ht="157.5" customHeight="1" x14ac:dyDescent="0.2">
      <c r="A2498" s="3">
        <v>2496</v>
      </c>
      <c r="B2498" s="3">
        <v>193835</v>
      </c>
      <c r="C2498" s="4" t="str">
        <f>HYPERLINK("http://optservis.net:5080/photo?tov_code_internet=193835","Увеличить")</f>
        <v>Увеличить</v>
      </c>
      <c r="D2498" s="3" t="s">
        <v>4994</v>
      </c>
      <c r="E2498" s="3"/>
      <c r="F2498" s="3" t="s">
        <v>4808</v>
      </c>
      <c r="G2498" s="3" t="s">
        <v>502</v>
      </c>
      <c r="H2498" s="3">
        <v>0.5</v>
      </c>
      <c r="I2498" s="3">
        <v>0</v>
      </c>
      <c r="J2498" s="3" t="s">
        <v>18</v>
      </c>
      <c r="K2498" s="5">
        <v>0.03</v>
      </c>
      <c r="L2498" s="6">
        <v>0</v>
      </c>
      <c r="M2498" s="7" t="s">
        <v>4983</v>
      </c>
      <c r="N2498" s="8">
        <f>VLOOKUP(B2498,'[1]новый без картинок'!$A$5:$F$2672,6,0)</f>
        <v>403</v>
      </c>
    </row>
    <row r="2499" spans="1:14" ht="157.5" customHeight="1" x14ac:dyDescent="0.2">
      <c r="A2499" s="3">
        <v>2497</v>
      </c>
      <c r="B2499" s="3">
        <v>193830</v>
      </c>
      <c r="C2499" s="4" t="str">
        <f>HYPERLINK("http://optservis.net:5080/photo?tov_code_internet=193830","Увеличить")</f>
        <v>Увеличить</v>
      </c>
      <c r="D2499" s="3" t="s">
        <v>4995</v>
      </c>
      <c r="E2499" s="3"/>
      <c r="F2499" s="3" t="s">
        <v>340</v>
      </c>
      <c r="G2499" s="3" t="s">
        <v>175</v>
      </c>
      <c r="H2499" s="3">
        <v>0.5</v>
      </c>
      <c r="I2499" s="3">
        <v>0</v>
      </c>
      <c r="J2499" s="3" t="s">
        <v>18</v>
      </c>
      <c r="K2499" s="5">
        <v>0.02</v>
      </c>
      <c r="L2499" s="6">
        <v>0</v>
      </c>
      <c r="M2499" s="7" t="s">
        <v>4996</v>
      </c>
      <c r="N2499" s="8">
        <f>VLOOKUP(B2499,'[1]новый без картинок'!$A$5:$F$2672,6,0)</f>
        <v>316</v>
      </c>
    </row>
    <row r="2500" spans="1:14" ht="157.5" customHeight="1" x14ac:dyDescent="0.2">
      <c r="A2500" s="3">
        <v>2498</v>
      </c>
      <c r="B2500" s="3">
        <v>193832</v>
      </c>
      <c r="C2500" s="4" t="str">
        <f>HYPERLINK("http://optservis.net:5080/photo?tov_code_internet=193832","Увеличить")</f>
        <v>Увеличить</v>
      </c>
      <c r="D2500" s="3" t="s">
        <v>4995</v>
      </c>
      <c r="E2500" s="3"/>
      <c r="F2500" s="3" t="s">
        <v>4502</v>
      </c>
      <c r="G2500" s="3" t="s">
        <v>175</v>
      </c>
      <c r="H2500" s="3">
        <v>0.5</v>
      </c>
      <c r="I2500" s="3">
        <v>0</v>
      </c>
      <c r="J2500" s="3" t="s">
        <v>18</v>
      </c>
      <c r="K2500" s="5">
        <v>0.03</v>
      </c>
      <c r="L2500" s="6">
        <v>0</v>
      </c>
      <c r="M2500" s="7" t="s">
        <v>4993</v>
      </c>
      <c r="N2500" s="8">
        <f>VLOOKUP(B2500,'[1]новый без картинок'!$A$5:$F$2672,6,0)</f>
        <v>342</v>
      </c>
    </row>
    <row r="2501" spans="1:14" ht="157.5" customHeight="1" x14ac:dyDescent="0.2">
      <c r="A2501" s="3">
        <v>2499</v>
      </c>
      <c r="B2501" s="3">
        <v>193841</v>
      </c>
      <c r="C2501" s="4" t="str">
        <f>HYPERLINK("http://optservis.net:5080/photo?tov_code_internet=193841","Увеличить")</f>
        <v>Увеличить</v>
      </c>
      <c r="D2501" s="3" t="s">
        <v>4997</v>
      </c>
      <c r="E2501" s="3"/>
      <c r="F2501" s="3" t="s">
        <v>4808</v>
      </c>
      <c r="G2501" s="3" t="s">
        <v>502</v>
      </c>
      <c r="H2501" s="3">
        <v>0.5</v>
      </c>
      <c r="I2501" s="3">
        <v>0</v>
      </c>
      <c r="J2501" s="3" t="s">
        <v>18</v>
      </c>
      <c r="K2501" s="5">
        <v>0.03</v>
      </c>
      <c r="L2501" s="6">
        <v>0</v>
      </c>
      <c r="M2501" s="7" t="s">
        <v>4983</v>
      </c>
      <c r="N2501" s="8">
        <f>VLOOKUP(B2501,'[1]новый без картинок'!$A$5:$F$2672,6,0)</f>
        <v>402</v>
      </c>
    </row>
    <row r="2502" spans="1:14" ht="157.5" customHeight="1" x14ac:dyDescent="0.2">
      <c r="A2502" s="3">
        <v>2500</v>
      </c>
      <c r="B2502" s="3">
        <v>193838</v>
      </c>
      <c r="C2502" s="4" t="str">
        <f>HYPERLINK("http://optservis.net:5080/photo?tov_code_internet=193838","Увеличить")</f>
        <v>Увеличить</v>
      </c>
      <c r="D2502" s="3" t="s">
        <v>4997</v>
      </c>
      <c r="E2502" s="3" t="s">
        <v>4998</v>
      </c>
      <c r="F2502" s="3" t="s">
        <v>4999</v>
      </c>
      <c r="G2502" s="3" t="s">
        <v>502</v>
      </c>
      <c r="H2502" s="3">
        <v>0.5</v>
      </c>
      <c r="I2502" s="3">
        <v>0</v>
      </c>
      <c r="J2502" s="3" t="s">
        <v>18</v>
      </c>
      <c r="K2502" s="5">
        <v>0.02</v>
      </c>
      <c r="L2502" s="6">
        <v>4690654016180</v>
      </c>
      <c r="M2502" s="7" t="s">
        <v>4983</v>
      </c>
      <c r="N2502" s="8">
        <f>VLOOKUP(B2502,'[1]новый без картинок'!$A$5:$F$2672,6,0)</f>
        <v>391</v>
      </c>
    </row>
    <row r="2503" spans="1:14" ht="157.5" customHeight="1" x14ac:dyDescent="0.2">
      <c r="A2503" s="3">
        <v>2501</v>
      </c>
      <c r="B2503" s="3">
        <v>193839</v>
      </c>
      <c r="C2503" s="4" t="str">
        <f>HYPERLINK("http://optservis.net:5080/photo?tov_code_internet=193839","Увеличить")</f>
        <v>Увеличить</v>
      </c>
      <c r="D2503" s="3" t="s">
        <v>4997</v>
      </c>
      <c r="E2503" s="3" t="s">
        <v>4998</v>
      </c>
      <c r="F2503" s="3" t="s">
        <v>5000</v>
      </c>
      <c r="G2503" s="3" t="s">
        <v>502</v>
      </c>
      <c r="H2503" s="3">
        <v>0.5</v>
      </c>
      <c r="I2503" s="3">
        <v>0</v>
      </c>
      <c r="J2503" s="3" t="s">
        <v>18</v>
      </c>
      <c r="K2503" s="5">
        <v>0.02</v>
      </c>
      <c r="L2503" s="6">
        <v>4690654016111</v>
      </c>
      <c r="M2503" s="7" t="s">
        <v>4983</v>
      </c>
      <c r="N2503" s="8">
        <f>VLOOKUP(B2503,'[1]новый без картинок'!$A$5:$F$2672,6,0)</f>
        <v>410</v>
      </c>
    </row>
    <row r="2504" spans="1:14" ht="157.5" customHeight="1" x14ac:dyDescent="0.2">
      <c r="A2504" s="3">
        <v>2502</v>
      </c>
      <c r="B2504" s="3">
        <v>193840</v>
      </c>
      <c r="C2504" s="4" t="str">
        <f>HYPERLINK("http://optservis.net:5080/photo?tov_code_internet=193840","Увеличить")</f>
        <v>Увеличить</v>
      </c>
      <c r="D2504" s="3" t="s">
        <v>4997</v>
      </c>
      <c r="E2504" s="3" t="s">
        <v>4998</v>
      </c>
      <c r="F2504" s="3" t="s">
        <v>4651</v>
      </c>
      <c r="G2504" s="3" t="s">
        <v>502</v>
      </c>
      <c r="H2504" s="3">
        <v>0.5</v>
      </c>
      <c r="I2504" s="3">
        <v>0</v>
      </c>
      <c r="J2504" s="3" t="s">
        <v>18</v>
      </c>
      <c r="K2504" s="5">
        <v>0.02</v>
      </c>
      <c r="L2504" s="6">
        <v>4690654017217</v>
      </c>
      <c r="M2504" s="7" t="s">
        <v>4983</v>
      </c>
      <c r="N2504" s="8">
        <f>VLOOKUP(B2504,'[1]новый без картинок'!$A$5:$F$2672,6,0)</f>
        <v>390</v>
      </c>
    </row>
    <row r="2505" spans="1:14" ht="157.5" customHeight="1" x14ac:dyDescent="0.2">
      <c r="A2505" s="3">
        <v>2503</v>
      </c>
      <c r="B2505" s="3">
        <v>196221</v>
      </c>
      <c r="C2505" s="4" t="str">
        <f>HYPERLINK("http://optservis.net:5080/photo?tov_code_internet=196221","Увеличить")</f>
        <v>Увеличить</v>
      </c>
      <c r="D2505" s="3" t="s">
        <v>5001</v>
      </c>
      <c r="E2505" s="3"/>
      <c r="F2505" s="3" t="s">
        <v>4600</v>
      </c>
      <c r="G2505" s="3" t="s">
        <v>4594</v>
      </c>
      <c r="H2505" s="3">
        <v>0.5</v>
      </c>
      <c r="I2505" s="3">
        <v>0</v>
      </c>
      <c r="J2505" s="3" t="s">
        <v>18</v>
      </c>
      <c r="K2505" s="5">
        <v>0.06</v>
      </c>
      <c r="L2505" s="6">
        <v>0</v>
      </c>
      <c r="M2505" s="7" t="s">
        <v>5002</v>
      </c>
      <c r="N2505" s="8">
        <f>VLOOKUP(B2505,'[1]новый без картинок'!$A$5:$F$2672,6,0)</f>
        <v>952</v>
      </c>
    </row>
    <row r="2506" spans="1:14" ht="157.5" customHeight="1" x14ac:dyDescent="0.2">
      <c r="A2506" s="3">
        <v>2504</v>
      </c>
      <c r="B2506" s="3">
        <v>193829</v>
      </c>
      <c r="C2506" s="4" t="str">
        <f>HYPERLINK("http://optservis.net:5080/photo?tov_code_internet=193829","Увеличить")</f>
        <v>Увеличить</v>
      </c>
      <c r="D2506" s="3" t="s">
        <v>5003</v>
      </c>
      <c r="E2506" s="3"/>
      <c r="F2506" s="3" t="s">
        <v>5004</v>
      </c>
      <c r="G2506" s="3" t="s">
        <v>110</v>
      </c>
      <c r="H2506" s="3">
        <v>0.5</v>
      </c>
      <c r="I2506" s="3">
        <v>0</v>
      </c>
      <c r="J2506" s="3" t="s">
        <v>18</v>
      </c>
      <c r="K2506" s="5">
        <v>0.03</v>
      </c>
      <c r="L2506" s="6">
        <v>0</v>
      </c>
      <c r="M2506" s="7" t="s">
        <v>5005</v>
      </c>
      <c r="N2506" s="8">
        <f>VLOOKUP(B2506,'[1]новый без картинок'!$A$5:$F$2672,6,0)</f>
        <v>372</v>
      </c>
    </row>
    <row r="2507" spans="1:14" ht="157.5" customHeight="1" x14ac:dyDescent="0.2">
      <c r="A2507" s="3">
        <v>2505</v>
      </c>
      <c r="B2507" s="3">
        <v>986902</v>
      </c>
      <c r="C2507" s="4" t="str">
        <f>HYPERLINK("http://optservis.net:5080/photo?tov_code_internet=986902","Увеличить")</f>
        <v>Увеличить</v>
      </c>
      <c r="D2507" s="3" t="s">
        <v>5006</v>
      </c>
      <c r="E2507" s="3" t="s">
        <v>5007</v>
      </c>
      <c r="F2507" s="3" t="s">
        <v>4575</v>
      </c>
      <c r="G2507" s="3" t="s">
        <v>175</v>
      </c>
      <c r="H2507" s="3">
        <v>0.5</v>
      </c>
      <c r="I2507" s="3">
        <v>0</v>
      </c>
      <c r="J2507" s="3" t="s">
        <v>18</v>
      </c>
      <c r="K2507" s="5">
        <v>0.2</v>
      </c>
      <c r="L2507" s="6">
        <v>4690654005986</v>
      </c>
      <c r="M2507" s="7" t="s">
        <v>5008</v>
      </c>
      <c r="N2507" s="8">
        <f>VLOOKUP(B2507,'[1]новый без картинок'!$A$5:$F$2672,6,0)</f>
        <v>350</v>
      </c>
    </row>
    <row r="2508" spans="1:14" ht="151.15" customHeight="1" x14ac:dyDescent="0.2">
      <c r="A2508" s="3">
        <v>2506</v>
      </c>
      <c r="B2508" s="3">
        <v>145497</v>
      </c>
      <c r="C2508" s="4" t="str">
        <f>HYPERLINK("http://optservis.net:5080/photo?tov_code_internet=145497","Увеличить")</f>
        <v>Увеличить</v>
      </c>
      <c r="D2508" s="3" t="s">
        <v>5009</v>
      </c>
      <c r="E2508" s="3" t="s">
        <v>5010</v>
      </c>
      <c r="F2508" s="3" t="s">
        <v>5011</v>
      </c>
      <c r="G2508" s="3" t="s">
        <v>502</v>
      </c>
      <c r="H2508" s="3">
        <v>0.5</v>
      </c>
      <c r="I2508" s="3">
        <v>0</v>
      </c>
      <c r="J2508" s="3" t="s">
        <v>18</v>
      </c>
      <c r="K2508" s="5">
        <v>0.2</v>
      </c>
      <c r="L2508" s="6">
        <v>4690654006907</v>
      </c>
      <c r="M2508" s="7" t="s">
        <v>5012</v>
      </c>
      <c r="N2508" s="8">
        <f>VLOOKUP(B2508,'[1]новый без картинок'!$A$5:$F$2672,6,0)</f>
        <v>488</v>
      </c>
    </row>
    <row r="2509" spans="1:14" ht="157.5" customHeight="1" x14ac:dyDescent="0.2">
      <c r="A2509" s="3">
        <v>2507</v>
      </c>
      <c r="B2509" s="3">
        <v>200968</v>
      </c>
      <c r="C2509" s="4" t="str">
        <f>HYPERLINK("http://optservis.net:5080/photo?tov_code_internet=200968","Увеличить")</f>
        <v>Увеличить</v>
      </c>
      <c r="D2509" s="3" t="s">
        <v>5013</v>
      </c>
      <c r="E2509" s="3"/>
      <c r="F2509" s="3" t="s">
        <v>4731</v>
      </c>
      <c r="G2509" s="3" t="s">
        <v>502</v>
      </c>
      <c r="H2509" s="3">
        <v>0.5</v>
      </c>
      <c r="I2509" s="3">
        <v>0</v>
      </c>
      <c r="J2509" s="3" t="s">
        <v>18</v>
      </c>
      <c r="K2509" s="5">
        <v>0.2</v>
      </c>
      <c r="L2509" s="6">
        <v>0</v>
      </c>
      <c r="M2509" s="7" t="s">
        <v>5014</v>
      </c>
      <c r="N2509" s="8">
        <f>VLOOKUP(B2509,'[1]новый без картинок'!$A$5:$F$2672,6,0)</f>
        <v>481</v>
      </c>
    </row>
    <row r="2510" spans="1:14" ht="157.5" customHeight="1" x14ac:dyDescent="0.2">
      <c r="A2510" s="3">
        <v>2508</v>
      </c>
      <c r="B2510" s="3">
        <v>203683</v>
      </c>
      <c r="C2510" s="4" t="str">
        <f>HYPERLINK("http://optservis.net:5080/photo?tov_code_internet=203683","Увеличить")</f>
        <v>Увеличить</v>
      </c>
      <c r="D2510" s="3" t="s">
        <v>5013</v>
      </c>
      <c r="E2510" s="3" t="s">
        <v>5015</v>
      </c>
      <c r="F2510" s="3" t="s">
        <v>4581</v>
      </c>
      <c r="G2510" s="3" t="s">
        <v>502</v>
      </c>
      <c r="H2510" s="3">
        <v>0.5</v>
      </c>
      <c r="I2510" s="3">
        <v>0</v>
      </c>
      <c r="J2510" s="3" t="s">
        <v>18</v>
      </c>
      <c r="K2510" s="5">
        <v>0.2</v>
      </c>
      <c r="L2510" s="6">
        <v>4690654017132</v>
      </c>
      <c r="M2510" s="7" t="s">
        <v>5016</v>
      </c>
      <c r="N2510" s="8">
        <f>VLOOKUP(B2510,'[1]новый без картинок'!$A$5:$F$2672,6,0)</f>
        <v>471</v>
      </c>
    </row>
    <row r="2511" spans="1:14" ht="157.5" customHeight="1" x14ac:dyDescent="0.2">
      <c r="A2511" s="3">
        <v>2509</v>
      </c>
      <c r="B2511" s="3">
        <v>208910</v>
      </c>
      <c r="C2511" s="4" t="str">
        <f>HYPERLINK("http://optservis.net:5080/photo?tov_code_internet=208910","Увеличить")</f>
        <v>Увеличить</v>
      </c>
      <c r="D2511" s="3" t="s">
        <v>5013</v>
      </c>
      <c r="E2511" s="3" t="s">
        <v>5017</v>
      </c>
      <c r="F2511" s="3" t="s">
        <v>4583</v>
      </c>
      <c r="G2511" s="3" t="s">
        <v>502</v>
      </c>
      <c r="H2511" s="3">
        <v>0.5</v>
      </c>
      <c r="I2511" s="3">
        <v>0</v>
      </c>
      <c r="J2511" s="3" t="s">
        <v>18</v>
      </c>
      <c r="K2511" s="5">
        <v>0.2</v>
      </c>
      <c r="L2511" s="6">
        <v>4690654020415</v>
      </c>
      <c r="M2511" s="7" t="s">
        <v>5018</v>
      </c>
      <c r="N2511" s="8">
        <f>VLOOKUP(B2511,'[1]новый без картинок'!$A$5:$F$2672,6,0)</f>
        <v>484</v>
      </c>
    </row>
    <row r="2512" spans="1:14" ht="157.5" customHeight="1" x14ac:dyDescent="0.2">
      <c r="A2512" s="3">
        <v>2510</v>
      </c>
      <c r="B2512" s="3">
        <v>196198</v>
      </c>
      <c r="C2512" s="4" t="str">
        <f>HYPERLINK("http://optservis.net:5080/photo?tov_code_internet=196198","Увеличить")</f>
        <v>Увеличить</v>
      </c>
      <c r="D2512" s="3" t="s">
        <v>5019</v>
      </c>
      <c r="E2512" s="3"/>
      <c r="F2512" s="3" t="s">
        <v>4734</v>
      </c>
      <c r="G2512" s="3" t="s">
        <v>4594</v>
      </c>
      <c r="H2512" s="3">
        <v>0.5</v>
      </c>
      <c r="I2512" s="3">
        <v>0</v>
      </c>
      <c r="J2512" s="3" t="s">
        <v>18</v>
      </c>
      <c r="K2512" s="5">
        <v>0.22</v>
      </c>
      <c r="L2512" s="6">
        <v>0</v>
      </c>
      <c r="M2512" s="7" t="s">
        <v>5020</v>
      </c>
      <c r="N2512" s="8">
        <f>VLOOKUP(B2512,'[1]новый без картинок'!$A$5:$F$2672,6,0)</f>
        <v>1099</v>
      </c>
    </row>
    <row r="2513" spans="1:14" ht="157.5" customHeight="1" x14ac:dyDescent="0.2">
      <c r="A2513" s="3">
        <v>2511</v>
      </c>
      <c r="B2513" s="3">
        <v>196208</v>
      </c>
      <c r="C2513" s="4" t="str">
        <f>HYPERLINK("http://optservis.net:5080/photo?tov_code_internet=196208","Увеличить")</f>
        <v>Увеличить</v>
      </c>
      <c r="D2513" s="3" t="s">
        <v>5021</v>
      </c>
      <c r="E2513" s="3" t="s">
        <v>5022</v>
      </c>
      <c r="F2513" s="3" t="s">
        <v>4886</v>
      </c>
      <c r="G2513" s="3" t="s">
        <v>4594</v>
      </c>
      <c r="H2513" s="3">
        <v>0.5</v>
      </c>
      <c r="I2513" s="3">
        <v>0</v>
      </c>
      <c r="J2513" s="3" t="s">
        <v>18</v>
      </c>
      <c r="K2513" s="5">
        <v>0.22</v>
      </c>
      <c r="L2513" s="6">
        <v>4690654020453</v>
      </c>
      <c r="M2513" s="7" t="s">
        <v>5023</v>
      </c>
      <c r="N2513" s="8">
        <f>VLOOKUP(B2513,'[1]новый без картинок'!$A$5:$F$2672,6,0)</f>
        <v>1408</v>
      </c>
    </row>
    <row r="2514" spans="1:14" ht="151.15" customHeight="1" x14ac:dyDescent="0.2">
      <c r="A2514" s="3">
        <v>2512</v>
      </c>
      <c r="B2514" s="3">
        <v>148570</v>
      </c>
      <c r="C2514" s="4" t="str">
        <f>HYPERLINK("http://optservis.net:5080/photo?tov_code_internet=148570","Увеличить")</f>
        <v>Увеличить</v>
      </c>
      <c r="D2514" s="3" t="s">
        <v>5024</v>
      </c>
      <c r="E2514" s="3"/>
      <c r="F2514" s="3" t="s">
        <v>5025</v>
      </c>
      <c r="G2514" s="3" t="s">
        <v>668</v>
      </c>
      <c r="H2514" s="3">
        <v>0.5</v>
      </c>
      <c r="I2514" s="3">
        <v>0</v>
      </c>
      <c r="J2514" s="3" t="s">
        <v>18</v>
      </c>
      <c r="K2514" s="5">
        <v>0.2</v>
      </c>
      <c r="L2514" s="6">
        <v>0</v>
      </c>
      <c r="M2514" s="7" t="s">
        <v>5026</v>
      </c>
      <c r="N2514" s="8">
        <f>VLOOKUP(B2514,'[1]новый без картинок'!$A$5:$F$2672,6,0)</f>
        <v>790</v>
      </c>
    </row>
    <row r="2515" spans="1:14" ht="138.6" customHeight="1" x14ac:dyDescent="0.2">
      <c r="A2515" s="3">
        <v>2513</v>
      </c>
      <c r="B2515" s="3">
        <v>986546</v>
      </c>
      <c r="C2515" s="4" t="str">
        <f>HYPERLINK("http://optservis.net:5080/photo?tov_code_internet=986546","Увеличить")</f>
        <v>Увеличить</v>
      </c>
      <c r="D2515" s="3" t="s">
        <v>5027</v>
      </c>
      <c r="E2515" s="3" t="s">
        <v>5028</v>
      </c>
      <c r="F2515" s="3" t="s">
        <v>5029</v>
      </c>
      <c r="G2515" s="3" t="s">
        <v>175</v>
      </c>
      <c r="H2515" s="3">
        <v>0.5</v>
      </c>
      <c r="I2515" s="3">
        <v>0</v>
      </c>
      <c r="J2515" s="3" t="s">
        <v>18</v>
      </c>
      <c r="K2515" s="5">
        <v>0.1</v>
      </c>
      <c r="L2515" s="6">
        <v>4690654003739</v>
      </c>
      <c r="M2515" s="7" t="s">
        <v>5030</v>
      </c>
      <c r="N2515" s="8">
        <f>VLOOKUP(B2515,'[1]новый без картинок'!$A$5:$F$2672,6,0)</f>
        <v>1134</v>
      </c>
    </row>
    <row r="2516" spans="1:14" ht="157.5" customHeight="1" x14ac:dyDescent="0.2">
      <c r="A2516" s="3">
        <v>2514</v>
      </c>
      <c r="B2516" s="3">
        <v>203684</v>
      </c>
      <c r="C2516" s="4" t="str">
        <f>HYPERLINK("http://optservis.net:5080/photo?tov_code_internet=203684","Увеличить")</f>
        <v>Увеличить</v>
      </c>
      <c r="D2516" s="3" t="s">
        <v>5031</v>
      </c>
      <c r="E2516" s="3" t="s">
        <v>5032</v>
      </c>
      <c r="F2516" s="3" t="s">
        <v>4581</v>
      </c>
      <c r="G2516" s="3" t="s">
        <v>502</v>
      </c>
      <c r="H2516" s="3">
        <v>0.5</v>
      </c>
      <c r="I2516" s="3">
        <v>0</v>
      </c>
      <c r="J2516" s="3" t="s">
        <v>18</v>
      </c>
      <c r="K2516" s="5">
        <v>0.06</v>
      </c>
      <c r="L2516" s="6">
        <v>4690654017224</v>
      </c>
      <c r="M2516" s="7" t="s">
        <v>5033</v>
      </c>
      <c r="N2516" s="8">
        <f>VLOOKUP(B2516,'[1]новый без картинок'!$A$5:$F$2672,6,0)</f>
        <v>707</v>
      </c>
    </row>
    <row r="2517" spans="1:14" ht="157.5" customHeight="1" x14ac:dyDescent="0.2">
      <c r="A2517" s="3">
        <v>2515</v>
      </c>
      <c r="B2517" s="3">
        <v>172590</v>
      </c>
      <c r="C2517" s="4" t="str">
        <f>HYPERLINK("http://optservis.net:5080/photo?tov_code_internet=172590","Увеличить")</f>
        <v>Увеличить</v>
      </c>
      <c r="D2517" s="3" t="s">
        <v>5034</v>
      </c>
      <c r="E2517" s="3"/>
      <c r="F2517" s="3" t="s">
        <v>4565</v>
      </c>
      <c r="G2517" s="3" t="s">
        <v>502</v>
      </c>
      <c r="H2517" s="3">
        <v>1</v>
      </c>
      <c r="I2517" s="3">
        <v>1</v>
      </c>
      <c r="J2517" s="3" t="s">
        <v>18</v>
      </c>
      <c r="K2517" s="5">
        <v>0.11</v>
      </c>
      <c r="L2517" s="6">
        <v>0</v>
      </c>
      <c r="M2517" s="7" t="s">
        <v>5035</v>
      </c>
      <c r="N2517" s="8">
        <f>VLOOKUP(B2517,'[1]новый без картинок'!$A$5:$F$2672,6,0)</f>
        <v>534</v>
      </c>
    </row>
    <row r="2518" spans="1:14" ht="157.5" customHeight="1" x14ac:dyDescent="0.2">
      <c r="A2518" s="3">
        <v>2516</v>
      </c>
      <c r="B2518" s="3">
        <v>196216</v>
      </c>
      <c r="C2518" s="4" t="str">
        <f>HYPERLINK("http://optservis.net:5080/photo?tov_code_internet=196216","Увеличить")</f>
        <v>Увеличить</v>
      </c>
      <c r="D2518" s="3" t="s">
        <v>5036</v>
      </c>
      <c r="E2518" s="3"/>
      <c r="F2518" s="3" t="s">
        <v>4914</v>
      </c>
      <c r="G2518" s="3" t="s">
        <v>4594</v>
      </c>
      <c r="H2518" s="3">
        <v>0.5</v>
      </c>
      <c r="I2518" s="3">
        <v>0</v>
      </c>
      <c r="J2518" s="3" t="s">
        <v>18</v>
      </c>
      <c r="K2518" s="5">
        <v>0.09</v>
      </c>
      <c r="L2518" s="6">
        <v>0</v>
      </c>
      <c r="M2518" s="7" t="s">
        <v>5037</v>
      </c>
      <c r="N2518" s="8">
        <f>VLOOKUP(B2518,'[1]новый без картинок'!$A$5:$F$2672,6,0)</f>
        <v>1188</v>
      </c>
    </row>
    <row r="2519" spans="1:14" ht="138.6" customHeight="1" x14ac:dyDescent="0.2">
      <c r="A2519" s="3">
        <v>2517</v>
      </c>
      <c r="B2519" s="3">
        <v>986545</v>
      </c>
      <c r="C2519" s="4" t="str">
        <f>HYPERLINK("http://optservis.net:5080/photo?tov_code_internet=986545","Увеличить")</f>
        <v>Увеличить</v>
      </c>
      <c r="D2519" s="3" t="s">
        <v>5038</v>
      </c>
      <c r="E2519" s="3" t="s">
        <v>5039</v>
      </c>
      <c r="F2519" s="3" t="s">
        <v>4651</v>
      </c>
      <c r="G2519" s="3" t="s">
        <v>502</v>
      </c>
      <c r="H2519" s="3">
        <v>0.5</v>
      </c>
      <c r="I2519" s="3">
        <v>0</v>
      </c>
      <c r="J2519" s="3" t="s">
        <v>18</v>
      </c>
      <c r="K2519" s="5">
        <v>0.12</v>
      </c>
      <c r="L2519" s="6">
        <v>4640020779959</v>
      </c>
      <c r="M2519" s="7" t="s">
        <v>5040</v>
      </c>
      <c r="N2519" s="8">
        <f>VLOOKUP(B2519,'[1]новый без картинок'!$A$5:$F$2672,6,0)</f>
        <v>1318</v>
      </c>
    </row>
    <row r="2520" spans="1:14" ht="151.15" customHeight="1" x14ac:dyDescent="0.2">
      <c r="A2520" s="3">
        <v>2518</v>
      </c>
      <c r="B2520" s="3">
        <v>981315</v>
      </c>
      <c r="C2520" s="4" t="str">
        <f>HYPERLINK("http://optservis.net:5080/photo?tov_code_internet=981315","Увеличить")</f>
        <v>Увеличить</v>
      </c>
      <c r="D2520" s="3" t="s">
        <v>5041</v>
      </c>
      <c r="E2520" s="3"/>
      <c r="F2520" s="3" t="s">
        <v>5029</v>
      </c>
      <c r="G2520" s="3" t="s">
        <v>175</v>
      </c>
      <c r="H2520" s="3">
        <v>0.5</v>
      </c>
      <c r="I2520" s="3">
        <v>0</v>
      </c>
      <c r="J2520" s="3" t="s">
        <v>18</v>
      </c>
      <c r="K2520" s="5">
        <v>0.06</v>
      </c>
      <c r="L2520" s="6">
        <v>0</v>
      </c>
      <c r="M2520" s="7" t="s">
        <v>5042</v>
      </c>
      <c r="N2520" s="8">
        <f>VLOOKUP(B2520,'[1]новый без картинок'!$A$5:$F$2672,6,0)</f>
        <v>680</v>
      </c>
    </row>
    <row r="2521" spans="1:14" ht="151.15" customHeight="1" x14ac:dyDescent="0.2">
      <c r="A2521" s="3">
        <v>2519</v>
      </c>
      <c r="B2521" s="3">
        <v>981224</v>
      </c>
      <c r="C2521" s="4" t="str">
        <f>HYPERLINK("http://optservis.net:5080/photo?tov_code_internet=981224","Увеличить")</f>
        <v>Увеличить</v>
      </c>
      <c r="D2521" s="3" t="s">
        <v>5043</v>
      </c>
      <c r="E2521" s="3" t="s">
        <v>5044</v>
      </c>
      <c r="F2521" s="3" t="s">
        <v>4651</v>
      </c>
      <c r="G2521" s="3" t="s">
        <v>502</v>
      </c>
      <c r="H2521" s="3">
        <v>0.5</v>
      </c>
      <c r="I2521" s="3">
        <v>0</v>
      </c>
      <c r="J2521" s="3" t="s">
        <v>18</v>
      </c>
      <c r="K2521" s="5">
        <v>0.06</v>
      </c>
      <c r="L2521" s="6">
        <v>4690654016531</v>
      </c>
      <c r="M2521" s="7" t="s">
        <v>5045</v>
      </c>
      <c r="N2521" s="8">
        <f>VLOOKUP(B2521,'[1]новый без картинок'!$A$5:$F$2672,6,0)</f>
        <v>759</v>
      </c>
    </row>
    <row r="2522" spans="1:14" ht="157.5" customHeight="1" x14ac:dyDescent="0.2">
      <c r="A2522" s="3">
        <v>2520</v>
      </c>
      <c r="B2522" s="3">
        <v>203685</v>
      </c>
      <c r="C2522" s="4" t="str">
        <f>HYPERLINK("http://optservis.net:5080/photo?tov_code_internet=203685","Увеличить")</f>
        <v>Увеличить</v>
      </c>
      <c r="D2522" s="3" t="s">
        <v>5046</v>
      </c>
      <c r="E2522" s="3"/>
      <c r="F2522" s="3" t="s">
        <v>4581</v>
      </c>
      <c r="G2522" s="3" t="s">
        <v>502</v>
      </c>
      <c r="H2522" s="3">
        <v>0.5</v>
      </c>
      <c r="I2522" s="3">
        <v>0</v>
      </c>
      <c r="J2522" s="3" t="s">
        <v>18</v>
      </c>
      <c r="K2522" s="5">
        <v>0.06</v>
      </c>
      <c r="L2522" s="6">
        <v>0</v>
      </c>
      <c r="M2522" s="7" t="s">
        <v>5047</v>
      </c>
      <c r="N2522" s="8">
        <f>VLOOKUP(B2522,'[1]новый без картинок'!$A$5:$F$2672,6,0)</f>
        <v>777</v>
      </c>
    </row>
    <row r="2523" spans="1:14" ht="138.6" customHeight="1" x14ac:dyDescent="0.2">
      <c r="A2523" s="3">
        <v>2521</v>
      </c>
      <c r="B2523" s="3">
        <v>987335</v>
      </c>
      <c r="C2523" s="4" t="str">
        <f>HYPERLINK("http://optservis.net:5080/photo?tov_code_internet=987335","Увеличить")</f>
        <v>Увеличить</v>
      </c>
      <c r="D2523" s="3" t="s">
        <v>5048</v>
      </c>
      <c r="E2523" s="3" t="s">
        <v>5049</v>
      </c>
      <c r="F2523" s="3" t="s">
        <v>5050</v>
      </c>
      <c r="G2523" s="3" t="s">
        <v>175</v>
      </c>
      <c r="H2523" s="3">
        <v>0.5</v>
      </c>
      <c r="I2523" s="3">
        <v>0</v>
      </c>
      <c r="J2523" s="3" t="s">
        <v>18</v>
      </c>
      <c r="K2523" s="5">
        <v>7.0000000000000007E-2</v>
      </c>
      <c r="L2523" s="6">
        <v>4690654003746</v>
      </c>
      <c r="M2523" s="7" t="s">
        <v>5051</v>
      </c>
      <c r="N2523" s="8">
        <f>VLOOKUP(B2523,'[1]новый без картинок'!$A$5:$F$2672,6,0)</f>
        <v>594</v>
      </c>
    </row>
    <row r="2524" spans="1:14" ht="151.15" customHeight="1" x14ac:dyDescent="0.2">
      <c r="A2524" s="3">
        <v>2522</v>
      </c>
      <c r="B2524" s="3">
        <v>161696</v>
      </c>
      <c r="C2524" s="4" t="str">
        <f>HYPERLINK("http://optservis.net:5080/photo?tov_code_internet=161696","Увеличить")</f>
        <v>Увеличить</v>
      </c>
      <c r="D2524" s="3" t="s">
        <v>5052</v>
      </c>
      <c r="E2524" s="3"/>
      <c r="F2524" s="3" t="s">
        <v>5053</v>
      </c>
      <c r="G2524" s="3" t="s">
        <v>502</v>
      </c>
      <c r="H2524" s="3">
        <v>0.33300000000000002</v>
      </c>
      <c r="I2524" s="3">
        <v>0</v>
      </c>
      <c r="J2524" s="3" t="s">
        <v>18</v>
      </c>
      <c r="K2524" s="5">
        <v>0.05</v>
      </c>
      <c r="L2524" s="6">
        <v>0</v>
      </c>
      <c r="M2524" s="7" t="s">
        <v>5054</v>
      </c>
      <c r="N2524" s="8">
        <f>VLOOKUP(B2524,'[1]новый без картинок'!$A$5:$F$2672,6,0)</f>
        <v>697</v>
      </c>
    </row>
    <row r="2525" spans="1:14" ht="157.5" customHeight="1" x14ac:dyDescent="0.2">
      <c r="A2525" s="3">
        <v>2523</v>
      </c>
      <c r="B2525" s="3">
        <v>196217</v>
      </c>
      <c r="C2525" s="4" t="str">
        <f>HYPERLINK("http://optservis.net:5080/photo?tov_code_internet=196217","Увеличить")</f>
        <v>Увеличить</v>
      </c>
      <c r="D2525" s="3" t="s">
        <v>5055</v>
      </c>
      <c r="E2525" s="3"/>
      <c r="F2525" s="3" t="s">
        <v>4914</v>
      </c>
      <c r="G2525" s="3" t="s">
        <v>4594</v>
      </c>
      <c r="H2525" s="3">
        <v>0.5</v>
      </c>
      <c r="I2525" s="3">
        <v>0</v>
      </c>
      <c r="J2525" s="3" t="s">
        <v>18</v>
      </c>
      <c r="K2525" s="5">
        <v>0.09</v>
      </c>
      <c r="L2525" s="6">
        <v>0</v>
      </c>
      <c r="M2525" s="7" t="s">
        <v>5056</v>
      </c>
      <c r="N2525" s="8">
        <f>VLOOKUP(B2525,'[1]новый без картинок'!$A$5:$F$2672,6,0)</f>
        <v>1320</v>
      </c>
    </row>
    <row r="2526" spans="1:14" ht="157.5" customHeight="1" x14ac:dyDescent="0.2">
      <c r="A2526" s="3">
        <v>2524</v>
      </c>
      <c r="B2526" s="3">
        <v>196197</v>
      </c>
      <c r="C2526" s="4" t="str">
        <f>HYPERLINK("http://optservis.net:5080/photo?tov_code_internet=196197","Увеличить")</f>
        <v>Увеличить</v>
      </c>
      <c r="D2526" s="3" t="s">
        <v>5055</v>
      </c>
      <c r="E2526" s="3" t="s">
        <v>5057</v>
      </c>
      <c r="F2526" s="3" t="s">
        <v>4593</v>
      </c>
      <c r="G2526" s="3" t="s">
        <v>4594</v>
      </c>
      <c r="H2526" s="3">
        <v>0.5</v>
      </c>
      <c r="I2526" s="3">
        <v>0</v>
      </c>
      <c r="J2526" s="3" t="s">
        <v>18</v>
      </c>
      <c r="K2526" s="5">
        <v>0.1</v>
      </c>
      <c r="L2526" s="6">
        <v>4690654020859</v>
      </c>
      <c r="M2526" s="7" t="s">
        <v>5058</v>
      </c>
      <c r="N2526" s="8">
        <f>VLOOKUP(B2526,'[1]новый без картинок'!$A$5:$F$2672,6,0)</f>
        <v>1343</v>
      </c>
    </row>
    <row r="2527" spans="1:14" ht="157.5" customHeight="1" x14ac:dyDescent="0.2">
      <c r="A2527" s="3">
        <v>2525</v>
      </c>
      <c r="B2527" s="3">
        <v>200974</v>
      </c>
      <c r="C2527" s="4" t="str">
        <f>HYPERLINK("http://optservis.net:5080/photo?tov_code_internet=200974","Увеличить")</f>
        <v>Увеличить</v>
      </c>
      <c r="D2527" s="3" t="s">
        <v>5059</v>
      </c>
      <c r="E2527" s="3"/>
      <c r="F2527" s="3" t="s">
        <v>4590</v>
      </c>
      <c r="G2527" s="3" t="s">
        <v>502</v>
      </c>
      <c r="H2527" s="3">
        <v>0.5</v>
      </c>
      <c r="I2527" s="3">
        <v>0</v>
      </c>
      <c r="J2527" s="3" t="s">
        <v>18</v>
      </c>
      <c r="K2527" s="5">
        <v>7.0000000000000007E-2</v>
      </c>
      <c r="L2527" s="6">
        <v>0</v>
      </c>
      <c r="M2527" s="7" t="s">
        <v>5060</v>
      </c>
      <c r="N2527" s="8">
        <f>VLOOKUP(B2527,'[1]новый без картинок'!$A$5:$F$2672,6,0)</f>
        <v>788</v>
      </c>
    </row>
    <row r="2528" spans="1:14" ht="149.44999999999999" customHeight="1" x14ac:dyDescent="0.2">
      <c r="A2528" s="3">
        <v>2526</v>
      </c>
      <c r="B2528" s="3">
        <v>988817</v>
      </c>
      <c r="C2528" s="4" t="str">
        <f>HYPERLINK("http://optservis.net:5080/photo?tov_code_internet=988817","Увеличить")</f>
        <v>Увеличить</v>
      </c>
      <c r="D2528" s="3" t="s">
        <v>5061</v>
      </c>
      <c r="E2528" s="3" t="s">
        <v>5062</v>
      </c>
      <c r="F2528" s="3" t="s">
        <v>5063</v>
      </c>
      <c r="G2528" s="3" t="s">
        <v>4821</v>
      </c>
      <c r="H2528" s="3">
        <v>0.5</v>
      </c>
      <c r="I2528" s="3">
        <v>0</v>
      </c>
      <c r="J2528" s="3" t="s">
        <v>18</v>
      </c>
      <c r="K2528" s="5">
        <v>7.0000000000000007E-2</v>
      </c>
      <c r="L2528" s="6">
        <v>4690654000677</v>
      </c>
      <c r="M2528" s="7" t="s">
        <v>5064</v>
      </c>
      <c r="N2528" s="8">
        <f>VLOOKUP(B2528,'[1]новый без картинок'!$A$5:$F$2672,6,0)</f>
        <v>502</v>
      </c>
    </row>
    <row r="2529" spans="1:14" ht="151.15" customHeight="1" x14ac:dyDescent="0.2">
      <c r="A2529" s="3">
        <v>2527</v>
      </c>
      <c r="B2529" s="3">
        <v>982925</v>
      </c>
      <c r="C2529" s="4" t="str">
        <f>HYPERLINK("http://optservis.net:5080/photo?tov_code_internet=982925","Увеличить")</f>
        <v>Увеличить</v>
      </c>
      <c r="D2529" s="3" t="s">
        <v>5065</v>
      </c>
      <c r="E2529" s="3" t="s">
        <v>5066</v>
      </c>
      <c r="F2529" s="3" t="s">
        <v>4520</v>
      </c>
      <c r="G2529" s="3" t="s">
        <v>175</v>
      </c>
      <c r="H2529" s="3">
        <v>0.5</v>
      </c>
      <c r="I2529" s="3">
        <v>0</v>
      </c>
      <c r="J2529" s="3" t="s">
        <v>18</v>
      </c>
      <c r="K2529" s="5">
        <v>0.05</v>
      </c>
      <c r="L2529" s="6">
        <v>4690654000790</v>
      </c>
      <c r="M2529" s="7" t="s">
        <v>5067</v>
      </c>
      <c r="N2529" s="8">
        <f>VLOOKUP(B2529,'[1]новый без картинок'!$A$5:$F$2672,6,0)</f>
        <v>324</v>
      </c>
    </row>
    <row r="2530" spans="1:14" ht="157.5" customHeight="1" x14ac:dyDescent="0.2">
      <c r="A2530" s="3">
        <v>2528</v>
      </c>
      <c r="B2530" s="3">
        <v>167529</v>
      </c>
      <c r="C2530" s="4" t="str">
        <f>HYPERLINK("http://optservis.net:5080/photo?tov_code_internet=167529","Увеличить")</f>
        <v>Увеличить</v>
      </c>
      <c r="D2530" s="3" t="s">
        <v>5068</v>
      </c>
      <c r="E2530" s="3"/>
      <c r="F2530" s="3" t="s">
        <v>34</v>
      </c>
      <c r="G2530" s="3" t="s">
        <v>31</v>
      </c>
      <c r="H2530" s="3">
        <v>0.5</v>
      </c>
      <c r="I2530" s="3">
        <v>0</v>
      </c>
      <c r="J2530" s="3" t="s">
        <v>18</v>
      </c>
      <c r="K2530" s="5">
        <v>0.04</v>
      </c>
      <c r="L2530" s="6">
        <v>0</v>
      </c>
      <c r="M2530" s="7" t="s">
        <v>5069</v>
      </c>
      <c r="N2530" s="8">
        <f>VLOOKUP(B2530,'[1]новый без картинок'!$A$5:$F$2672,6,0)</f>
        <v>1264</v>
      </c>
    </row>
    <row r="2531" spans="1:14" ht="138.6" customHeight="1" x14ac:dyDescent="0.2">
      <c r="A2531" s="3">
        <v>2529</v>
      </c>
      <c r="B2531" s="3">
        <v>961896</v>
      </c>
      <c r="C2531" s="4" t="str">
        <f>HYPERLINK("http://optservis.net:5080/photo?tov_code_internet=961896","Увеличить")</f>
        <v>Увеличить</v>
      </c>
      <c r="D2531" s="3" t="s">
        <v>5070</v>
      </c>
      <c r="E2531" s="3"/>
      <c r="F2531" s="3" t="s">
        <v>5071</v>
      </c>
      <c r="G2531" s="3" t="s">
        <v>603</v>
      </c>
      <c r="H2531" s="3">
        <v>0.5</v>
      </c>
      <c r="I2531" s="3">
        <v>0</v>
      </c>
      <c r="J2531" s="3" t="s">
        <v>18</v>
      </c>
      <c r="K2531" s="5">
        <v>7.0000000000000007E-2</v>
      </c>
      <c r="L2531" s="6">
        <v>0</v>
      </c>
      <c r="M2531" s="7" t="s">
        <v>5072</v>
      </c>
      <c r="N2531" s="8">
        <f>VLOOKUP(B2531,'[1]новый без картинок'!$A$5:$F$2672,6,0)</f>
        <v>568</v>
      </c>
    </row>
    <row r="2532" spans="1:14" ht="157.5" customHeight="1" x14ac:dyDescent="0.2">
      <c r="A2532" s="3">
        <v>2530</v>
      </c>
      <c r="B2532" s="3">
        <v>164142</v>
      </c>
      <c r="C2532" s="4" t="str">
        <f>HYPERLINK("http://optservis.net:5080/photo?tov_code_internet=164142","Увеличить")</f>
        <v>Увеличить</v>
      </c>
      <c r="D2532" s="3" t="s">
        <v>5073</v>
      </c>
      <c r="E2532" s="3"/>
      <c r="F2532" s="3" t="s">
        <v>5074</v>
      </c>
      <c r="G2532" s="3" t="s">
        <v>621</v>
      </c>
      <c r="H2532" s="3">
        <v>0.5</v>
      </c>
      <c r="I2532" s="3">
        <v>0</v>
      </c>
      <c r="J2532" s="3" t="s">
        <v>18</v>
      </c>
      <c r="K2532" s="5">
        <v>7.0000000000000007E-2</v>
      </c>
      <c r="L2532" s="6">
        <v>0</v>
      </c>
      <c r="M2532" s="7" t="s">
        <v>5075</v>
      </c>
      <c r="N2532" s="8">
        <f>VLOOKUP(B2532,'[1]новый без картинок'!$A$5:$F$2672,6,0)</f>
        <v>645</v>
      </c>
    </row>
    <row r="2533" spans="1:14" ht="157.5" customHeight="1" x14ac:dyDescent="0.2">
      <c r="A2533" s="3">
        <v>2531</v>
      </c>
      <c r="B2533" s="3">
        <v>183451</v>
      </c>
      <c r="C2533" s="4" t="str">
        <f>HYPERLINK("http://optservis.net:5080/photo?tov_code_internet=183451","Увеличить")</f>
        <v>Увеличить</v>
      </c>
      <c r="D2533" s="3" t="s">
        <v>5073</v>
      </c>
      <c r="E2533" s="3"/>
      <c r="F2533" s="3" t="s">
        <v>5076</v>
      </c>
      <c r="G2533" s="3" t="s">
        <v>621</v>
      </c>
      <c r="H2533" s="3">
        <v>0.5</v>
      </c>
      <c r="I2533" s="3">
        <v>0</v>
      </c>
      <c r="J2533" s="3" t="s">
        <v>18</v>
      </c>
      <c r="K2533" s="5">
        <v>7.0000000000000007E-2</v>
      </c>
      <c r="L2533" s="6">
        <v>0</v>
      </c>
      <c r="M2533" s="7" t="s">
        <v>5077</v>
      </c>
      <c r="N2533" s="8">
        <f>VLOOKUP(B2533,'[1]новый без картинок'!$A$5:$F$2672,6,0)</f>
        <v>659</v>
      </c>
    </row>
    <row r="2534" spans="1:14" ht="157.5" customHeight="1" x14ac:dyDescent="0.2">
      <c r="A2534" s="3">
        <v>2532</v>
      </c>
      <c r="B2534" s="3">
        <v>167528</v>
      </c>
      <c r="C2534" s="4" t="str">
        <f>HYPERLINK("http://optservis.net:5080/photo?tov_code_internet=167528","Увеличить")</f>
        <v>Увеличить</v>
      </c>
      <c r="D2534" s="3" t="s">
        <v>5073</v>
      </c>
      <c r="E2534" s="3" t="s">
        <v>5078</v>
      </c>
      <c r="F2534" s="3" t="s">
        <v>4785</v>
      </c>
      <c r="G2534" s="3" t="s">
        <v>621</v>
      </c>
      <c r="H2534" s="3">
        <v>0.5</v>
      </c>
      <c r="I2534" s="3">
        <v>0</v>
      </c>
      <c r="J2534" s="3" t="s">
        <v>18</v>
      </c>
      <c r="K2534" s="5">
        <v>7.0000000000000007E-2</v>
      </c>
      <c r="L2534" s="6">
        <v>4690654012779</v>
      </c>
      <c r="M2534" s="7" t="s">
        <v>5075</v>
      </c>
      <c r="N2534" s="8">
        <f>VLOOKUP(B2534,'[1]новый без картинок'!$A$5:$F$2672,6,0)</f>
        <v>638</v>
      </c>
    </row>
    <row r="2535" spans="1:14" ht="157.5" customHeight="1" x14ac:dyDescent="0.2">
      <c r="A2535" s="3">
        <v>2533</v>
      </c>
      <c r="B2535" s="3">
        <v>167530</v>
      </c>
      <c r="C2535" s="4" t="str">
        <f>HYPERLINK("http://optservis.net:5080/photo?tov_code_internet=167530","Увеличить")</f>
        <v>Увеличить</v>
      </c>
      <c r="D2535" s="3" t="s">
        <v>5079</v>
      </c>
      <c r="E2535" s="3"/>
      <c r="F2535" s="3" t="s">
        <v>5080</v>
      </c>
      <c r="G2535" s="3" t="s">
        <v>621</v>
      </c>
      <c r="H2535" s="3">
        <v>0.5</v>
      </c>
      <c r="I2535" s="3">
        <v>0</v>
      </c>
      <c r="J2535" s="3" t="s">
        <v>18</v>
      </c>
      <c r="K2535" s="5">
        <v>0.06</v>
      </c>
      <c r="L2535" s="6">
        <v>0</v>
      </c>
      <c r="M2535" s="7" t="s">
        <v>5081</v>
      </c>
      <c r="N2535" s="8">
        <f>VLOOKUP(B2535,'[1]новый без картинок'!$A$5:$F$2672,6,0)</f>
        <v>676</v>
      </c>
    </row>
    <row r="2536" spans="1:14" ht="157.5" customHeight="1" x14ac:dyDescent="0.2">
      <c r="A2536" s="3">
        <v>2534</v>
      </c>
      <c r="B2536" s="3">
        <v>214602</v>
      </c>
      <c r="C2536" s="4" t="str">
        <f>HYPERLINK("http://optservis.net:5080/photo?tov_code_internet=214602","Увеличить")</f>
        <v>Увеличить</v>
      </c>
      <c r="D2536" s="3" t="s">
        <v>5082</v>
      </c>
      <c r="E2536" s="3"/>
      <c r="F2536" s="3" t="s">
        <v>5083</v>
      </c>
      <c r="G2536" s="3" t="s">
        <v>603</v>
      </c>
      <c r="H2536" s="3">
        <v>0.5</v>
      </c>
      <c r="I2536" s="3">
        <v>0</v>
      </c>
      <c r="J2536" s="3" t="s">
        <v>18</v>
      </c>
      <c r="K2536" s="5">
        <v>7.0000000000000007E-2</v>
      </c>
      <c r="L2536" s="6">
        <v>0</v>
      </c>
      <c r="M2536" s="7" t="s">
        <v>5084</v>
      </c>
      <c r="N2536" s="8">
        <f>VLOOKUP(B2536,'[1]новый без картинок'!$A$5:$F$2672,6,0)</f>
        <v>631</v>
      </c>
    </row>
    <row r="2537" spans="1:14" ht="157.5" customHeight="1" x14ac:dyDescent="0.2">
      <c r="A2537" s="3">
        <v>2535</v>
      </c>
      <c r="B2537" s="3">
        <v>211168</v>
      </c>
      <c r="C2537" s="4" t="str">
        <f>HYPERLINK("http://optservis.net:5080/photo?tov_code_internet=211168","Увеличить")</f>
        <v>Увеличить</v>
      </c>
      <c r="D2537" s="3" t="s">
        <v>5085</v>
      </c>
      <c r="E2537" s="3"/>
      <c r="F2537" s="3" t="s">
        <v>5086</v>
      </c>
      <c r="G2537" s="3" t="s">
        <v>621</v>
      </c>
      <c r="H2537" s="3">
        <v>0.5</v>
      </c>
      <c r="I2537" s="3">
        <v>0</v>
      </c>
      <c r="J2537" s="3" t="s">
        <v>18</v>
      </c>
      <c r="K2537" s="5">
        <v>0.06</v>
      </c>
      <c r="L2537" s="6">
        <v>0</v>
      </c>
      <c r="M2537" s="7" t="s">
        <v>5087</v>
      </c>
      <c r="N2537" s="8">
        <f>VLOOKUP(B2537,'[1]новый без картинок'!$A$5:$F$2672,6,0)</f>
        <v>788</v>
      </c>
    </row>
    <row r="2538" spans="1:14" ht="157.5" customHeight="1" x14ac:dyDescent="0.2">
      <c r="A2538" s="3">
        <v>2536</v>
      </c>
      <c r="B2538" s="3">
        <v>211167</v>
      </c>
      <c r="C2538" s="4" t="str">
        <f>HYPERLINK("http://optservis.net:5080/photo?tov_code_internet=211167","Увеличить")</f>
        <v>Увеличить</v>
      </c>
      <c r="D2538" s="3" t="s">
        <v>5085</v>
      </c>
      <c r="E2538" s="3"/>
      <c r="F2538" s="3" t="s">
        <v>5088</v>
      </c>
      <c r="G2538" s="3" t="s">
        <v>621</v>
      </c>
      <c r="H2538" s="3">
        <v>0.5</v>
      </c>
      <c r="I2538" s="3">
        <v>0</v>
      </c>
      <c r="J2538" s="3" t="s">
        <v>18</v>
      </c>
      <c r="K2538" s="5">
        <v>0.06</v>
      </c>
      <c r="L2538" s="6">
        <v>0</v>
      </c>
      <c r="M2538" s="7" t="s">
        <v>5087</v>
      </c>
      <c r="N2538" s="8">
        <f>VLOOKUP(B2538,'[1]новый без картинок'!$A$5:$F$2672,6,0)</f>
        <v>783</v>
      </c>
    </row>
    <row r="2539" spans="1:14" ht="157.5" customHeight="1" x14ac:dyDescent="0.2">
      <c r="A2539" s="3">
        <v>2537</v>
      </c>
      <c r="B2539" s="3">
        <v>196213</v>
      </c>
      <c r="C2539" s="4" t="str">
        <f>HYPERLINK("http://optservis.net:5080/photo?tov_code_internet=196213","Увеличить")</f>
        <v>Увеличить</v>
      </c>
      <c r="D2539" s="3" t="s">
        <v>5089</v>
      </c>
      <c r="E2539" s="3"/>
      <c r="F2539" s="3" t="s">
        <v>5090</v>
      </c>
      <c r="G2539" s="3" t="s">
        <v>625</v>
      </c>
      <c r="H2539" s="3">
        <v>0.5</v>
      </c>
      <c r="I2539" s="3">
        <v>0</v>
      </c>
      <c r="J2539" s="3" t="s">
        <v>18</v>
      </c>
      <c r="K2539" s="5">
        <v>0.09</v>
      </c>
      <c r="L2539" s="6">
        <v>0</v>
      </c>
      <c r="M2539" s="7" t="s">
        <v>5091</v>
      </c>
      <c r="N2539" s="8">
        <f>VLOOKUP(B2539,'[1]новый без картинок'!$A$5:$F$2672,6,0)</f>
        <v>1161</v>
      </c>
    </row>
    <row r="2540" spans="1:14" ht="151.15" customHeight="1" x14ac:dyDescent="0.2">
      <c r="A2540" s="3">
        <v>2538</v>
      </c>
      <c r="B2540" s="3">
        <v>145513</v>
      </c>
      <c r="C2540" s="4" t="str">
        <f>HYPERLINK("http://optservis.net:5080/photo?tov_code_internet=145513","Увеличить")</f>
        <v>Увеличить</v>
      </c>
      <c r="D2540" s="3" t="s">
        <v>5092</v>
      </c>
      <c r="E2540" s="3" t="s">
        <v>5093</v>
      </c>
      <c r="F2540" s="3" t="s">
        <v>5094</v>
      </c>
      <c r="G2540" s="3" t="s">
        <v>621</v>
      </c>
      <c r="H2540" s="3">
        <v>0.5</v>
      </c>
      <c r="I2540" s="3">
        <v>0</v>
      </c>
      <c r="J2540" s="3" t="s">
        <v>18</v>
      </c>
      <c r="K2540" s="5">
        <v>0.04</v>
      </c>
      <c r="L2540" s="6">
        <v>4690654013387</v>
      </c>
      <c r="M2540" s="7" t="s">
        <v>5095</v>
      </c>
      <c r="N2540" s="8">
        <f>VLOOKUP(B2540,'[1]новый без картинок'!$A$5:$F$2672,6,0)</f>
        <v>549</v>
      </c>
    </row>
    <row r="2541" spans="1:14" ht="149.44999999999999" customHeight="1" x14ac:dyDescent="0.2">
      <c r="A2541" s="3">
        <v>2539</v>
      </c>
      <c r="B2541" s="3">
        <v>970149</v>
      </c>
      <c r="C2541" s="4" t="str">
        <f>HYPERLINK("http://optservis.net:5080/photo?tov_code_internet=970149","Увеличить")</f>
        <v>Увеличить</v>
      </c>
      <c r="D2541" s="3" t="s">
        <v>5096</v>
      </c>
      <c r="E2541" s="3" t="s">
        <v>5097</v>
      </c>
      <c r="F2541" s="3" t="s">
        <v>5098</v>
      </c>
      <c r="G2541" s="3" t="s">
        <v>59</v>
      </c>
      <c r="H2541" s="3">
        <v>0.5</v>
      </c>
      <c r="I2541" s="3">
        <v>0</v>
      </c>
      <c r="J2541" s="3" t="s">
        <v>18</v>
      </c>
      <c r="K2541" s="5">
        <v>0.06</v>
      </c>
      <c r="L2541" s="6">
        <v>4690654003753</v>
      </c>
      <c r="M2541" s="7" t="s">
        <v>5099</v>
      </c>
      <c r="N2541" s="8">
        <f>VLOOKUP(B2541,'[1]новый без картинок'!$A$5:$F$2672,6,0)</f>
        <v>417</v>
      </c>
    </row>
    <row r="2542" spans="1:14" ht="143.1" customHeight="1" x14ac:dyDescent="0.2">
      <c r="A2542" s="3">
        <v>2540</v>
      </c>
      <c r="B2542" s="3">
        <v>189698</v>
      </c>
      <c r="C2542" s="4" t="str">
        <f>HYPERLINK("http://optservis.net:5080/photo?tov_code_internet=189698","Увеличить")</f>
        <v>Увеличить</v>
      </c>
      <c r="D2542" s="3" t="s">
        <v>5100</v>
      </c>
      <c r="E2542" s="3" t="s">
        <v>5101</v>
      </c>
      <c r="F2542" s="3" t="s">
        <v>5102</v>
      </c>
      <c r="G2542" s="3" t="s">
        <v>621</v>
      </c>
      <c r="H2542" s="3">
        <v>0.5</v>
      </c>
      <c r="I2542" s="3">
        <v>0</v>
      </c>
      <c r="J2542" s="3" t="s">
        <v>18</v>
      </c>
      <c r="K2542" s="5">
        <v>0.05</v>
      </c>
      <c r="L2542" s="6">
        <v>4690654016074</v>
      </c>
      <c r="M2542" s="7" t="s">
        <v>5103</v>
      </c>
      <c r="N2542" s="8">
        <f>VLOOKUP(B2542,'[1]новый без картинок'!$A$5:$F$2672,6,0)</f>
        <v>569</v>
      </c>
    </row>
    <row r="2543" spans="1:14" ht="151.15" customHeight="1" x14ac:dyDescent="0.2">
      <c r="A2543" s="3">
        <v>2541</v>
      </c>
      <c r="B2543" s="3">
        <v>981137</v>
      </c>
      <c r="C2543" s="4" t="str">
        <f>HYPERLINK("http://optservis.net:5080/photo?tov_code_internet=981137","Увеличить")</f>
        <v>Увеличить</v>
      </c>
      <c r="D2543" s="3" t="s">
        <v>5104</v>
      </c>
      <c r="E2543" s="3" t="s">
        <v>5105</v>
      </c>
      <c r="F2543" s="3" t="s">
        <v>4780</v>
      </c>
      <c r="G2543" s="3" t="s">
        <v>603</v>
      </c>
      <c r="H2543" s="3">
        <v>0.5</v>
      </c>
      <c r="I2543" s="3">
        <v>0</v>
      </c>
      <c r="J2543" s="3" t="s">
        <v>18</v>
      </c>
      <c r="K2543" s="5">
        <v>0.05</v>
      </c>
      <c r="L2543" s="6">
        <v>4690654015985</v>
      </c>
      <c r="M2543" s="7" t="s">
        <v>5106</v>
      </c>
      <c r="N2543" s="8">
        <f>VLOOKUP(B2543,'[1]новый без картинок'!$A$5:$F$2672,6,0)</f>
        <v>485</v>
      </c>
    </row>
    <row r="2544" spans="1:14" ht="157.5" customHeight="1" x14ac:dyDescent="0.2">
      <c r="A2544" s="3">
        <v>2542</v>
      </c>
      <c r="B2544" s="3">
        <v>177418</v>
      </c>
      <c r="C2544" s="4" t="str">
        <f>HYPERLINK("http://optservis.net:5080/photo?tov_code_internet=177418","Увеличить")</f>
        <v>Увеличить</v>
      </c>
      <c r="D2544" s="3" t="s">
        <v>5107</v>
      </c>
      <c r="E2544" s="3"/>
      <c r="F2544" s="3" t="s">
        <v>5108</v>
      </c>
      <c r="G2544" s="3" t="s">
        <v>621</v>
      </c>
      <c r="H2544" s="3">
        <v>0.5</v>
      </c>
      <c r="I2544" s="3">
        <v>0</v>
      </c>
      <c r="J2544" s="3" t="s">
        <v>18</v>
      </c>
      <c r="K2544" s="5">
        <v>0.04</v>
      </c>
      <c r="L2544" s="6">
        <v>0</v>
      </c>
      <c r="M2544" s="7" t="s">
        <v>5109</v>
      </c>
      <c r="N2544" s="8">
        <f>VLOOKUP(B2544,'[1]новый без картинок'!$A$5:$F$2672,6,0)</f>
        <v>586</v>
      </c>
    </row>
    <row r="2545" spans="1:14" ht="151.15" customHeight="1" x14ac:dyDescent="0.2">
      <c r="A2545" s="3">
        <v>2543</v>
      </c>
      <c r="B2545" s="3">
        <v>982930</v>
      </c>
      <c r="C2545" s="4" t="str">
        <f>HYPERLINK("http://optservis.net:5080/photo?tov_code_internet=982930","Увеличить")</f>
        <v>Увеличить</v>
      </c>
      <c r="D2545" s="3" t="s">
        <v>5107</v>
      </c>
      <c r="E2545" s="3" t="s">
        <v>5110</v>
      </c>
      <c r="F2545" s="3" t="s">
        <v>5102</v>
      </c>
      <c r="G2545" s="3" t="s">
        <v>621</v>
      </c>
      <c r="H2545" s="3">
        <v>0.5</v>
      </c>
      <c r="I2545" s="3">
        <v>0</v>
      </c>
      <c r="J2545" s="3" t="s">
        <v>18</v>
      </c>
      <c r="K2545" s="5">
        <v>0.05</v>
      </c>
      <c r="L2545" s="6">
        <v>4690654014827</v>
      </c>
      <c r="M2545" s="7" t="s">
        <v>5109</v>
      </c>
      <c r="N2545" s="8">
        <f>VLOOKUP(B2545,'[1]новый без картинок'!$A$5:$F$2672,6,0)</f>
        <v>559</v>
      </c>
    </row>
    <row r="2546" spans="1:14" ht="157.5" customHeight="1" x14ac:dyDescent="0.2">
      <c r="A2546" s="3">
        <v>2544</v>
      </c>
      <c r="B2546" s="3">
        <v>172058</v>
      </c>
      <c r="C2546" s="4" t="str">
        <f>HYPERLINK("http://optservis.net:5080/photo?tov_code_internet=172058","Увеличить")</f>
        <v>Увеличить</v>
      </c>
      <c r="D2546" s="3" t="s">
        <v>5107</v>
      </c>
      <c r="E2546" s="3" t="s">
        <v>5110</v>
      </c>
      <c r="F2546" s="3" t="s">
        <v>5080</v>
      </c>
      <c r="G2546" s="3" t="s">
        <v>621</v>
      </c>
      <c r="H2546" s="3">
        <v>0.5</v>
      </c>
      <c r="I2546" s="3">
        <v>0</v>
      </c>
      <c r="J2546" s="3" t="s">
        <v>18</v>
      </c>
      <c r="K2546" s="5">
        <v>0.05</v>
      </c>
      <c r="L2546" s="6">
        <v>4690654010546</v>
      </c>
      <c r="M2546" s="7" t="s">
        <v>5109</v>
      </c>
      <c r="N2546" s="8">
        <f>VLOOKUP(B2546,'[1]новый без картинок'!$A$5:$F$2672,6,0)</f>
        <v>551</v>
      </c>
    </row>
    <row r="2547" spans="1:14" ht="153" customHeight="1" x14ac:dyDescent="0.2">
      <c r="A2547" s="3">
        <v>2545</v>
      </c>
      <c r="B2547" s="3">
        <v>145506</v>
      </c>
      <c r="C2547" s="4" t="str">
        <f>HYPERLINK("http://optservis.net:5080/photo?tov_code_internet=145506","Увеличить")</f>
        <v>Увеличить</v>
      </c>
      <c r="D2547" s="3" t="s">
        <v>5107</v>
      </c>
      <c r="E2547" s="3" t="s">
        <v>5110</v>
      </c>
      <c r="F2547" s="3" t="s">
        <v>4785</v>
      </c>
      <c r="G2547" s="3" t="s">
        <v>621</v>
      </c>
      <c r="H2547" s="3">
        <v>0.5</v>
      </c>
      <c r="I2547" s="3">
        <v>0</v>
      </c>
      <c r="J2547" s="3" t="s">
        <v>18</v>
      </c>
      <c r="K2547" s="5">
        <v>0.05</v>
      </c>
      <c r="L2547" s="6">
        <v>4690654006532</v>
      </c>
      <c r="M2547" s="7" t="s">
        <v>5109</v>
      </c>
      <c r="N2547" s="8">
        <f>VLOOKUP(B2547,'[1]новый без картинок'!$A$5:$F$2672,6,0)</f>
        <v>562</v>
      </c>
    </row>
    <row r="2548" spans="1:14" ht="151.15" customHeight="1" x14ac:dyDescent="0.2">
      <c r="A2548" s="3">
        <v>2546</v>
      </c>
      <c r="B2548" s="3">
        <v>961891</v>
      </c>
      <c r="C2548" s="4" t="str">
        <f>HYPERLINK("http://optservis.net:5080/photo?tov_code_internet=961891","Увеличить")</f>
        <v>Увеличить</v>
      </c>
      <c r="D2548" s="3" t="s">
        <v>5107</v>
      </c>
      <c r="E2548" s="3" t="s">
        <v>5110</v>
      </c>
      <c r="F2548" s="3" t="s">
        <v>5111</v>
      </c>
      <c r="G2548" s="3" t="s">
        <v>621</v>
      </c>
      <c r="H2548" s="3">
        <v>0.5</v>
      </c>
      <c r="I2548" s="3">
        <v>0</v>
      </c>
      <c r="J2548" s="3" t="s">
        <v>18</v>
      </c>
      <c r="K2548" s="5">
        <v>0.05</v>
      </c>
      <c r="L2548" s="6">
        <v>4690654004750</v>
      </c>
      <c r="M2548" s="7" t="s">
        <v>5109</v>
      </c>
      <c r="N2548" s="8">
        <f>VLOOKUP(B2548,'[1]новый без картинок'!$A$5:$F$2672,6,0)</f>
        <v>647</v>
      </c>
    </row>
    <row r="2549" spans="1:14" ht="157.5" customHeight="1" x14ac:dyDescent="0.2">
      <c r="A2549" s="3">
        <v>2547</v>
      </c>
      <c r="B2549" s="3">
        <v>212659</v>
      </c>
      <c r="C2549" s="4" t="str">
        <f>HYPERLINK("http://optservis.net:5080/photo?tov_code_internet=212659","Увеличить")</f>
        <v>Увеличить</v>
      </c>
      <c r="D2549" s="3" t="s">
        <v>5112</v>
      </c>
      <c r="E2549" s="3"/>
      <c r="F2549" s="3" t="s">
        <v>5113</v>
      </c>
      <c r="G2549" s="3" t="s">
        <v>603</v>
      </c>
      <c r="H2549" s="3">
        <v>0.5</v>
      </c>
      <c r="I2549" s="3">
        <v>0</v>
      </c>
      <c r="J2549" s="3" t="s">
        <v>18</v>
      </c>
      <c r="K2549" s="5">
        <v>0.05</v>
      </c>
      <c r="L2549" s="6">
        <v>0</v>
      </c>
      <c r="M2549" s="7" t="s">
        <v>5114</v>
      </c>
      <c r="N2549" s="8">
        <f>VLOOKUP(B2549,'[1]новый без картинок'!$A$5:$F$2672,6,0)</f>
        <v>585</v>
      </c>
    </row>
    <row r="2550" spans="1:14" ht="157.5" customHeight="1" x14ac:dyDescent="0.2">
      <c r="A2550" s="3">
        <v>2548</v>
      </c>
      <c r="B2550" s="3">
        <v>212660</v>
      </c>
      <c r="C2550" s="4" t="str">
        <f>HYPERLINK("http://optservis.net:5080/photo?tov_code_internet=212660","Увеличить")</f>
        <v>Увеличить</v>
      </c>
      <c r="D2550" s="3" t="s">
        <v>5112</v>
      </c>
      <c r="E2550" s="3"/>
      <c r="F2550" s="3" t="s">
        <v>5115</v>
      </c>
      <c r="G2550" s="3" t="s">
        <v>603</v>
      </c>
      <c r="H2550" s="3">
        <v>0.5</v>
      </c>
      <c r="I2550" s="3">
        <v>0</v>
      </c>
      <c r="J2550" s="3" t="s">
        <v>18</v>
      </c>
      <c r="K2550" s="5">
        <v>0.05</v>
      </c>
      <c r="L2550" s="6">
        <v>0</v>
      </c>
      <c r="M2550" s="7" t="s">
        <v>5114</v>
      </c>
      <c r="N2550" s="8">
        <f>VLOOKUP(B2550,'[1]новый без картинок'!$A$5:$F$2672,6,0)</f>
        <v>585</v>
      </c>
    </row>
    <row r="2551" spans="1:14" ht="157.5" customHeight="1" x14ac:dyDescent="0.2">
      <c r="A2551" s="3">
        <v>2549</v>
      </c>
      <c r="B2551" s="3">
        <v>203542</v>
      </c>
      <c r="C2551" s="4" t="str">
        <f>HYPERLINK("http://optservis.net:5080/photo?tov_code_internet=203542","Увеличить")</f>
        <v>Увеличить</v>
      </c>
      <c r="D2551" s="3" t="s">
        <v>5116</v>
      </c>
      <c r="E2551" s="3"/>
      <c r="F2551" s="3" t="s">
        <v>4792</v>
      </c>
      <c r="G2551" s="3" t="s">
        <v>621</v>
      </c>
      <c r="H2551" s="3">
        <v>0.5</v>
      </c>
      <c r="I2551" s="3">
        <v>0</v>
      </c>
      <c r="J2551" s="3" t="s">
        <v>18</v>
      </c>
      <c r="K2551" s="5">
        <v>0.05</v>
      </c>
      <c r="L2551" s="6">
        <v>0</v>
      </c>
      <c r="M2551" s="7" t="s">
        <v>5117</v>
      </c>
      <c r="N2551" s="8">
        <f>VLOOKUP(B2551,'[1]новый без картинок'!$A$5:$F$2672,6,0)</f>
        <v>577</v>
      </c>
    </row>
    <row r="2552" spans="1:14" ht="157.5" customHeight="1" x14ac:dyDescent="0.2">
      <c r="A2552" s="3">
        <v>2550</v>
      </c>
      <c r="B2552" s="3">
        <v>208895</v>
      </c>
      <c r="C2552" s="4" t="str">
        <f>HYPERLINK("http://optservis.net:5080/photo?tov_code_internet=208895","Увеличить")</f>
        <v>Увеличить</v>
      </c>
      <c r="D2552" s="3" t="s">
        <v>5116</v>
      </c>
      <c r="E2552" s="3"/>
      <c r="F2552" s="3" t="s">
        <v>5118</v>
      </c>
      <c r="G2552" s="3" t="s">
        <v>621</v>
      </c>
      <c r="H2552" s="3">
        <v>0.5</v>
      </c>
      <c r="I2552" s="3">
        <v>0</v>
      </c>
      <c r="J2552" s="3" t="s">
        <v>18</v>
      </c>
      <c r="K2552" s="5">
        <v>0.06</v>
      </c>
      <c r="L2552" s="6">
        <v>0</v>
      </c>
      <c r="M2552" s="7" t="s">
        <v>5119</v>
      </c>
      <c r="N2552" s="8">
        <f>VLOOKUP(B2552,'[1]новый без картинок'!$A$5:$F$2672,6,0)</f>
        <v>592</v>
      </c>
    </row>
    <row r="2553" spans="1:14" ht="157.5" customHeight="1" x14ac:dyDescent="0.2">
      <c r="A2553" s="3">
        <v>2551</v>
      </c>
      <c r="B2553" s="3">
        <v>203541</v>
      </c>
      <c r="C2553" s="4" t="str">
        <f>HYPERLINK("http://optservis.net:5080/photo?tov_code_internet=203541","Увеличить")</f>
        <v>Увеличить</v>
      </c>
      <c r="D2553" s="3" t="s">
        <v>5116</v>
      </c>
      <c r="E2553" s="3"/>
      <c r="F2553" s="3" t="s">
        <v>5120</v>
      </c>
      <c r="G2553" s="3" t="s">
        <v>621</v>
      </c>
      <c r="H2553" s="3">
        <v>0.5</v>
      </c>
      <c r="I2553" s="3">
        <v>0</v>
      </c>
      <c r="J2553" s="3" t="s">
        <v>18</v>
      </c>
      <c r="K2553" s="5">
        <v>0.05</v>
      </c>
      <c r="L2553" s="6">
        <v>0</v>
      </c>
      <c r="M2553" s="7" t="s">
        <v>5117</v>
      </c>
      <c r="N2553" s="8">
        <f>VLOOKUP(B2553,'[1]новый без картинок'!$A$5:$F$2672,6,0)</f>
        <v>586</v>
      </c>
    </row>
    <row r="2554" spans="1:14" ht="157.5" customHeight="1" x14ac:dyDescent="0.2">
      <c r="A2554" s="3">
        <v>2552</v>
      </c>
      <c r="B2554" s="3">
        <v>208889</v>
      </c>
      <c r="C2554" s="4" t="str">
        <f>HYPERLINK("http://optservis.net:5080/photo?tov_code_internet=208889","Увеличить")</f>
        <v>Увеличить</v>
      </c>
      <c r="D2554" s="3" t="s">
        <v>5116</v>
      </c>
      <c r="E2554" s="3"/>
      <c r="F2554" s="3" t="s">
        <v>5121</v>
      </c>
      <c r="G2554" s="3" t="s">
        <v>621</v>
      </c>
      <c r="H2554" s="3">
        <v>0.5</v>
      </c>
      <c r="I2554" s="3">
        <v>0</v>
      </c>
      <c r="J2554" s="3" t="s">
        <v>18</v>
      </c>
      <c r="K2554" s="5">
        <v>0.06</v>
      </c>
      <c r="L2554" s="6">
        <v>0</v>
      </c>
      <c r="M2554" s="7" t="s">
        <v>5119</v>
      </c>
      <c r="N2554" s="8">
        <f>VLOOKUP(B2554,'[1]новый без картинок'!$A$5:$F$2672,6,0)</f>
        <v>582</v>
      </c>
    </row>
    <row r="2555" spans="1:14" ht="157.5" customHeight="1" x14ac:dyDescent="0.2">
      <c r="A2555" s="3">
        <v>2553</v>
      </c>
      <c r="B2555" s="3">
        <v>203540</v>
      </c>
      <c r="C2555" s="4" t="str">
        <f>HYPERLINK("http://optservis.net:5080/photo?tov_code_internet=203540","Увеличить")</f>
        <v>Увеличить</v>
      </c>
      <c r="D2555" s="3" t="s">
        <v>5116</v>
      </c>
      <c r="E2555" s="3"/>
      <c r="F2555" s="3" t="s">
        <v>5122</v>
      </c>
      <c r="G2555" s="3" t="s">
        <v>621</v>
      </c>
      <c r="H2555" s="3">
        <v>0.5</v>
      </c>
      <c r="I2555" s="3">
        <v>0</v>
      </c>
      <c r="J2555" s="3" t="s">
        <v>18</v>
      </c>
      <c r="K2555" s="5">
        <v>0.05</v>
      </c>
      <c r="L2555" s="6">
        <v>0</v>
      </c>
      <c r="M2555" s="7" t="s">
        <v>5117</v>
      </c>
      <c r="N2555" s="8">
        <f>VLOOKUP(B2555,'[1]новый без картинок'!$A$5:$F$2672,6,0)</f>
        <v>577</v>
      </c>
    </row>
    <row r="2556" spans="1:14" ht="157.5" customHeight="1" x14ac:dyDescent="0.2">
      <c r="A2556" s="3">
        <v>2554</v>
      </c>
      <c r="B2556" s="3">
        <v>200989</v>
      </c>
      <c r="C2556" s="4" t="str">
        <f>HYPERLINK("http://optservis.net:5080/photo?tov_code_internet=200989","Увеличить")</f>
        <v>Увеличить</v>
      </c>
      <c r="D2556" s="3" t="s">
        <v>5116</v>
      </c>
      <c r="E2556" s="3"/>
      <c r="F2556" s="3" t="s">
        <v>5123</v>
      </c>
      <c r="G2556" s="3" t="s">
        <v>621</v>
      </c>
      <c r="H2556" s="3">
        <v>0.5</v>
      </c>
      <c r="I2556" s="3">
        <v>0</v>
      </c>
      <c r="J2556" s="3" t="s">
        <v>18</v>
      </c>
      <c r="K2556" s="5">
        <v>0.06</v>
      </c>
      <c r="L2556" s="6">
        <v>0</v>
      </c>
      <c r="M2556" s="7" t="s">
        <v>5124</v>
      </c>
      <c r="N2556" s="8">
        <f>VLOOKUP(B2556,'[1]новый без картинок'!$A$5:$F$2672,6,0)</f>
        <v>588</v>
      </c>
    </row>
    <row r="2557" spans="1:14" ht="157.5" customHeight="1" x14ac:dyDescent="0.2">
      <c r="A2557" s="3">
        <v>2555</v>
      </c>
      <c r="B2557" s="3">
        <v>200994</v>
      </c>
      <c r="C2557" s="4" t="str">
        <f>HYPERLINK("http://optservis.net:5080/photo?tov_code_internet=200994","Увеличить")</f>
        <v>Увеличить</v>
      </c>
      <c r="D2557" s="3" t="s">
        <v>5116</v>
      </c>
      <c r="E2557" s="3" t="s">
        <v>5125</v>
      </c>
      <c r="F2557" s="3" t="s">
        <v>5126</v>
      </c>
      <c r="G2557" s="3" t="s">
        <v>621</v>
      </c>
      <c r="H2557" s="3">
        <v>0.5</v>
      </c>
      <c r="I2557" s="3">
        <v>0</v>
      </c>
      <c r="J2557" s="3" t="s">
        <v>18</v>
      </c>
      <c r="K2557" s="5">
        <v>0.06</v>
      </c>
      <c r="L2557" s="6">
        <v>4690654016432</v>
      </c>
      <c r="M2557" s="7" t="s">
        <v>5124</v>
      </c>
      <c r="N2557" s="8">
        <f>VLOOKUP(B2557,'[1]новый без картинок'!$A$5:$F$2672,6,0)</f>
        <v>580</v>
      </c>
    </row>
    <row r="2558" spans="1:14" ht="151.15" customHeight="1" x14ac:dyDescent="0.2">
      <c r="A2558" s="3">
        <v>2556</v>
      </c>
      <c r="B2558" s="3">
        <v>145681</v>
      </c>
      <c r="C2558" s="4" t="str">
        <f>HYPERLINK("http://optservis.net:5080/photo?tov_code_internet=145681","Увеличить")</f>
        <v>Увеличить</v>
      </c>
      <c r="D2558" s="3" t="s">
        <v>5127</v>
      </c>
      <c r="E2558" s="3"/>
      <c r="F2558" s="3" t="s">
        <v>5128</v>
      </c>
      <c r="G2558" s="3" t="s">
        <v>31</v>
      </c>
      <c r="H2558" s="3">
        <v>0.5</v>
      </c>
      <c r="I2558" s="3">
        <v>0</v>
      </c>
      <c r="J2558" s="3" t="s">
        <v>18</v>
      </c>
      <c r="K2558" s="5">
        <v>0.06</v>
      </c>
      <c r="L2558" s="6">
        <v>0</v>
      </c>
      <c r="M2558" s="7" t="s">
        <v>5129</v>
      </c>
      <c r="N2558" s="8">
        <f>VLOOKUP(B2558,'[1]новый без картинок'!$A$5:$F$2672,6,0)</f>
        <v>1775</v>
      </c>
    </row>
    <row r="2559" spans="1:14" ht="157.5" customHeight="1" x14ac:dyDescent="0.2">
      <c r="A2559" s="3">
        <v>2557</v>
      </c>
      <c r="B2559" s="3">
        <v>196195</v>
      </c>
      <c r="C2559" s="4" t="str">
        <f>HYPERLINK("http://optservis.net:5080/photo?tov_code_internet=196195","Увеличить")</f>
        <v>Увеличить</v>
      </c>
      <c r="D2559" s="3" t="s">
        <v>5130</v>
      </c>
      <c r="E2559" s="3"/>
      <c r="F2559" s="3" t="s">
        <v>5131</v>
      </c>
      <c r="G2559" s="3" t="s">
        <v>625</v>
      </c>
      <c r="H2559" s="3">
        <v>0.5</v>
      </c>
      <c r="I2559" s="3">
        <v>0</v>
      </c>
      <c r="J2559" s="3" t="s">
        <v>18</v>
      </c>
      <c r="K2559" s="5">
        <v>0.08</v>
      </c>
      <c r="L2559" s="6">
        <v>0</v>
      </c>
      <c r="M2559" s="7" t="s">
        <v>5132</v>
      </c>
      <c r="N2559" s="8">
        <f>VLOOKUP(B2559,'[1]новый без картинок'!$A$5:$F$2672,6,0)</f>
        <v>1205</v>
      </c>
    </row>
    <row r="2560" spans="1:14" ht="157.5" customHeight="1" x14ac:dyDescent="0.2">
      <c r="A2560" s="3">
        <v>2558</v>
      </c>
      <c r="B2560" s="3">
        <v>196201</v>
      </c>
      <c r="C2560" s="4" t="str">
        <f>HYPERLINK("http://optservis.net:5080/photo?tov_code_internet=196201","Увеличить")</f>
        <v>Увеличить</v>
      </c>
      <c r="D2560" s="3" t="s">
        <v>5130</v>
      </c>
      <c r="E2560" s="3"/>
      <c r="F2560" s="3" t="s">
        <v>5133</v>
      </c>
      <c r="G2560" s="3" t="s">
        <v>625</v>
      </c>
      <c r="H2560" s="3">
        <v>0.5</v>
      </c>
      <c r="I2560" s="3">
        <v>0</v>
      </c>
      <c r="J2560" s="3" t="s">
        <v>18</v>
      </c>
      <c r="K2560" s="5">
        <v>0.08</v>
      </c>
      <c r="L2560" s="6">
        <v>0</v>
      </c>
      <c r="M2560" s="7" t="s">
        <v>5132</v>
      </c>
      <c r="N2560" s="8">
        <f>VLOOKUP(B2560,'[1]новый без картинок'!$A$5:$F$2672,6,0)</f>
        <v>1197</v>
      </c>
    </row>
    <row r="2561" spans="1:14" ht="157.5" customHeight="1" x14ac:dyDescent="0.2">
      <c r="A2561" s="3">
        <v>2559</v>
      </c>
      <c r="B2561" s="3">
        <v>196196</v>
      </c>
      <c r="C2561" s="4" t="str">
        <f>HYPERLINK("http://optservis.net:5080/photo?tov_code_internet=196196","Увеличить")</f>
        <v>Увеличить</v>
      </c>
      <c r="D2561" s="3" t="s">
        <v>5130</v>
      </c>
      <c r="E2561" s="3"/>
      <c r="F2561" s="3" t="s">
        <v>5134</v>
      </c>
      <c r="G2561" s="3" t="s">
        <v>625</v>
      </c>
      <c r="H2561" s="3">
        <v>0.5</v>
      </c>
      <c r="I2561" s="3">
        <v>0</v>
      </c>
      <c r="J2561" s="3" t="s">
        <v>18</v>
      </c>
      <c r="K2561" s="5">
        <v>0.08</v>
      </c>
      <c r="L2561" s="6">
        <v>0</v>
      </c>
      <c r="M2561" s="7" t="s">
        <v>5132</v>
      </c>
      <c r="N2561" s="8">
        <f>VLOOKUP(B2561,'[1]новый без картинок'!$A$5:$F$2672,6,0)</f>
        <v>1206</v>
      </c>
    </row>
    <row r="2562" spans="1:14" ht="157.5" customHeight="1" x14ac:dyDescent="0.2">
      <c r="A2562" s="3">
        <v>2560</v>
      </c>
      <c r="B2562" s="3">
        <v>196212</v>
      </c>
      <c r="C2562" s="4" t="str">
        <f>HYPERLINK("http://optservis.net:5080/photo?tov_code_internet=196212","Увеличить")</f>
        <v>Увеличить</v>
      </c>
      <c r="D2562" s="3" t="s">
        <v>5130</v>
      </c>
      <c r="E2562" s="3"/>
      <c r="F2562" s="3" t="s">
        <v>5135</v>
      </c>
      <c r="G2562" s="3" t="s">
        <v>625</v>
      </c>
      <c r="H2562" s="3">
        <v>0.5</v>
      </c>
      <c r="I2562" s="3">
        <v>0</v>
      </c>
      <c r="J2562" s="3" t="s">
        <v>18</v>
      </c>
      <c r="K2562" s="5">
        <v>0.08</v>
      </c>
      <c r="L2562" s="6">
        <v>0</v>
      </c>
      <c r="M2562" s="7" t="s">
        <v>5091</v>
      </c>
      <c r="N2562" s="8">
        <f>VLOOKUP(B2562,'[1]новый без картинок'!$A$5:$F$2672,6,0)</f>
        <v>1122</v>
      </c>
    </row>
    <row r="2563" spans="1:14" ht="157.5" customHeight="1" x14ac:dyDescent="0.2">
      <c r="A2563" s="3">
        <v>2561</v>
      </c>
      <c r="B2563" s="3">
        <v>196206</v>
      </c>
      <c r="C2563" s="4" t="str">
        <f>HYPERLINK("http://optservis.net:5080/photo?tov_code_internet=196206","Увеличить")</f>
        <v>Увеличить</v>
      </c>
      <c r="D2563" s="3" t="s">
        <v>5136</v>
      </c>
      <c r="E2563" s="3"/>
      <c r="F2563" s="3" t="s">
        <v>5137</v>
      </c>
      <c r="G2563" s="3" t="s">
        <v>625</v>
      </c>
      <c r="H2563" s="3">
        <v>0.5</v>
      </c>
      <c r="I2563" s="3">
        <v>0</v>
      </c>
      <c r="J2563" s="3" t="s">
        <v>18</v>
      </c>
      <c r="K2563" s="5">
        <v>0.08</v>
      </c>
      <c r="L2563" s="6">
        <v>0</v>
      </c>
      <c r="M2563" s="7" t="s">
        <v>5138</v>
      </c>
      <c r="N2563" s="8">
        <f>VLOOKUP(B2563,'[1]новый без картинок'!$A$5:$F$2672,6,0)</f>
        <v>1524</v>
      </c>
    </row>
    <row r="2564" spans="1:14" ht="157.5" customHeight="1" x14ac:dyDescent="0.2">
      <c r="A2564" s="3">
        <v>2562</v>
      </c>
      <c r="B2564" s="3">
        <v>196207</v>
      </c>
      <c r="C2564" s="4" t="str">
        <f>HYPERLINK("http://optservis.net:5080/photo?tov_code_internet=196207","Увеличить")</f>
        <v>Увеличить</v>
      </c>
      <c r="D2564" s="3" t="s">
        <v>5136</v>
      </c>
      <c r="E2564" s="3"/>
      <c r="F2564" s="3" t="s">
        <v>5139</v>
      </c>
      <c r="G2564" s="3" t="s">
        <v>625</v>
      </c>
      <c r="H2564" s="3">
        <v>0.5</v>
      </c>
      <c r="I2564" s="3">
        <v>0</v>
      </c>
      <c r="J2564" s="3" t="s">
        <v>18</v>
      </c>
      <c r="K2564" s="5">
        <v>0.08</v>
      </c>
      <c r="L2564" s="6">
        <v>0</v>
      </c>
      <c r="M2564" s="7" t="s">
        <v>5138</v>
      </c>
      <c r="N2564" s="8">
        <f>VLOOKUP(B2564,'[1]новый без картинок'!$A$5:$F$2672,6,0)</f>
        <v>1507</v>
      </c>
    </row>
    <row r="2565" spans="1:14" ht="151.15" customHeight="1" x14ac:dyDescent="0.2">
      <c r="A2565" s="3">
        <v>2563</v>
      </c>
      <c r="B2565" s="3">
        <v>148606</v>
      </c>
      <c r="C2565" s="4" t="str">
        <f>HYPERLINK("http://optservis.net:5080/photo?tov_code_internet=148606","Увеличить")</f>
        <v>Увеличить</v>
      </c>
      <c r="D2565" s="3" t="s">
        <v>5140</v>
      </c>
      <c r="E2565" s="3"/>
      <c r="F2565" s="3" t="s">
        <v>628</v>
      </c>
      <c r="G2565" s="3" t="s">
        <v>625</v>
      </c>
      <c r="H2565" s="3">
        <v>0.5</v>
      </c>
      <c r="I2565" s="3">
        <v>0</v>
      </c>
      <c r="J2565" s="3" t="s">
        <v>18</v>
      </c>
      <c r="K2565" s="5">
        <v>7.0000000000000007E-2</v>
      </c>
      <c r="L2565" s="6">
        <v>0</v>
      </c>
      <c r="M2565" s="7" t="s">
        <v>5141</v>
      </c>
      <c r="N2565" s="8">
        <f>VLOOKUP(B2565,'[1]новый без картинок'!$A$5:$F$2672,6,0)</f>
        <v>1239</v>
      </c>
    </row>
    <row r="2566" spans="1:14" ht="157.5" customHeight="1" x14ac:dyDescent="0.2">
      <c r="A2566" s="3">
        <v>2564</v>
      </c>
      <c r="B2566" s="3">
        <v>193398</v>
      </c>
      <c r="C2566" s="4" t="str">
        <f>HYPERLINK("http://optservis.net:5080/photo?tov_code_internet=193398","Увеличить")</f>
        <v>Увеличить</v>
      </c>
      <c r="D2566" s="3" t="s">
        <v>5142</v>
      </c>
      <c r="E2566" s="3" t="s">
        <v>4674</v>
      </c>
      <c r="F2566" s="3" t="s">
        <v>4630</v>
      </c>
      <c r="G2566" s="3" t="s">
        <v>175</v>
      </c>
      <c r="H2566" s="3">
        <v>0.33300000000000002</v>
      </c>
      <c r="I2566" s="3">
        <v>0</v>
      </c>
      <c r="J2566" s="3" t="s">
        <v>18</v>
      </c>
      <c r="K2566" s="5">
        <v>0.03</v>
      </c>
      <c r="L2566" s="6">
        <v>4690654019624</v>
      </c>
      <c r="M2566" s="7" t="s">
        <v>5143</v>
      </c>
      <c r="N2566" s="8">
        <f>VLOOKUP(B2566,'[1]новый без картинок'!$A$5:$F$2672,6,0)</f>
        <v>282</v>
      </c>
    </row>
    <row r="2567" spans="1:14" ht="157.5" customHeight="1" x14ac:dyDescent="0.2">
      <c r="A2567" s="3">
        <v>2565</v>
      </c>
      <c r="B2567" s="3">
        <v>191180</v>
      </c>
      <c r="C2567" s="4" t="str">
        <f>HYPERLINK("http://optservis.net:5080/photo?tov_code_internet=191180","Увеличить")</f>
        <v>Увеличить</v>
      </c>
      <c r="D2567" s="3" t="s">
        <v>5144</v>
      </c>
      <c r="E2567" s="3"/>
      <c r="F2567" s="3" t="s">
        <v>5145</v>
      </c>
      <c r="G2567" s="3" t="s">
        <v>502</v>
      </c>
      <c r="H2567" s="3">
        <v>0.2</v>
      </c>
      <c r="I2567" s="3">
        <v>0</v>
      </c>
      <c r="J2567" s="3" t="s">
        <v>18</v>
      </c>
      <c r="K2567" s="5">
        <v>0.02</v>
      </c>
      <c r="L2567" s="6">
        <v>0</v>
      </c>
      <c r="M2567" s="7" t="s">
        <v>5146</v>
      </c>
      <c r="N2567" s="8">
        <f>VLOOKUP(B2567,'[1]новый без картинок'!$A$5:$F$2672,6,0)</f>
        <v>472</v>
      </c>
    </row>
    <row r="2568" spans="1:14" ht="157.5" customHeight="1" x14ac:dyDescent="0.2">
      <c r="A2568" s="3">
        <v>2566</v>
      </c>
      <c r="B2568" s="3">
        <v>191181</v>
      </c>
      <c r="C2568" s="4" t="str">
        <f>HYPERLINK("http://optservis.net:5080/photo?tov_code_internet=191181","Увеличить")</f>
        <v>Увеличить</v>
      </c>
      <c r="D2568" s="3" t="s">
        <v>5147</v>
      </c>
      <c r="E2568" s="3"/>
      <c r="F2568" s="3" t="s">
        <v>506</v>
      </c>
      <c r="G2568" s="3" t="s">
        <v>502</v>
      </c>
      <c r="H2568" s="3">
        <v>0.33300000000000002</v>
      </c>
      <c r="I2568" s="3">
        <v>0</v>
      </c>
      <c r="J2568" s="3" t="s">
        <v>18</v>
      </c>
      <c r="K2568" s="5">
        <v>0.02</v>
      </c>
      <c r="L2568" s="6">
        <v>0</v>
      </c>
      <c r="M2568" s="7" t="s">
        <v>5148</v>
      </c>
      <c r="N2568" s="8">
        <f>VLOOKUP(B2568,'[1]новый без картинок'!$A$5:$F$2672,6,0)</f>
        <v>451</v>
      </c>
    </row>
    <row r="2569" spans="1:14" ht="157.5" customHeight="1" x14ac:dyDescent="0.2">
      <c r="A2569" s="3">
        <v>2567</v>
      </c>
      <c r="B2569" s="3">
        <v>191182</v>
      </c>
      <c r="C2569" s="4" t="str">
        <f>HYPERLINK("http://optservis.net:5080/photo?tov_code_internet=191182","Увеличить")</f>
        <v>Увеличить</v>
      </c>
      <c r="D2569" s="3" t="s">
        <v>5149</v>
      </c>
      <c r="E2569" s="3"/>
      <c r="F2569" s="3" t="s">
        <v>5150</v>
      </c>
      <c r="G2569" s="3" t="s">
        <v>621</v>
      </c>
      <c r="H2569" s="3">
        <v>0.2</v>
      </c>
      <c r="I2569" s="3">
        <v>0</v>
      </c>
      <c r="J2569" s="3" t="s">
        <v>18</v>
      </c>
      <c r="K2569" s="5">
        <v>0.01</v>
      </c>
      <c r="L2569" s="6">
        <v>0</v>
      </c>
      <c r="M2569" s="7" t="s">
        <v>5151</v>
      </c>
      <c r="N2569" s="8">
        <f>VLOOKUP(B2569,'[1]новый без картинок'!$A$5:$F$2672,6,0)</f>
        <v>595</v>
      </c>
    </row>
    <row r="2570" spans="1:14" ht="157.5" customHeight="1" x14ac:dyDescent="0.2">
      <c r="A2570" s="3">
        <v>2568</v>
      </c>
      <c r="B2570" s="3">
        <v>191183</v>
      </c>
      <c r="C2570" s="4" t="str">
        <f>HYPERLINK("http://optservis.net:5080/photo?tov_code_internet=191183","Увеличить")</f>
        <v>Увеличить</v>
      </c>
      <c r="D2570" s="3" t="s">
        <v>5152</v>
      </c>
      <c r="E2570" s="3"/>
      <c r="F2570" s="3" t="s">
        <v>506</v>
      </c>
      <c r="G2570" s="3" t="s">
        <v>502</v>
      </c>
      <c r="H2570" s="3">
        <v>0.2</v>
      </c>
      <c r="I2570" s="3">
        <v>0</v>
      </c>
      <c r="J2570" s="3" t="s">
        <v>18</v>
      </c>
      <c r="K2570" s="5">
        <v>0.02</v>
      </c>
      <c r="L2570" s="6">
        <v>0</v>
      </c>
      <c r="M2570" s="7" t="s">
        <v>5153</v>
      </c>
      <c r="N2570" s="8">
        <f>VLOOKUP(B2570,'[1]новый без картинок'!$A$5:$F$2672,6,0)</f>
        <v>493</v>
      </c>
    </row>
    <row r="2571" spans="1:14" ht="157.5" customHeight="1" x14ac:dyDescent="0.2">
      <c r="A2571" s="3">
        <v>2569</v>
      </c>
      <c r="B2571" s="3">
        <v>191171</v>
      </c>
      <c r="C2571" s="4" t="str">
        <f>HYPERLINK("http://optservis.net:5080/photo?tov_code_internet=191171","Увеличить")</f>
        <v>Увеличить</v>
      </c>
      <c r="D2571" s="3" t="s">
        <v>5154</v>
      </c>
      <c r="E2571" s="3"/>
      <c r="F2571" s="3" t="s">
        <v>5155</v>
      </c>
      <c r="G2571" s="3" t="s">
        <v>502</v>
      </c>
      <c r="H2571" s="3">
        <v>0.33300000000000002</v>
      </c>
      <c r="I2571" s="3">
        <v>0</v>
      </c>
      <c r="J2571" s="3" t="s">
        <v>18</v>
      </c>
      <c r="K2571" s="5">
        <v>0.1</v>
      </c>
      <c r="L2571" s="6">
        <v>0</v>
      </c>
      <c r="M2571" s="7" t="s">
        <v>5156</v>
      </c>
      <c r="N2571" s="8">
        <f>VLOOKUP(B2571,'[1]новый без картинок'!$A$5:$F$2672,6,0)</f>
        <v>387</v>
      </c>
    </row>
    <row r="2572" spans="1:14" ht="157.5" customHeight="1" x14ac:dyDescent="0.2">
      <c r="A2572" s="3">
        <v>2570</v>
      </c>
      <c r="B2572" s="3">
        <v>191172</v>
      </c>
      <c r="C2572" s="4" t="str">
        <f>HYPERLINK("http://optservis.net:5080/photo?tov_code_internet=191172","Увеличить")</f>
        <v>Увеличить</v>
      </c>
      <c r="D2572" s="3" t="s">
        <v>5154</v>
      </c>
      <c r="E2572" s="3" t="s">
        <v>4824</v>
      </c>
      <c r="F2572" s="3" t="s">
        <v>506</v>
      </c>
      <c r="G2572" s="3" t="s">
        <v>502</v>
      </c>
      <c r="H2572" s="3">
        <v>0.33300000000000002</v>
      </c>
      <c r="I2572" s="3">
        <v>0</v>
      </c>
      <c r="J2572" s="3" t="s">
        <v>18</v>
      </c>
      <c r="K2572" s="5">
        <v>0.1</v>
      </c>
      <c r="L2572" s="6">
        <v>4690654015763</v>
      </c>
      <c r="M2572" s="7" t="s">
        <v>5156</v>
      </c>
      <c r="N2572" s="8">
        <f>VLOOKUP(B2572,'[1]новый без картинок'!$A$5:$F$2672,6,0)</f>
        <v>384</v>
      </c>
    </row>
    <row r="2573" spans="1:14" ht="157.5" customHeight="1" x14ac:dyDescent="0.2">
      <c r="A2573" s="3">
        <v>2571</v>
      </c>
      <c r="B2573" s="3">
        <v>191185</v>
      </c>
      <c r="C2573" s="4" t="str">
        <f>HYPERLINK("http://optservis.net:5080/photo?tov_code_internet=191185","Увеличить")</f>
        <v>Увеличить</v>
      </c>
      <c r="D2573" s="3" t="s">
        <v>5157</v>
      </c>
      <c r="E2573" s="3"/>
      <c r="F2573" s="3" t="s">
        <v>5158</v>
      </c>
      <c r="G2573" s="3" t="s">
        <v>502</v>
      </c>
      <c r="H2573" s="3">
        <v>0.33300000000000002</v>
      </c>
      <c r="I2573" s="3">
        <v>0</v>
      </c>
      <c r="J2573" s="3" t="s">
        <v>18</v>
      </c>
      <c r="K2573" s="5">
        <v>7.0000000000000007E-2</v>
      </c>
      <c r="L2573" s="6">
        <v>0</v>
      </c>
      <c r="M2573" s="7" t="s">
        <v>5159</v>
      </c>
      <c r="N2573" s="8">
        <f>VLOOKUP(B2573,'[1]новый без картинок'!$A$5:$F$2672,6,0)</f>
        <v>495</v>
      </c>
    </row>
    <row r="2574" spans="1:14" ht="157.5" customHeight="1" x14ac:dyDescent="0.2">
      <c r="A2574" s="3">
        <v>2572</v>
      </c>
      <c r="B2574" s="3">
        <v>191184</v>
      </c>
      <c r="C2574" s="4" t="str">
        <f>HYPERLINK("http://optservis.net:5080/photo?tov_code_internet=191184","Увеличить")</f>
        <v>Увеличить</v>
      </c>
      <c r="D2574" s="3" t="s">
        <v>5160</v>
      </c>
      <c r="E2574" s="3"/>
      <c r="F2574" s="3" t="s">
        <v>506</v>
      </c>
      <c r="G2574" s="3" t="s">
        <v>502</v>
      </c>
      <c r="H2574" s="3">
        <v>0.33300000000000002</v>
      </c>
      <c r="I2574" s="3">
        <v>0</v>
      </c>
      <c r="J2574" s="3" t="s">
        <v>18</v>
      </c>
      <c r="K2574" s="5">
        <v>0.09</v>
      </c>
      <c r="L2574" s="6">
        <v>0</v>
      </c>
      <c r="M2574" s="7" t="s">
        <v>5161</v>
      </c>
      <c r="N2574" s="8">
        <f>VLOOKUP(B2574,'[1]новый без картинок'!$A$5:$F$2672,6,0)</f>
        <v>477</v>
      </c>
    </row>
    <row r="2575" spans="1:14" ht="157.5" customHeight="1" x14ac:dyDescent="0.2">
      <c r="A2575" s="3">
        <v>2573</v>
      </c>
      <c r="B2575" s="3">
        <v>191173</v>
      </c>
      <c r="C2575" s="4" t="str">
        <f>HYPERLINK("http://optservis.net:5080/photo?tov_code_internet=191173","Увеличить")</f>
        <v>Увеличить</v>
      </c>
      <c r="D2575" s="3" t="s">
        <v>5162</v>
      </c>
      <c r="E2575" s="3"/>
      <c r="F2575" s="3" t="s">
        <v>5163</v>
      </c>
      <c r="G2575" s="3" t="s">
        <v>818</v>
      </c>
      <c r="H2575" s="3">
        <v>0.33300000000000002</v>
      </c>
      <c r="I2575" s="3">
        <v>0</v>
      </c>
      <c r="J2575" s="3" t="s">
        <v>18</v>
      </c>
      <c r="K2575" s="5">
        <v>0.08</v>
      </c>
      <c r="L2575" s="6">
        <v>0</v>
      </c>
      <c r="M2575" s="7" t="s">
        <v>5164</v>
      </c>
      <c r="N2575" s="8">
        <f>VLOOKUP(B2575,'[1]новый без картинок'!$A$5:$F$2672,6,0)</f>
        <v>420</v>
      </c>
    </row>
    <row r="2576" spans="1:14" ht="157.5" customHeight="1" x14ac:dyDescent="0.2">
      <c r="A2576" s="3">
        <v>2574</v>
      </c>
      <c r="B2576" s="3">
        <v>191174</v>
      </c>
      <c r="C2576" s="4" t="str">
        <f>HYPERLINK("http://optservis.net:5080/photo?tov_code_internet=191174","Увеличить")</f>
        <v>Увеличить</v>
      </c>
      <c r="D2576" s="3" t="s">
        <v>5162</v>
      </c>
      <c r="E2576" s="3"/>
      <c r="F2576" s="3" t="s">
        <v>5165</v>
      </c>
      <c r="G2576" s="3" t="s">
        <v>818</v>
      </c>
      <c r="H2576" s="3">
        <v>0.33300000000000002</v>
      </c>
      <c r="I2576" s="3">
        <v>0</v>
      </c>
      <c r="J2576" s="3" t="s">
        <v>18</v>
      </c>
      <c r="K2576" s="5">
        <v>0.08</v>
      </c>
      <c r="L2576" s="6">
        <v>0</v>
      </c>
      <c r="M2576" s="7" t="s">
        <v>5164</v>
      </c>
      <c r="N2576" s="8">
        <f>VLOOKUP(B2576,'[1]новый без картинок'!$A$5:$F$2672,6,0)</f>
        <v>420</v>
      </c>
    </row>
    <row r="2577" spans="1:14" ht="157.5" customHeight="1" x14ac:dyDescent="0.2">
      <c r="A2577" s="3">
        <v>2575</v>
      </c>
      <c r="B2577" s="3">
        <v>191177</v>
      </c>
      <c r="C2577" s="4" t="str">
        <f>HYPERLINK("http://optservis.net:5080/photo?tov_code_internet=191177","Увеличить")</f>
        <v>Увеличить</v>
      </c>
      <c r="D2577" s="3" t="s">
        <v>5166</v>
      </c>
      <c r="E2577" s="3"/>
      <c r="F2577" s="3" t="s">
        <v>506</v>
      </c>
      <c r="G2577" s="3" t="s">
        <v>502</v>
      </c>
      <c r="H2577" s="3">
        <v>0.33300000000000002</v>
      </c>
      <c r="I2577" s="3">
        <v>0</v>
      </c>
      <c r="J2577" s="3" t="s">
        <v>18</v>
      </c>
      <c r="K2577" s="5">
        <v>0.13</v>
      </c>
      <c r="L2577" s="6">
        <v>0</v>
      </c>
      <c r="M2577" s="7" t="s">
        <v>5167</v>
      </c>
      <c r="N2577" s="8">
        <f>VLOOKUP(B2577,'[1]новый без картинок'!$A$5:$F$2672,6,0)</f>
        <v>472</v>
      </c>
    </row>
    <row r="2578" spans="1:14" ht="157.5" customHeight="1" x14ac:dyDescent="0.2">
      <c r="A2578" s="3">
        <v>2576</v>
      </c>
      <c r="B2578" s="3">
        <v>191178</v>
      </c>
      <c r="C2578" s="4" t="str">
        <f>HYPERLINK("http://optservis.net:5080/photo?tov_code_internet=191178","Увеличить")</f>
        <v>Увеличить</v>
      </c>
      <c r="D2578" s="3" t="s">
        <v>5168</v>
      </c>
      <c r="E2578" s="3"/>
      <c r="F2578" s="3" t="s">
        <v>506</v>
      </c>
      <c r="G2578" s="3" t="s">
        <v>502</v>
      </c>
      <c r="H2578" s="3">
        <v>0.33300000000000002</v>
      </c>
      <c r="I2578" s="3">
        <v>0</v>
      </c>
      <c r="J2578" s="3" t="s">
        <v>18</v>
      </c>
      <c r="K2578" s="5">
        <v>0.04</v>
      </c>
      <c r="L2578" s="6">
        <v>0</v>
      </c>
      <c r="M2578" s="7" t="s">
        <v>5169</v>
      </c>
      <c r="N2578" s="8">
        <f>VLOOKUP(B2578,'[1]новый без картинок'!$A$5:$F$2672,6,0)</f>
        <v>779</v>
      </c>
    </row>
    <row r="2579" spans="1:14" ht="157.5" customHeight="1" x14ac:dyDescent="0.2">
      <c r="A2579" s="3">
        <v>2577</v>
      </c>
      <c r="B2579" s="3">
        <v>191179</v>
      </c>
      <c r="C2579" s="4" t="str">
        <f>HYPERLINK("http://optservis.net:5080/photo?tov_code_internet=191179","Увеличить")</f>
        <v>Увеличить</v>
      </c>
      <c r="D2579" s="3" t="s">
        <v>5170</v>
      </c>
      <c r="E2579" s="3"/>
      <c r="F2579" s="3" t="s">
        <v>5145</v>
      </c>
      <c r="G2579" s="3" t="s">
        <v>502</v>
      </c>
      <c r="H2579" s="3">
        <v>0.33300000000000002</v>
      </c>
      <c r="I2579" s="3">
        <v>0</v>
      </c>
      <c r="J2579" s="3" t="s">
        <v>18</v>
      </c>
      <c r="K2579" s="5">
        <v>0.03</v>
      </c>
      <c r="L2579" s="6">
        <v>0</v>
      </c>
      <c r="M2579" s="7" t="s">
        <v>5171</v>
      </c>
      <c r="N2579" s="8">
        <f>VLOOKUP(B2579,'[1]новый без картинок'!$A$5:$F$2672,6,0)</f>
        <v>393</v>
      </c>
    </row>
    <row r="2580" spans="1:14" ht="157.5" customHeight="1" x14ac:dyDescent="0.2">
      <c r="A2580" s="3">
        <v>2578</v>
      </c>
      <c r="B2580" s="3">
        <v>191175</v>
      </c>
      <c r="C2580" s="4" t="str">
        <f>HYPERLINK("http://optservis.net:5080/photo?tov_code_internet=191175","Увеличить")</f>
        <v>Увеличить</v>
      </c>
      <c r="D2580" s="3" t="s">
        <v>5172</v>
      </c>
      <c r="E2580" s="3"/>
      <c r="F2580" s="3" t="s">
        <v>5173</v>
      </c>
      <c r="G2580" s="3" t="s">
        <v>621</v>
      </c>
      <c r="H2580" s="3">
        <v>0.33300000000000002</v>
      </c>
      <c r="I2580" s="3">
        <v>0</v>
      </c>
      <c r="J2580" s="3" t="s">
        <v>18</v>
      </c>
      <c r="K2580" s="5">
        <v>0.03</v>
      </c>
      <c r="L2580" s="6">
        <v>0</v>
      </c>
      <c r="M2580" s="7" t="s">
        <v>5174</v>
      </c>
      <c r="N2580" s="8">
        <f>VLOOKUP(B2580,'[1]новый без картинок'!$A$5:$F$2672,6,0)</f>
        <v>586</v>
      </c>
    </row>
    <row r="2581" spans="1:14" ht="157.5" customHeight="1" x14ac:dyDescent="0.2">
      <c r="A2581" s="3">
        <v>2579</v>
      </c>
      <c r="B2581" s="3">
        <v>191176</v>
      </c>
      <c r="C2581" s="4" t="str">
        <f>HYPERLINK("http://optservis.net:5080/photo?tov_code_internet=191176","Увеличить")</f>
        <v>Увеличить</v>
      </c>
      <c r="D2581" s="3" t="s">
        <v>5172</v>
      </c>
      <c r="E2581" s="3"/>
      <c r="F2581" s="3" t="s">
        <v>5175</v>
      </c>
      <c r="G2581" s="3" t="s">
        <v>621</v>
      </c>
      <c r="H2581" s="3">
        <v>0.33300000000000002</v>
      </c>
      <c r="I2581" s="3">
        <v>0</v>
      </c>
      <c r="J2581" s="3" t="s">
        <v>18</v>
      </c>
      <c r="K2581" s="5">
        <v>0.03</v>
      </c>
      <c r="L2581" s="6">
        <v>0</v>
      </c>
      <c r="M2581" s="7" t="s">
        <v>5174</v>
      </c>
      <c r="N2581" s="8">
        <f>VLOOKUP(B2581,'[1]новый без картинок'!$A$5:$F$2672,6,0)</f>
        <v>579</v>
      </c>
    </row>
    <row r="2582" spans="1:14" ht="146.65" customHeight="1" x14ac:dyDescent="0.2">
      <c r="A2582" s="3">
        <v>2580</v>
      </c>
      <c r="B2582" s="3">
        <v>974465</v>
      </c>
      <c r="C2582" s="4" t="str">
        <f>HYPERLINK("http://optservis.net:5080/photo?tov_code_internet=974465","Увеличить")</f>
        <v>Увеличить</v>
      </c>
      <c r="D2582" s="3" t="s">
        <v>5176</v>
      </c>
      <c r="E2582" s="3" t="s">
        <v>5177</v>
      </c>
      <c r="F2582" s="3" t="s">
        <v>340</v>
      </c>
      <c r="G2582" s="3" t="s">
        <v>175</v>
      </c>
      <c r="H2582" s="3">
        <v>0.5</v>
      </c>
      <c r="I2582" s="3">
        <v>0</v>
      </c>
      <c r="J2582" s="3" t="s">
        <v>18</v>
      </c>
      <c r="K2582" s="5">
        <v>0.1</v>
      </c>
      <c r="L2582" s="6">
        <v>4690654014063</v>
      </c>
      <c r="M2582" s="7" t="s">
        <v>5178</v>
      </c>
      <c r="N2582" s="8">
        <f>VLOOKUP(B2582,'[1]новый без картинок'!$A$5:$F$2672,6,0)</f>
        <v>368</v>
      </c>
    </row>
    <row r="2583" spans="1:14" ht="149.44999999999999" customHeight="1" x14ac:dyDescent="0.2">
      <c r="A2583" s="3">
        <v>2581</v>
      </c>
      <c r="B2583" s="3">
        <v>974471</v>
      </c>
      <c r="C2583" s="4" t="str">
        <f>HYPERLINK("http://optservis.net:5080/photo?tov_code_internet=974471","Увеличить")</f>
        <v>Увеличить</v>
      </c>
      <c r="D2583" s="3" t="s">
        <v>5179</v>
      </c>
      <c r="E2583" s="3" t="s">
        <v>5180</v>
      </c>
      <c r="F2583" s="3" t="s">
        <v>5029</v>
      </c>
      <c r="G2583" s="3" t="s">
        <v>175</v>
      </c>
      <c r="H2583" s="3">
        <v>1</v>
      </c>
      <c r="I2583" s="3">
        <v>1</v>
      </c>
      <c r="J2583" s="3" t="s">
        <v>18</v>
      </c>
      <c r="K2583" s="5">
        <v>0.11</v>
      </c>
      <c r="L2583" s="6">
        <v>4690654015176</v>
      </c>
      <c r="M2583" s="7" t="s">
        <v>5181</v>
      </c>
      <c r="N2583" s="8">
        <f>VLOOKUP(B2583,'[1]новый без картинок'!$A$5:$F$2672,6,0)</f>
        <v>612</v>
      </c>
    </row>
    <row r="2584" spans="1:14" ht="151.15" customHeight="1" x14ac:dyDescent="0.2">
      <c r="A2584" s="3">
        <v>2582</v>
      </c>
      <c r="B2584" s="3">
        <v>180932</v>
      </c>
      <c r="C2584" s="4" t="str">
        <f>HYPERLINK("http://optservis.net:5080/photo?tov_code_internet=180932","Увеличить")</f>
        <v>Увеличить</v>
      </c>
      <c r="D2584" s="3" t="s">
        <v>5182</v>
      </c>
      <c r="E2584" s="3" t="s">
        <v>5183</v>
      </c>
      <c r="F2584" s="3" t="s">
        <v>5184</v>
      </c>
      <c r="G2584" s="3" t="s">
        <v>1469</v>
      </c>
      <c r="H2584" s="3">
        <v>0.5</v>
      </c>
      <c r="I2584" s="3">
        <v>0</v>
      </c>
      <c r="J2584" s="3" t="s">
        <v>781</v>
      </c>
      <c r="K2584" s="5">
        <v>0.25</v>
      </c>
      <c r="L2584" s="6">
        <v>4690654011413</v>
      </c>
      <c r="M2584" s="7" t="s">
        <v>5185</v>
      </c>
      <c r="N2584" s="8">
        <f>VLOOKUP(B2584,'[1]новый без картинок'!$A$5:$F$2672,6,0)</f>
        <v>1333</v>
      </c>
    </row>
    <row r="2585" spans="1:14" ht="163.9" customHeight="1" x14ac:dyDescent="0.2">
      <c r="A2585" s="3">
        <v>2583</v>
      </c>
      <c r="B2585" s="3">
        <v>180946</v>
      </c>
      <c r="C2585" s="4" t="str">
        <f>HYPERLINK("http://optservis.net:5080/photo?tov_code_internet=180946","Увеличить")</f>
        <v>Увеличить</v>
      </c>
      <c r="D2585" s="3" t="s">
        <v>5182</v>
      </c>
      <c r="E2585" s="3" t="s">
        <v>5183</v>
      </c>
      <c r="F2585" s="3" t="s">
        <v>5186</v>
      </c>
      <c r="G2585" s="3" t="s">
        <v>5187</v>
      </c>
      <c r="H2585" s="3">
        <v>0.5</v>
      </c>
      <c r="I2585" s="3">
        <v>0</v>
      </c>
      <c r="J2585" s="3" t="s">
        <v>781</v>
      </c>
      <c r="K2585" s="5">
        <v>0.26</v>
      </c>
      <c r="L2585" s="6">
        <v>4690654011420</v>
      </c>
      <c r="M2585" s="7" t="s">
        <v>5188</v>
      </c>
      <c r="N2585" s="8">
        <f>VLOOKUP(B2585,'[1]новый без картинок'!$A$5:$F$2672,6,0)</f>
        <v>1333</v>
      </c>
    </row>
    <row r="2586" spans="1:14" ht="151.15" customHeight="1" x14ac:dyDescent="0.2">
      <c r="A2586" s="3">
        <v>2584</v>
      </c>
      <c r="B2586" s="3">
        <v>180959</v>
      </c>
      <c r="C2586" s="4" t="str">
        <f>HYPERLINK("http://optservis.net:5080/photo?tov_code_internet=180959","Увеличить")</f>
        <v>Увеличить</v>
      </c>
      <c r="D2586" s="3" t="s">
        <v>5182</v>
      </c>
      <c r="E2586" s="3" t="s">
        <v>5183</v>
      </c>
      <c r="F2586" s="3" t="s">
        <v>731</v>
      </c>
      <c r="G2586" s="3" t="s">
        <v>5189</v>
      </c>
      <c r="H2586" s="3">
        <v>0.5</v>
      </c>
      <c r="I2586" s="3">
        <v>0</v>
      </c>
      <c r="J2586" s="3" t="s">
        <v>781</v>
      </c>
      <c r="K2586" s="5">
        <v>0.26</v>
      </c>
      <c r="L2586" s="6">
        <v>4690654012014</v>
      </c>
      <c r="M2586" s="7" t="s">
        <v>5190</v>
      </c>
      <c r="N2586" s="8">
        <f>VLOOKUP(B2586,'[1]новый без картинок'!$A$5:$F$2672,6,0)</f>
        <v>1333</v>
      </c>
    </row>
    <row r="2587" spans="1:14" ht="128.65" customHeight="1" x14ac:dyDescent="0.2">
      <c r="A2587" s="3">
        <v>2585</v>
      </c>
      <c r="B2587" s="3">
        <v>583794</v>
      </c>
      <c r="C2587" s="4" t="str">
        <f>HYPERLINK("http://optservis.net:5080/photo?tov_code_internet=583794","Увеличить")</f>
        <v>Увеличить</v>
      </c>
      <c r="D2587" s="3" t="s">
        <v>5191</v>
      </c>
      <c r="E2587" s="3"/>
      <c r="F2587" s="3" t="s">
        <v>68</v>
      </c>
      <c r="G2587" s="3" t="s">
        <v>17</v>
      </c>
      <c r="H2587" s="3">
        <v>5</v>
      </c>
      <c r="I2587" s="3">
        <v>1</v>
      </c>
      <c r="J2587" s="3" t="s">
        <v>18</v>
      </c>
      <c r="K2587" s="5">
        <v>0.12</v>
      </c>
      <c r="L2587" s="6">
        <v>4603001151465</v>
      </c>
      <c r="M2587" s="7" t="s">
        <v>5192</v>
      </c>
      <c r="N2587" s="8">
        <f>VLOOKUP(B2587,'[1]новый без картинок'!$A$5:$F$2672,6,0)</f>
        <v>21</v>
      </c>
    </row>
    <row r="2588" spans="1:14" ht="153" customHeight="1" x14ac:dyDescent="0.2">
      <c r="A2588" s="3">
        <v>2586</v>
      </c>
      <c r="B2588" s="3">
        <v>184414</v>
      </c>
      <c r="C2588" s="4" t="str">
        <f>HYPERLINK("http://optservis.net:5080/photo?tov_code_internet=184414","Увеличить")</f>
        <v>Увеличить</v>
      </c>
      <c r="D2588" s="3" t="s">
        <v>5193</v>
      </c>
      <c r="E2588" s="3" t="s">
        <v>5194</v>
      </c>
      <c r="F2588" s="3" t="s">
        <v>5195</v>
      </c>
      <c r="G2588" s="3" t="s">
        <v>17</v>
      </c>
      <c r="H2588" s="3">
        <v>1</v>
      </c>
      <c r="I2588" s="3">
        <v>1</v>
      </c>
      <c r="J2588" s="3" t="s">
        <v>18</v>
      </c>
      <c r="K2588" s="5">
        <v>0.02</v>
      </c>
      <c r="L2588" s="6">
        <v>4690654011956</v>
      </c>
      <c r="M2588" s="7" t="s">
        <v>5196</v>
      </c>
      <c r="N2588" s="8">
        <f>VLOOKUP(B2588,'[1]новый без картинок'!$A$5:$F$2672,6,0)</f>
        <v>140</v>
      </c>
    </row>
    <row r="2589" spans="1:14" ht="145.9" customHeight="1" x14ac:dyDescent="0.2">
      <c r="A2589" s="3">
        <v>2587</v>
      </c>
      <c r="B2589" s="3">
        <v>881449</v>
      </c>
      <c r="C2589" s="4" t="str">
        <f>HYPERLINK("http://optservis.net:5080/photo?tov_code_internet=881449","Увеличить")</f>
        <v>Увеличить</v>
      </c>
      <c r="D2589" s="3" t="s">
        <v>5197</v>
      </c>
      <c r="E2589" s="3" t="s">
        <v>5198</v>
      </c>
      <c r="F2589" s="3" t="s">
        <v>5199</v>
      </c>
      <c r="G2589" s="3" t="s">
        <v>665</v>
      </c>
      <c r="H2589" s="3">
        <v>4</v>
      </c>
      <c r="I2589" s="3">
        <v>1</v>
      </c>
      <c r="J2589" s="3" t="s">
        <v>18</v>
      </c>
      <c r="K2589" s="5">
        <v>0.09</v>
      </c>
      <c r="L2589" s="6">
        <v>4603001061559</v>
      </c>
      <c r="M2589" s="7" t="s">
        <v>5200</v>
      </c>
      <c r="N2589" s="8">
        <f>VLOOKUP(B2589,'[1]новый без картинок'!$A$5:$F$2672,6,0)</f>
        <v>118</v>
      </c>
    </row>
    <row r="2590" spans="1:14" ht="142.15" customHeight="1" x14ac:dyDescent="0.2">
      <c r="A2590" s="3">
        <v>2588</v>
      </c>
      <c r="B2590" s="3">
        <v>847446</v>
      </c>
      <c r="C2590" s="4" t="str">
        <f>HYPERLINK("http://optservis.net:5080/photo?tov_code_internet=847446","Увеличить")</f>
        <v>Увеличить</v>
      </c>
      <c r="D2590" s="3" t="s">
        <v>5201</v>
      </c>
      <c r="E2590" s="3" t="s">
        <v>5202</v>
      </c>
      <c r="F2590" s="3" t="s">
        <v>5203</v>
      </c>
      <c r="G2590" s="3" t="s">
        <v>665</v>
      </c>
      <c r="H2590" s="3">
        <v>3</v>
      </c>
      <c r="I2590" s="3">
        <v>1</v>
      </c>
      <c r="J2590" s="3" t="s">
        <v>18</v>
      </c>
      <c r="K2590" s="5">
        <v>0.1</v>
      </c>
      <c r="L2590" s="6">
        <v>4603001061542</v>
      </c>
      <c r="M2590" s="7" t="s">
        <v>5204</v>
      </c>
      <c r="N2590" s="8">
        <f>VLOOKUP(B2590,'[1]новый без картинок'!$A$5:$F$2672,6,0)</f>
        <v>156</v>
      </c>
    </row>
    <row r="2591" spans="1:14" ht="153" customHeight="1" x14ac:dyDescent="0.2">
      <c r="A2591" s="3">
        <v>2589</v>
      </c>
      <c r="B2591" s="3">
        <v>183720</v>
      </c>
      <c r="C2591" s="4" t="str">
        <f>HYPERLINK("http://optservis.net:5080/photo?tov_code_internet=183720","Увеличить")</f>
        <v>Увеличить</v>
      </c>
      <c r="D2591" s="3" t="s">
        <v>5205</v>
      </c>
      <c r="E2591" s="3" t="s">
        <v>5206</v>
      </c>
      <c r="F2591" s="3" t="s">
        <v>3614</v>
      </c>
      <c r="G2591" s="3" t="s">
        <v>502</v>
      </c>
      <c r="H2591" s="3">
        <v>1</v>
      </c>
      <c r="I2591" s="3">
        <v>1</v>
      </c>
      <c r="J2591" s="3" t="s">
        <v>18</v>
      </c>
      <c r="K2591" s="5">
        <v>0.03</v>
      </c>
      <c r="L2591" s="6">
        <v>4690654011932</v>
      </c>
      <c r="M2591" s="7" t="s">
        <v>5207</v>
      </c>
      <c r="N2591" s="8">
        <f>VLOOKUP(B2591,'[1]новый без картинок'!$A$5:$F$2672,6,0)</f>
        <v>163</v>
      </c>
    </row>
    <row r="2592" spans="1:14" ht="153" customHeight="1" x14ac:dyDescent="0.2">
      <c r="A2592" s="3">
        <v>2590</v>
      </c>
      <c r="B2592" s="3">
        <v>184412</v>
      </c>
      <c r="C2592" s="4" t="str">
        <f>HYPERLINK("http://optservis.net:5080/photo?tov_code_internet=184412","Увеличить")</f>
        <v>Увеличить</v>
      </c>
      <c r="D2592" s="3" t="s">
        <v>5208</v>
      </c>
      <c r="E2592" s="3" t="s">
        <v>5209</v>
      </c>
      <c r="F2592" s="3" t="s">
        <v>3614</v>
      </c>
      <c r="G2592" s="3" t="s">
        <v>502</v>
      </c>
      <c r="H2592" s="3">
        <v>1</v>
      </c>
      <c r="I2592" s="3">
        <v>1</v>
      </c>
      <c r="J2592" s="3" t="s">
        <v>18</v>
      </c>
      <c r="K2592" s="5">
        <v>0.02</v>
      </c>
      <c r="L2592" s="6">
        <v>4690654011949</v>
      </c>
      <c r="M2592" s="7" t="s">
        <v>5210</v>
      </c>
      <c r="N2592" s="8">
        <f>VLOOKUP(B2592,'[1]новый без картинок'!$A$5:$F$2672,6,0)</f>
        <v>129</v>
      </c>
    </row>
    <row r="2593" spans="1:14" ht="138.6" customHeight="1" x14ac:dyDescent="0.2">
      <c r="A2593" s="3">
        <v>2591</v>
      </c>
      <c r="B2593" s="3">
        <v>191693</v>
      </c>
      <c r="C2593" s="4" t="str">
        <f>HYPERLINK("http://optservis.net:5080/photo?tov_code_internet=191693","Увеличить")</f>
        <v>Увеличить</v>
      </c>
      <c r="D2593" s="3" t="s">
        <v>5211</v>
      </c>
      <c r="E2593" s="3" t="s">
        <v>5212</v>
      </c>
      <c r="F2593" s="3" t="s">
        <v>5213</v>
      </c>
      <c r="G2593" s="3" t="s">
        <v>5214</v>
      </c>
      <c r="H2593" s="3">
        <v>1</v>
      </c>
      <c r="I2593" s="3">
        <v>1</v>
      </c>
      <c r="J2593" s="3" t="s">
        <v>18</v>
      </c>
      <c r="K2593" s="5">
        <v>0.04</v>
      </c>
      <c r="L2593" s="6">
        <v>4690654013882</v>
      </c>
      <c r="M2593" s="7" t="s">
        <v>5215</v>
      </c>
      <c r="N2593" s="8">
        <f>VLOOKUP(B2593,'[1]новый без картинок'!$A$5:$F$2672,6,0)</f>
        <v>393</v>
      </c>
    </row>
    <row r="2594" spans="1:14" ht="138.6" customHeight="1" x14ac:dyDescent="0.2">
      <c r="A2594" s="3">
        <v>2592</v>
      </c>
      <c r="B2594" s="3">
        <v>191710</v>
      </c>
      <c r="C2594" s="4" t="str">
        <f>HYPERLINK("http://optservis.net:5080/photo?tov_code_internet=191710","Увеличить")</f>
        <v>Увеличить</v>
      </c>
      <c r="D2594" s="3" t="s">
        <v>5216</v>
      </c>
      <c r="E2594" s="3" t="s">
        <v>5217</v>
      </c>
      <c r="F2594" s="3" t="s">
        <v>5218</v>
      </c>
      <c r="G2594" s="3" t="s">
        <v>1349</v>
      </c>
      <c r="H2594" s="3">
        <v>1</v>
      </c>
      <c r="I2594" s="3">
        <v>1</v>
      </c>
      <c r="J2594" s="3" t="s">
        <v>18</v>
      </c>
      <c r="K2594" s="5">
        <v>0.03</v>
      </c>
      <c r="L2594" s="6">
        <v>4690654013905</v>
      </c>
      <c r="M2594" s="7" t="s">
        <v>5219</v>
      </c>
      <c r="N2594" s="8">
        <f>VLOOKUP(B2594,'[1]новый без картинок'!$A$5:$F$2672,6,0)</f>
        <v>662</v>
      </c>
    </row>
    <row r="2595" spans="1:14" ht="153" customHeight="1" x14ac:dyDescent="0.2">
      <c r="A2595" s="3">
        <v>2593</v>
      </c>
      <c r="B2595" s="3">
        <v>868690</v>
      </c>
      <c r="C2595" s="4" t="str">
        <f>HYPERLINK("http://optservis.net:5080/photo?tov_code_internet=868690","Увеличить")</f>
        <v>Увеличить</v>
      </c>
      <c r="D2595" s="3" t="s">
        <v>5220</v>
      </c>
      <c r="E2595" s="3" t="s">
        <v>5221</v>
      </c>
      <c r="F2595" s="3" t="s">
        <v>5222</v>
      </c>
      <c r="G2595" s="3" t="s">
        <v>110</v>
      </c>
      <c r="H2595" s="3">
        <v>8</v>
      </c>
      <c r="I2595" s="3">
        <v>1</v>
      </c>
      <c r="J2595" s="3" t="s">
        <v>18</v>
      </c>
      <c r="K2595" s="5">
        <v>0.08</v>
      </c>
      <c r="L2595" s="6">
        <v>4603001117041</v>
      </c>
      <c r="M2595" s="7" t="s">
        <v>5223</v>
      </c>
      <c r="N2595" s="8">
        <f>VLOOKUP(B2595,'[1]новый без картинок'!$A$5:$F$2672,6,0)</f>
        <v>48</v>
      </c>
    </row>
    <row r="2596" spans="1:14" ht="138.6" customHeight="1" x14ac:dyDescent="0.2">
      <c r="A2596" s="3">
        <v>2594</v>
      </c>
      <c r="B2596" s="3">
        <v>868696</v>
      </c>
      <c r="C2596" s="4" t="str">
        <f>HYPERLINK("http://optservis.net:5080/photo?tov_code_internet=868696","Увеличить")</f>
        <v>Увеличить</v>
      </c>
      <c r="D2596" s="3" t="s">
        <v>5224</v>
      </c>
      <c r="E2596" s="3" t="s">
        <v>5225</v>
      </c>
      <c r="F2596" s="3" t="s">
        <v>5222</v>
      </c>
      <c r="G2596" s="3" t="s">
        <v>110</v>
      </c>
      <c r="H2596" s="3">
        <v>1</v>
      </c>
      <c r="I2596" s="3">
        <v>1</v>
      </c>
      <c r="J2596" s="3" t="s">
        <v>18</v>
      </c>
      <c r="K2596" s="5">
        <v>7.0000000000000007E-2</v>
      </c>
      <c r="L2596" s="6">
        <v>4603001117072</v>
      </c>
      <c r="M2596" s="7" t="s">
        <v>5226</v>
      </c>
      <c r="N2596" s="8">
        <f>VLOOKUP(B2596,'[1]новый без картинок'!$A$5:$F$2672,6,0)</f>
        <v>285</v>
      </c>
    </row>
    <row r="2597" spans="1:14" ht="138.6" customHeight="1" x14ac:dyDescent="0.2">
      <c r="A2597" s="3">
        <v>2595</v>
      </c>
      <c r="B2597" s="3">
        <v>868692</v>
      </c>
      <c r="C2597" s="4" t="str">
        <f>HYPERLINK("http://optservis.net:5080/photo?tov_code_internet=868692","Увеличить")</f>
        <v>Увеличить</v>
      </c>
      <c r="D2597" s="3" t="s">
        <v>5227</v>
      </c>
      <c r="E2597" s="3" t="s">
        <v>5228</v>
      </c>
      <c r="F2597" s="3" t="s">
        <v>5222</v>
      </c>
      <c r="G2597" s="3" t="s">
        <v>110</v>
      </c>
      <c r="H2597" s="3">
        <v>1</v>
      </c>
      <c r="I2597" s="3">
        <v>1</v>
      </c>
      <c r="J2597" s="3" t="s">
        <v>18</v>
      </c>
      <c r="K2597" s="5">
        <v>0.03</v>
      </c>
      <c r="L2597" s="6">
        <v>4603001117058</v>
      </c>
      <c r="M2597" s="7" t="s">
        <v>5229</v>
      </c>
      <c r="N2597" s="8">
        <f>VLOOKUP(B2597,'[1]новый без картинок'!$A$5:$F$2672,6,0)</f>
        <v>185</v>
      </c>
    </row>
    <row r="2598" spans="1:14" ht="153" customHeight="1" x14ac:dyDescent="0.2">
      <c r="A2598" s="3">
        <v>2596</v>
      </c>
      <c r="B2598" s="3">
        <v>185710</v>
      </c>
      <c r="C2598" s="4" t="str">
        <f>HYPERLINK("http://optservis.net:5080/photo?tov_code_internet=185710","Увеличить")</f>
        <v>Увеличить</v>
      </c>
      <c r="D2598" s="3" t="s">
        <v>5230</v>
      </c>
      <c r="E2598" s="3" t="s">
        <v>5231</v>
      </c>
      <c r="F2598" s="3" t="s">
        <v>68</v>
      </c>
      <c r="G2598" s="3" t="s">
        <v>110</v>
      </c>
      <c r="H2598" s="3">
        <v>1</v>
      </c>
      <c r="I2598" s="3">
        <v>1</v>
      </c>
      <c r="J2598" s="3" t="s">
        <v>18</v>
      </c>
      <c r="K2598" s="5">
        <v>0.04</v>
      </c>
      <c r="L2598" s="6">
        <v>4690654011963</v>
      </c>
      <c r="M2598" s="7" t="s">
        <v>5232</v>
      </c>
      <c r="N2598" s="8">
        <f>VLOOKUP(B2598,'[1]новый без картинок'!$A$5:$F$2672,6,0)</f>
        <v>320</v>
      </c>
    </row>
    <row r="2599" spans="1:14" ht="153" customHeight="1" x14ac:dyDescent="0.2">
      <c r="A2599" s="3">
        <v>2597</v>
      </c>
      <c r="B2599" s="3">
        <v>185718</v>
      </c>
      <c r="C2599" s="4" t="str">
        <f>HYPERLINK("http://optservis.net:5080/photo?tov_code_internet=185718","Увеличить")</f>
        <v>Увеличить</v>
      </c>
      <c r="D2599" s="3" t="s">
        <v>5233</v>
      </c>
      <c r="E2599" s="3" t="s">
        <v>5234</v>
      </c>
      <c r="F2599" s="3" t="s">
        <v>68</v>
      </c>
      <c r="G2599" s="3" t="s">
        <v>110</v>
      </c>
      <c r="H2599" s="3">
        <v>1</v>
      </c>
      <c r="I2599" s="3">
        <v>1</v>
      </c>
      <c r="J2599" s="3" t="s">
        <v>18</v>
      </c>
      <c r="K2599" s="5">
        <v>0.02</v>
      </c>
      <c r="L2599" s="6">
        <v>4690654011970</v>
      </c>
      <c r="M2599" s="7" t="s">
        <v>5235</v>
      </c>
      <c r="N2599" s="8">
        <f>VLOOKUP(B2599,'[1]новый без картинок'!$A$5:$F$2672,6,0)</f>
        <v>199</v>
      </c>
    </row>
    <row r="2600" spans="1:14" ht="153" customHeight="1" x14ac:dyDescent="0.2">
      <c r="A2600" s="3">
        <v>2598</v>
      </c>
      <c r="B2600" s="3">
        <v>185721</v>
      </c>
      <c r="C2600" s="4" t="str">
        <f>HYPERLINK("http://optservis.net:5080/photo?tov_code_internet=185721","Увеличить")</f>
        <v>Увеличить</v>
      </c>
      <c r="D2600" s="3" t="s">
        <v>5236</v>
      </c>
      <c r="E2600" s="3" t="s">
        <v>5237</v>
      </c>
      <c r="F2600" s="3" t="s">
        <v>68</v>
      </c>
      <c r="G2600" s="3" t="s">
        <v>110</v>
      </c>
      <c r="H2600" s="3">
        <v>1</v>
      </c>
      <c r="I2600" s="3">
        <v>1</v>
      </c>
      <c r="J2600" s="3" t="s">
        <v>18</v>
      </c>
      <c r="K2600" s="5">
        <v>0.03</v>
      </c>
      <c r="L2600" s="6">
        <v>4690654011987</v>
      </c>
      <c r="M2600" s="7" t="s">
        <v>5238</v>
      </c>
      <c r="N2600" s="8">
        <f>VLOOKUP(B2600,'[1]новый без картинок'!$A$5:$F$2672,6,0)</f>
        <v>222</v>
      </c>
    </row>
    <row r="2601" spans="1:14" ht="138.6" customHeight="1" x14ac:dyDescent="0.2">
      <c r="A2601" s="3">
        <v>2599</v>
      </c>
      <c r="B2601" s="3">
        <v>857407</v>
      </c>
      <c r="C2601" s="4" t="str">
        <f>HYPERLINK("http://optservis.net:5080/photo?tov_code_internet=857407","Увеличить")</f>
        <v>Увеличить</v>
      </c>
      <c r="D2601" s="3" t="s">
        <v>5239</v>
      </c>
      <c r="E2601" s="3" t="s">
        <v>5240</v>
      </c>
      <c r="F2601" s="3" t="s">
        <v>4108</v>
      </c>
      <c r="G2601" s="3" t="s">
        <v>31</v>
      </c>
      <c r="H2601" s="3">
        <v>1</v>
      </c>
      <c r="I2601" s="3">
        <v>1</v>
      </c>
      <c r="J2601" s="3" t="s">
        <v>18</v>
      </c>
      <c r="K2601" s="5">
        <v>0.04</v>
      </c>
      <c r="L2601" s="6">
        <v>4603001073477</v>
      </c>
      <c r="M2601" s="7" t="s">
        <v>5241</v>
      </c>
      <c r="N2601" s="8">
        <f>VLOOKUP(B2601,'[1]новый без картинок'!$A$5:$F$2672,6,0)</f>
        <v>239</v>
      </c>
    </row>
    <row r="2602" spans="1:14" ht="138.6" customHeight="1" x14ac:dyDescent="0.2">
      <c r="A2602" s="3">
        <v>2600</v>
      </c>
      <c r="B2602" s="3">
        <v>857409</v>
      </c>
      <c r="C2602" s="4" t="str">
        <f>HYPERLINK("http://optservis.net:5080/photo?tov_code_internet=857409","Увеличить")</f>
        <v>Увеличить</v>
      </c>
      <c r="D2602" s="3" t="s">
        <v>5239</v>
      </c>
      <c r="E2602" s="3" t="s">
        <v>5240</v>
      </c>
      <c r="F2602" s="3" t="s">
        <v>4230</v>
      </c>
      <c r="G2602" s="3" t="s">
        <v>31</v>
      </c>
      <c r="H2602" s="3">
        <v>1</v>
      </c>
      <c r="I2602" s="3">
        <v>1</v>
      </c>
      <c r="J2602" s="3" t="s">
        <v>18</v>
      </c>
      <c r="K2602" s="5">
        <v>0.04</v>
      </c>
      <c r="L2602" s="6">
        <v>4603001073460</v>
      </c>
      <c r="M2602" s="7" t="s">
        <v>5242</v>
      </c>
      <c r="N2602" s="8">
        <f>VLOOKUP(B2602,'[1]новый без картинок'!$A$5:$F$2672,6,0)</f>
        <v>239</v>
      </c>
    </row>
    <row r="2603" spans="1:14" ht="138.6" customHeight="1" x14ac:dyDescent="0.2">
      <c r="A2603" s="3">
        <v>2601</v>
      </c>
      <c r="B2603" s="3">
        <v>191688</v>
      </c>
      <c r="C2603" s="4" t="str">
        <f>HYPERLINK("http://optservis.net:5080/photo?tov_code_internet=191688","Увеличить")</f>
        <v>Увеличить</v>
      </c>
      <c r="D2603" s="3" t="s">
        <v>5243</v>
      </c>
      <c r="E2603" s="3" t="s">
        <v>5244</v>
      </c>
      <c r="F2603" s="3" t="s">
        <v>5245</v>
      </c>
      <c r="G2603" s="3" t="s">
        <v>5246</v>
      </c>
      <c r="H2603" s="3">
        <v>1</v>
      </c>
      <c r="I2603" s="3">
        <v>1</v>
      </c>
      <c r="J2603" s="3" t="s">
        <v>18</v>
      </c>
      <c r="K2603" s="5">
        <v>0.02</v>
      </c>
      <c r="L2603" s="6">
        <v>4690654013837</v>
      </c>
      <c r="M2603" s="7" t="s">
        <v>5247</v>
      </c>
      <c r="N2603" s="8">
        <f>VLOOKUP(B2603,'[1]новый без картинок'!$A$5:$F$2672,6,0)</f>
        <v>313</v>
      </c>
    </row>
    <row r="2604" spans="1:14" ht="138.6" customHeight="1" x14ac:dyDescent="0.2">
      <c r="A2604" s="3">
        <v>2602</v>
      </c>
      <c r="B2604" s="3">
        <v>191689</v>
      </c>
      <c r="C2604" s="4" t="str">
        <f>HYPERLINK("http://optservis.net:5080/photo?tov_code_internet=191689","Увеличить")</f>
        <v>Увеличить</v>
      </c>
      <c r="D2604" s="3" t="s">
        <v>5248</v>
      </c>
      <c r="E2604" s="3" t="s">
        <v>5249</v>
      </c>
      <c r="F2604" s="3" t="s">
        <v>5250</v>
      </c>
      <c r="G2604" s="3" t="s">
        <v>5251</v>
      </c>
      <c r="H2604" s="3">
        <v>1</v>
      </c>
      <c r="I2604" s="3">
        <v>1</v>
      </c>
      <c r="J2604" s="3" t="s">
        <v>18</v>
      </c>
      <c r="K2604" s="5">
        <v>0.03</v>
      </c>
      <c r="L2604" s="6">
        <v>4690654013844</v>
      </c>
      <c r="M2604" s="7" t="s">
        <v>5252</v>
      </c>
      <c r="N2604" s="8">
        <f>VLOOKUP(B2604,'[1]новый без картинок'!$A$5:$F$2672,6,0)</f>
        <v>380</v>
      </c>
    </row>
    <row r="2605" spans="1:14" ht="138.6" customHeight="1" x14ac:dyDescent="0.2">
      <c r="A2605" s="3">
        <v>2603</v>
      </c>
      <c r="B2605" s="3">
        <v>191691</v>
      </c>
      <c r="C2605" s="4" t="str">
        <f>HYPERLINK("http://optservis.net:5080/photo?tov_code_internet=191691","Увеличить")</f>
        <v>Увеличить</v>
      </c>
      <c r="D2605" s="3" t="s">
        <v>5253</v>
      </c>
      <c r="E2605" s="3" t="s">
        <v>5254</v>
      </c>
      <c r="F2605" s="3" t="s">
        <v>5213</v>
      </c>
      <c r="G2605" s="3" t="s">
        <v>5214</v>
      </c>
      <c r="H2605" s="3">
        <v>1</v>
      </c>
      <c r="I2605" s="3">
        <v>1</v>
      </c>
      <c r="J2605" s="3" t="s">
        <v>18</v>
      </c>
      <c r="K2605" s="5">
        <v>0.05</v>
      </c>
      <c r="L2605" s="6">
        <v>4690654013868</v>
      </c>
      <c r="M2605" s="7" t="s">
        <v>5255</v>
      </c>
      <c r="N2605" s="8">
        <f>VLOOKUP(B2605,'[1]новый без картинок'!$A$5:$F$2672,6,0)</f>
        <v>387</v>
      </c>
    </row>
    <row r="2606" spans="1:14" ht="138.6" customHeight="1" x14ac:dyDescent="0.2">
      <c r="A2606" s="3">
        <v>2604</v>
      </c>
      <c r="B2606" s="3">
        <v>191690</v>
      </c>
      <c r="C2606" s="4" t="str">
        <f>HYPERLINK("http://optservis.net:5080/photo?tov_code_internet=191690","Увеличить")</f>
        <v>Увеличить</v>
      </c>
      <c r="D2606" s="3" t="s">
        <v>5253</v>
      </c>
      <c r="E2606" s="3" t="s">
        <v>5254</v>
      </c>
      <c r="F2606" s="3" t="s">
        <v>5256</v>
      </c>
      <c r="G2606" s="3" t="s">
        <v>5214</v>
      </c>
      <c r="H2606" s="3">
        <v>1</v>
      </c>
      <c r="I2606" s="3">
        <v>1</v>
      </c>
      <c r="J2606" s="3" t="s">
        <v>18</v>
      </c>
      <c r="K2606" s="5">
        <v>0.05</v>
      </c>
      <c r="L2606" s="6">
        <v>4690654013851</v>
      </c>
      <c r="M2606" s="7" t="s">
        <v>5257</v>
      </c>
      <c r="N2606" s="8">
        <f>VLOOKUP(B2606,'[1]новый без картинок'!$A$5:$F$2672,6,0)</f>
        <v>387</v>
      </c>
    </row>
    <row r="2607" spans="1:14" ht="138.6" customHeight="1" x14ac:dyDescent="0.2">
      <c r="A2607" s="3">
        <v>2605</v>
      </c>
      <c r="B2607" s="3">
        <v>191692</v>
      </c>
      <c r="C2607" s="4" t="str">
        <f>HYPERLINK("http://optservis.net:5080/photo?tov_code_internet=191692","Увеличить")</f>
        <v>Увеличить</v>
      </c>
      <c r="D2607" s="3" t="s">
        <v>5211</v>
      </c>
      <c r="E2607" s="3" t="s">
        <v>5212</v>
      </c>
      <c r="F2607" s="3" t="s">
        <v>5256</v>
      </c>
      <c r="G2607" s="3" t="s">
        <v>5214</v>
      </c>
      <c r="H2607" s="3">
        <v>1</v>
      </c>
      <c r="I2607" s="3">
        <v>1</v>
      </c>
      <c r="J2607" s="3" t="s">
        <v>18</v>
      </c>
      <c r="K2607" s="5">
        <v>0.04</v>
      </c>
      <c r="L2607" s="6">
        <v>4690654013875</v>
      </c>
      <c r="M2607" s="7" t="s">
        <v>5215</v>
      </c>
      <c r="N2607" s="8">
        <f>VLOOKUP(B2607,'[1]новый без картинок'!$A$5:$F$2672,6,0)</f>
        <v>393</v>
      </c>
    </row>
    <row r="2608" spans="1:14" ht="138.6" customHeight="1" x14ac:dyDescent="0.2">
      <c r="A2608" s="3">
        <v>2606</v>
      </c>
      <c r="B2608" s="3">
        <v>191695</v>
      </c>
      <c r="C2608" s="4" t="str">
        <f>HYPERLINK("http://optservis.net:5080/photo?tov_code_internet=191695","Увеличить")</f>
        <v>Увеличить</v>
      </c>
      <c r="D2608" s="3" t="s">
        <v>5258</v>
      </c>
      <c r="E2608" s="3" t="s">
        <v>5259</v>
      </c>
      <c r="F2608" s="3" t="s">
        <v>5260</v>
      </c>
      <c r="G2608" s="3" t="s">
        <v>5261</v>
      </c>
      <c r="H2608" s="3">
        <v>1</v>
      </c>
      <c r="I2608" s="3">
        <v>1</v>
      </c>
      <c r="J2608" s="3" t="s">
        <v>18</v>
      </c>
      <c r="K2608" s="5">
        <v>0.02</v>
      </c>
      <c r="L2608" s="6">
        <v>4690654013899</v>
      </c>
      <c r="M2608" s="7" t="s">
        <v>5262</v>
      </c>
      <c r="N2608" s="8">
        <f>VLOOKUP(B2608,'[1]новый без картинок'!$A$5:$F$2672,6,0)</f>
        <v>251</v>
      </c>
    </row>
    <row r="2609" spans="1:14" ht="138.6" customHeight="1" x14ac:dyDescent="0.2">
      <c r="A2609" s="3">
        <v>2607</v>
      </c>
      <c r="B2609" s="3">
        <v>191712</v>
      </c>
      <c r="C2609" s="4" t="str">
        <f>HYPERLINK("http://optservis.net:5080/photo?tov_code_internet=191712","Увеличить")</f>
        <v>Увеличить</v>
      </c>
      <c r="D2609" s="3" t="s">
        <v>5263</v>
      </c>
      <c r="E2609" s="3" t="s">
        <v>5264</v>
      </c>
      <c r="F2609" s="3" t="s">
        <v>5265</v>
      </c>
      <c r="G2609" s="3" t="s">
        <v>5266</v>
      </c>
      <c r="H2609" s="3">
        <v>1</v>
      </c>
      <c r="I2609" s="3">
        <v>1</v>
      </c>
      <c r="J2609" s="3" t="s">
        <v>18</v>
      </c>
      <c r="K2609" s="5">
        <v>0.05</v>
      </c>
      <c r="L2609" s="6">
        <v>4690654013912</v>
      </c>
      <c r="M2609" s="7" t="s">
        <v>5267</v>
      </c>
      <c r="N2609" s="8">
        <f>VLOOKUP(B2609,'[1]новый без картинок'!$A$5:$F$2672,6,0)</f>
        <v>785</v>
      </c>
    </row>
    <row r="2610" spans="1:14" ht="151.15" customHeight="1" x14ac:dyDescent="0.2">
      <c r="A2610" s="3">
        <v>2608</v>
      </c>
      <c r="B2610" s="3">
        <v>929724</v>
      </c>
      <c r="C2610" s="4" t="str">
        <f>HYPERLINK("http://optservis.net:5080/photo?tov_code_internet=929724","Увеличить")</f>
        <v>Увеличить</v>
      </c>
      <c r="D2610" s="3" t="s">
        <v>5268</v>
      </c>
      <c r="E2610" s="3" t="s">
        <v>5269</v>
      </c>
      <c r="F2610" s="3" t="s">
        <v>5270</v>
      </c>
      <c r="G2610" s="3" t="s">
        <v>5271</v>
      </c>
      <c r="H2610" s="3">
        <v>1</v>
      </c>
      <c r="I2610" s="3">
        <v>1</v>
      </c>
      <c r="J2610" s="3" t="s">
        <v>18</v>
      </c>
      <c r="K2610" s="5">
        <v>0</v>
      </c>
      <c r="L2610" s="6">
        <v>4603001141473</v>
      </c>
      <c r="M2610" s="7" t="s">
        <v>5272</v>
      </c>
      <c r="N2610" s="8">
        <f>VLOOKUP(B2610,'[1]новый без картинок'!$A$5:$F$2672,6,0)</f>
        <v>23</v>
      </c>
    </row>
    <row r="2611" spans="1:14" ht="151.15" customHeight="1" x14ac:dyDescent="0.2">
      <c r="A2611" s="3">
        <v>2609</v>
      </c>
      <c r="B2611" s="3">
        <v>933323</v>
      </c>
      <c r="C2611" s="4" t="str">
        <f>HYPERLINK("http://optservis.net:5080/photo?tov_code_internet=933323","Увеличить")</f>
        <v>Увеличить</v>
      </c>
      <c r="D2611" s="3" t="s">
        <v>5273</v>
      </c>
      <c r="E2611" s="3" t="s">
        <v>5274</v>
      </c>
      <c r="F2611" s="3" t="s">
        <v>5275</v>
      </c>
      <c r="G2611" s="3" t="s">
        <v>5271</v>
      </c>
      <c r="H2611" s="3">
        <v>1</v>
      </c>
      <c r="I2611" s="3">
        <v>1</v>
      </c>
      <c r="J2611" s="3" t="s">
        <v>18</v>
      </c>
      <c r="K2611" s="5">
        <v>0</v>
      </c>
      <c r="L2611" s="6">
        <v>4603001143965</v>
      </c>
      <c r="M2611" s="7" t="s">
        <v>5276</v>
      </c>
      <c r="N2611" s="8">
        <f>VLOOKUP(B2611,'[1]новый без картинок'!$A$5:$F$2672,6,0)</f>
        <v>23</v>
      </c>
    </row>
    <row r="2612" spans="1:14" ht="138.6" customHeight="1" x14ac:dyDescent="0.2">
      <c r="A2612" s="3">
        <v>2610</v>
      </c>
      <c r="B2612" s="3">
        <v>881431</v>
      </c>
      <c r="C2612" s="4" t="str">
        <f>HYPERLINK("http://optservis.net:5080/photo?tov_code_internet=881431","Увеличить")</f>
        <v>Увеличить</v>
      </c>
      <c r="D2612" s="3" t="s">
        <v>5277</v>
      </c>
      <c r="E2612" s="3">
        <v>2012</v>
      </c>
      <c r="F2612" s="3" t="s">
        <v>5278</v>
      </c>
      <c r="G2612" s="3" t="s">
        <v>735</v>
      </c>
      <c r="H2612" s="3">
        <v>10</v>
      </c>
      <c r="I2612" s="3">
        <v>1</v>
      </c>
      <c r="J2612" s="3" t="s">
        <v>18</v>
      </c>
      <c r="K2612" s="5">
        <v>0.17</v>
      </c>
      <c r="L2612" s="6">
        <v>4603001081113</v>
      </c>
      <c r="M2612" s="7" t="s">
        <v>5279</v>
      </c>
      <c r="N2612" s="8">
        <f>VLOOKUP(B2612,'[1]новый без картинок'!$A$5:$F$2672,6,0)</f>
        <v>69</v>
      </c>
    </row>
    <row r="2613" spans="1:14" ht="138.6" customHeight="1" x14ac:dyDescent="0.2">
      <c r="A2613" s="3">
        <v>2611</v>
      </c>
      <c r="B2613" s="3">
        <v>855432</v>
      </c>
      <c r="C2613" s="4" t="str">
        <f>HYPERLINK("http://optservis.net:5080/photo?tov_code_internet=855432","Увеличить")</f>
        <v>Увеличить</v>
      </c>
      <c r="D2613" s="3" t="s">
        <v>5280</v>
      </c>
      <c r="E2613" s="3" t="s">
        <v>5281</v>
      </c>
      <c r="F2613" s="3" t="s">
        <v>5278</v>
      </c>
      <c r="G2613" s="3" t="s">
        <v>5282</v>
      </c>
      <c r="H2613" s="3">
        <v>10</v>
      </c>
      <c r="I2613" s="3">
        <v>1</v>
      </c>
      <c r="J2613" s="3" t="s">
        <v>18</v>
      </c>
      <c r="K2613" s="5">
        <v>0.22</v>
      </c>
      <c r="L2613" s="6">
        <v>4603001114583</v>
      </c>
      <c r="M2613" s="7" t="s">
        <v>5283</v>
      </c>
      <c r="N2613" s="8">
        <f>VLOOKUP(B2613,'[1]новый без картинок'!$A$5:$F$2672,6,0)</f>
        <v>99</v>
      </c>
    </row>
    <row r="2614" spans="1:14" ht="138.6" customHeight="1" x14ac:dyDescent="0.2">
      <c r="A2614" s="3">
        <v>2612</v>
      </c>
      <c r="B2614" s="3">
        <v>908566</v>
      </c>
      <c r="C2614" s="4" t="str">
        <f>HYPERLINK("http://optservis.net:5080/photo?tov_code_internet=908566","Увеличить")</f>
        <v>Увеличить</v>
      </c>
      <c r="D2614" s="3" t="s">
        <v>5284</v>
      </c>
      <c r="E2614" s="3" t="s">
        <v>5285</v>
      </c>
      <c r="F2614" s="3" t="s">
        <v>5286</v>
      </c>
      <c r="G2614" s="3" t="s">
        <v>1101</v>
      </c>
      <c r="H2614" s="3">
        <v>2</v>
      </c>
      <c r="I2614" s="3">
        <v>1</v>
      </c>
      <c r="J2614" s="3" t="s">
        <v>18</v>
      </c>
      <c r="K2614" s="5">
        <v>0.19</v>
      </c>
      <c r="L2614" s="6">
        <v>4603001127316</v>
      </c>
      <c r="M2614" s="7" t="s">
        <v>5287</v>
      </c>
      <c r="N2614" s="8">
        <f>VLOOKUP(B2614,'[1]новый без картинок'!$A$5:$F$2672,6,0)</f>
        <v>151</v>
      </c>
    </row>
    <row r="2615" spans="1:14" ht="151.15" customHeight="1" x14ac:dyDescent="0.2">
      <c r="A2615" s="3">
        <v>2613</v>
      </c>
      <c r="B2615" s="3">
        <v>878298</v>
      </c>
      <c r="C2615" s="4" t="str">
        <f>HYPERLINK("http://optservis.net:5080/photo?tov_code_internet=878298","Увеличить")</f>
        <v>Увеличить</v>
      </c>
      <c r="D2615" s="3" t="s">
        <v>4401</v>
      </c>
      <c r="E2615" s="3" t="s">
        <v>4402</v>
      </c>
      <c r="F2615" s="3" t="s">
        <v>68</v>
      </c>
      <c r="G2615" s="3" t="s">
        <v>4369</v>
      </c>
      <c r="H2615" s="3">
        <v>1</v>
      </c>
      <c r="I2615" s="3">
        <v>1</v>
      </c>
      <c r="J2615" s="3" t="s">
        <v>18</v>
      </c>
      <c r="K2615" s="5">
        <v>0.03</v>
      </c>
      <c r="L2615" s="6">
        <v>4690654998868</v>
      </c>
      <c r="M2615" s="7" t="s">
        <v>5288</v>
      </c>
      <c r="N2615" s="8">
        <f>VLOOKUP(B2615,'[1]новый без картинок'!$A$5:$F$2672,6,0)</f>
        <v>157</v>
      </c>
    </row>
    <row r="2616" spans="1:14" ht="25.5" x14ac:dyDescent="0.2">
      <c r="A2616" s="3">
        <v>2614</v>
      </c>
      <c r="B2616" s="3">
        <v>988414</v>
      </c>
      <c r="C2616" s="3"/>
      <c r="D2616" s="3" t="s">
        <v>5289</v>
      </c>
      <c r="E2616" s="3" t="s">
        <v>4395</v>
      </c>
      <c r="F2616" s="3" t="s">
        <v>5290</v>
      </c>
      <c r="G2616" s="3" t="s">
        <v>5291</v>
      </c>
      <c r="H2616" s="3">
        <v>1</v>
      </c>
      <c r="I2616" s="3">
        <v>1</v>
      </c>
      <c r="J2616" s="3" t="s">
        <v>18</v>
      </c>
      <c r="K2616" s="5">
        <v>0.02</v>
      </c>
      <c r="L2616" s="6">
        <v>4690654998158</v>
      </c>
      <c r="M2616" s="7"/>
      <c r="N2616" s="8">
        <f>VLOOKUP(B2616,'[1]новый без картинок'!$A$5:$F$2672,6,0)</f>
        <v>81</v>
      </c>
    </row>
    <row r="2617" spans="1:14" ht="138.6" customHeight="1" x14ac:dyDescent="0.2">
      <c r="A2617" s="3">
        <v>2615</v>
      </c>
      <c r="B2617" s="3">
        <v>870512</v>
      </c>
      <c r="C2617" s="4" t="str">
        <f>HYPERLINK("http://optservis.net:5080/photo?tov_code_internet=870512","Увеличить")</f>
        <v>Увеличить</v>
      </c>
      <c r="D2617" s="3" t="s">
        <v>4474</v>
      </c>
      <c r="E2617" s="3" t="s">
        <v>4395</v>
      </c>
      <c r="F2617" s="3" t="s">
        <v>1114</v>
      </c>
      <c r="G2617" s="3" t="s">
        <v>4369</v>
      </c>
      <c r="H2617" s="3">
        <v>1</v>
      </c>
      <c r="I2617" s="3">
        <v>1</v>
      </c>
      <c r="J2617" s="3" t="s">
        <v>18</v>
      </c>
      <c r="K2617" s="5">
        <v>0.02</v>
      </c>
      <c r="L2617" s="6">
        <v>4690654998134</v>
      </c>
      <c r="M2617" s="7" t="s">
        <v>4475</v>
      </c>
      <c r="N2617" s="8">
        <f>VLOOKUP(B2617,'[1]новый без картинок'!$A$5:$F$2672,6,0)</f>
        <v>130</v>
      </c>
    </row>
    <row r="2618" spans="1:14" ht="138.6" customHeight="1" x14ac:dyDescent="0.2">
      <c r="A2618" s="3">
        <v>2616</v>
      </c>
      <c r="B2618" s="3">
        <v>989812</v>
      </c>
      <c r="C2618" s="4" t="str">
        <f>HYPERLINK("http://optservis.net:5080/photo?tov_code_internet=989812","Увеличить")</f>
        <v>Увеличить</v>
      </c>
      <c r="D2618" s="3" t="s">
        <v>4474</v>
      </c>
      <c r="E2618" s="3" t="s">
        <v>4395</v>
      </c>
      <c r="F2618" s="3" t="s">
        <v>5292</v>
      </c>
      <c r="G2618" s="3" t="s">
        <v>4369</v>
      </c>
      <c r="H2618" s="3">
        <v>1</v>
      </c>
      <c r="I2618" s="3">
        <v>1</v>
      </c>
      <c r="J2618" s="3" t="s">
        <v>18</v>
      </c>
      <c r="K2618" s="5">
        <v>0.02</v>
      </c>
      <c r="L2618" s="6">
        <v>4640020779164</v>
      </c>
      <c r="M2618" s="7" t="s">
        <v>4475</v>
      </c>
      <c r="N2618" s="8">
        <f>VLOOKUP(B2618,'[1]новый без картинок'!$A$5:$F$2672,6,0)</f>
        <v>125</v>
      </c>
    </row>
    <row r="2619" spans="1:14" ht="138.6" customHeight="1" x14ac:dyDescent="0.2">
      <c r="A2619" s="3">
        <v>2617</v>
      </c>
      <c r="B2619" s="3">
        <v>932094</v>
      </c>
      <c r="C2619" s="4" t="str">
        <f>HYPERLINK("http://optservis.net:5080/photo?tov_code_internet=932094","Увеличить")</f>
        <v>Увеличить</v>
      </c>
      <c r="D2619" s="3" t="s">
        <v>5293</v>
      </c>
      <c r="E2619" s="3" t="s">
        <v>5294</v>
      </c>
      <c r="F2619" s="3" t="s">
        <v>5295</v>
      </c>
      <c r="G2619" s="3" t="s">
        <v>5296</v>
      </c>
      <c r="H2619" s="3">
        <v>1</v>
      </c>
      <c r="I2619" s="3">
        <v>1</v>
      </c>
      <c r="J2619" s="3" t="s">
        <v>18</v>
      </c>
      <c r="K2619" s="5">
        <v>0</v>
      </c>
      <c r="L2619" s="6">
        <v>0</v>
      </c>
      <c r="M2619" s="7" t="s">
        <v>5297</v>
      </c>
      <c r="N2619" s="8">
        <f>VLOOKUP(B2619,'[1]новый без картинок'!$A$5:$F$2672,6,0)</f>
        <v>857</v>
      </c>
    </row>
    <row r="2620" spans="1:14" ht="138.6" customHeight="1" x14ac:dyDescent="0.2">
      <c r="A2620" s="3">
        <v>2618</v>
      </c>
      <c r="B2620" s="3">
        <v>932105</v>
      </c>
      <c r="C2620" s="4" t="str">
        <f>HYPERLINK("http://optservis.net:5080/photo?tov_code_internet=932105","Увеличить")</f>
        <v>Увеличить</v>
      </c>
      <c r="D2620" s="3" t="s">
        <v>5293</v>
      </c>
      <c r="E2620" s="3" t="s">
        <v>5294</v>
      </c>
      <c r="F2620" s="3" t="s">
        <v>5298</v>
      </c>
      <c r="G2620" s="3" t="s">
        <v>5299</v>
      </c>
      <c r="H2620" s="3">
        <v>1</v>
      </c>
      <c r="I2620" s="3">
        <v>1</v>
      </c>
      <c r="J2620" s="3" t="s">
        <v>18</v>
      </c>
      <c r="K2620" s="5">
        <v>0</v>
      </c>
      <c r="L2620" s="6">
        <v>0</v>
      </c>
      <c r="M2620" s="7" t="s">
        <v>4439</v>
      </c>
      <c r="N2620" s="8">
        <f>VLOOKUP(B2620,'[1]новый без картинок'!$A$5:$F$2672,6,0)</f>
        <v>932</v>
      </c>
    </row>
    <row r="2621" spans="1:14" ht="138.6" customHeight="1" x14ac:dyDescent="0.2">
      <c r="A2621" s="3">
        <v>2619</v>
      </c>
      <c r="B2621" s="3">
        <v>923519</v>
      </c>
      <c r="C2621" s="4" t="str">
        <f>HYPERLINK("http://optservis.net:5080/photo?tov_code_internet=923519","Увеличить")</f>
        <v>Увеличить</v>
      </c>
      <c r="D2621" s="3" t="s">
        <v>5293</v>
      </c>
      <c r="E2621" s="3" t="s">
        <v>5294</v>
      </c>
      <c r="F2621" s="3" t="s">
        <v>5300</v>
      </c>
      <c r="G2621" s="3" t="s">
        <v>5296</v>
      </c>
      <c r="H2621" s="3">
        <v>1</v>
      </c>
      <c r="I2621" s="3">
        <v>1</v>
      </c>
      <c r="J2621" s="3" t="s">
        <v>18</v>
      </c>
      <c r="K2621" s="5">
        <v>0.05</v>
      </c>
      <c r="L2621" s="6">
        <v>0</v>
      </c>
      <c r="M2621" s="7" t="s">
        <v>5301</v>
      </c>
      <c r="N2621" s="8">
        <f>VLOOKUP(B2621,'[1]новый без картинок'!$A$5:$F$2672,6,0)</f>
        <v>857</v>
      </c>
    </row>
    <row r="2622" spans="1:14" ht="138.6" customHeight="1" x14ac:dyDescent="0.2">
      <c r="A2622" s="3">
        <v>2620</v>
      </c>
      <c r="B2622" s="3">
        <v>932092</v>
      </c>
      <c r="C2622" s="4" t="str">
        <f>HYPERLINK("http://optservis.net:5080/photo?tov_code_internet=932092","Увеличить")</f>
        <v>Увеличить</v>
      </c>
      <c r="D2622" s="3" t="s">
        <v>5293</v>
      </c>
      <c r="E2622" s="3" t="s">
        <v>5294</v>
      </c>
      <c r="F2622" s="3" t="s">
        <v>5302</v>
      </c>
      <c r="G2622" s="3" t="s">
        <v>5296</v>
      </c>
      <c r="H2622" s="3">
        <v>1</v>
      </c>
      <c r="I2622" s="3">
        <v>1</v>
      </c>
      <c r="J2622" s="3" t="s">
        <v>18</v>
      </c>
      <c r="K2622" s="5">
        <v>0</v>
      </c>
      <c r="L2622" s="6">
        <v>0</v>
      </c>
      <c r="M2622" s="7" t="s">
        <v>5303</v>
      </c>
      <c r="N2622" s="8">
        <f>VLOOKUP(B2622,'[1]новый без картинок'!$A$5:$F$2672,6,0)</f>
        <v>857</v>
      </c>
    </row>
    <row r="2623" spans="1:14" ht="138.6" customHeight="1" x14ac:dyDescent="0.2">
      <c r="A2623" s="3">
        <v>2621</v>
      </c>
      <c r="B2623" s="3">
        <v>932099</v>
      </c>
      <c r="C2623" s="4" t="str">
        <f>HYPERLINK("http://optservis.net:5080/photo?tov_code_internet=932099","Увеличить")</f>
        <v>Увеличить</v>
      </c>
      <c r="D2623" s="3" t="s">
        <v>5293</v>
      </c>
      <c r="E2623" s="3" t="s">
        <v>5294</v>
      </c>
      <c r="F2623" s="3" t="s">
        <v>5304</v>
      </c>
      <c r="G2623" s="3" t="s">
        <v>5305</v>
      </c>
      <c r="H2623" s="3">
        <v>1</v>
      </c>
      <c r="I2623" s="3">
        <v>1</v>
      </c>
      <c r="J2623" s="3" t="s">
        <v>18</v>
      </c>
      <c r="K2623" s="5">
        <v>0</v>
      </c>
      <c r="L2623" s="6">
        <v>0</v>
      </c>
      <c r="M2623" s="7" t="s">
        <v>5306</v>
      </c>
      <c r="N2623" s="8">
        <f>VLOOKUP(B2623,'[1]новый без картинок'!$A$5:$F$2672,6,0)</f>
        <v>857</v>
      </c>
    </row>
    <row r="2624" spans="1:14" ht="138.6" customHeight="1" x14ac:dyDescent="0.2">
      <c r="A2624" s="3">
        <v>2622</v>
      </c>
      <c r="B2624" s="3">
        <v>932097</v>
      </c>
      <c r="C2624" s="4" t="str">
        <f>HYPERLINK("http://optservis.net:5080/photo?tov_code_internet=932097","Увеличить")</f>
        <v>Увеличить</v>
      </c>
      <c r="D2624" s="3" t="s">
        <v>5293</v>
      </c>
      <c r="E2624" s="3" t="s">
        <v>5294</v>
      </c>
      <c r="F2624" s="3" t="s">
        <v>5307</v>
      </c>
      <c r="G2624" s="3" t="s">
        <v>5296</v>
      </c>
      <c r="H2624" s="3">
        <v>1</v>
      </c>
      <c r="I2624" s="3">
        <v>1</v>
      </c>
      <c r="J2624" s="3" t="s">
        <v>18</v>
      </c>
      <c r="K2624" s="5">
        <v>0</v>
      </c>
      <c r="L2624" s="6">
        <v>0</v>
      </c>
      <c r="M2624" s="7" t="s">
        <v>5297</v>
      </c>
      <c r="N2624" s="8">
        <f>VLOOKUP(B2624,'[1]новый без картинок'!$A$5:$F$2672,6,0)</f>
        <v>857</v>
      </c>
    </row>
    <row r="2625" spans="1:14" ht="149.44999999999999" customHeight="1" x14ac:dyDescent="0.2">
      <c r="A2625" s="3">
        <v>2623</v>
      </c>
      <c r="B2625" s="3">
        <v>179340</v>
      </c>
      <c r="C2625" s="4" t="str">
        <f>HYPERLINK("http://optservis.net:5080/photo?tov_code_internet=179340","Увеличить")</f>
        <v>Увеличить</v>
      </c>
      <c r="D2625" s="3" t="s">
        <v>5308</v>
      </c>
      <c r="E2625" s="3" t="s">
        <v>5309</v>
      </c>
      <c r="F2625" s="3" t="s">
        <v>5310</v>
      </c>
      <c r="G2625" s="3" t="s">
        <v>110</v>
      </c>
      <c r="H2625" s="3">
        <v>12</v>
      </c>
      <c r="I2625" s="3">
        <v>1</v>
      </c>
      <c r="J2625" s="3" t="s">
        <v>18</v>
      </c>
      <c r="K2625" s="5">
        <v>0.11</v>
      </c>
      <c r="L2625" s="6">
        <v>4690654011017</v>
      </c>
      <c r="M2625" s="7" t="s">
        <v>5311</v>
      </c>
      <c r="N2625" s="8">
        <f>VLOOKUP(B2625,'[1]новый без картинок'!$A$5:$F$2672,6,0)</f>
        <v>49</v>
      </c>
    </row>
    <row r="2626" spans="1:14" ht="149.44999999999999" customHeight="1" x14ac:dyDescent="0.2">
      <c r="A2626" s="3">
        <v>2624</v>
      </c>
      <c r="B2626" s="3">
        <v>179341</v>
      </c>
      <c r="C2626" s="4" t="str">
        <f>HYPERLINK("http://optservis.net:5080/photo?tov_code_internet=179341","Увеличить")</f>
        <v>Увеличить</v>
      </c>
      <c r="D2626" s="3" t="s">
        <v>5312</v>
      </c>
      <c r="E2626" s="3" t="s">
        <v>5313</v>
      </c>
      <c r="F2626" s="3" t="s">
        <v>71</v>
      </c>
      <c r="G2626" s="3" t="s">
        <v>110</v>
      </c>
      <c r="H2626" s="3">
        <v>12</v>
      </c>
      <c r="I2626" s="3">
        <v>1</v>
      </c>
      <c r="J2626" s="3" t="s">
        <v>18</v>
      </c>
      <c r="K2626" s="5">
        <v>0.16</v>
      </c>
      <c r="L2626" s="6">
        <v>4690654011024</v>
      </c>
      <c r="M2626" s="7" t="s">
        <v>5314</v>
      </c>
      <c r="N2626" s="8">
        <f>VLOOKUP(B2626,'[1]новый без картинок'!$A$5:$F$2672,6,0)</f>
        <v>55</v>
      </c>
    </row>
    <row r="2627" spans="1:14" ht="149.44999999999999" customHeight="1" x14ac:dyDescent="0.2">
      <c r="A2627" s="3">
        <v>2625</v>
      </c>
      <c r="B2627" s="3">
        <v>179345</v>
      </c>
      <c r="C2627" s="4" t="str">
        <f>HYPERLINK("http://optservis.net:5080/photo?tov_code_internet=179345","Увеличить")</f>
        <v>Увеличить</v>
      </c>
      <c r="D2627" s="3" t="s">
        <v>5315</v>
      </c>
      <c r="E2627" s="3" t="s">
        <v>5316</v>
      </c>
      <c r="F2627" s="3" t="s">
        <v>5317</v>
      </c>
      <c r="G2627" s="3" t="s">
        <v>175</v>
      </c>
      <c r="H2627" s="3">
        <v>1</v>
      </c>
      <c r="I2627" s="3">
        <v>1</v>
      </c>
      <c r="J2627" s="3" t="s">
        <v>18</v>
      </c>
      <c r="K2627" s="5">
        <v>0.06</v>
      </c>
      <c r="L2627" s="6">
        <v>4690654010997</v>
      </c>
      <c r="M2627" s="7" t="s">
        <v>5318</v>
      </c>
      <c r="N2627" s="8">
        <f>VLOOKUP(B2627,'[1]новый без картинок'!$A$5:$F$2672,6,0)</f>
        <v>287</v>
      </c>
    </row>
    <row r="2628" spans="1:14" ht="149.44999999999999" customHeight="1" x14ac:dyDescent="0.2">
      <c r="A2628" s="3">
        <v>2626</v>
      </c>
      <c r="B2628" s="3">
        <v>179344</v>
      </c>
      <c r="C2628" s="4" t="str">
        <f>HYPERLINK("http://optservis.net:5080/photo?tov_code_internet=179344","Увеличить")</f>
        <v>Увеличить</v>
      </c>
      <c r="D2628" s="3" t="s">
        <v>5319</v>
      </c>
      <c r="E2628" s="3" t="s">
        <v>5320</v>
      </c>
      <c r="F2628" s="3" t="s">
        <v>5321</v>
      </c>
      <c r="G2628" s="3" t="s">
        <v>175</v>
      </c>
      <c r="H2628" s="3">
        <v>1</v>
      </c>
      <c r="I2628" s="3">
        <v>1</v>
      </c>
      <c r="J2628" s="3" t="s">
        <v>18</v>
      </c>
      <c r="K2628" s="5">
        <v>0.02</v>
      </c>
      <c r="L2628" s="6">
        <v>4690654010973</v>
      </c>
      <c r="M2628" s="7" t="s">
        <v>5322</v>
      </c>
      <c r="N2628" s="8">
        <f>VLOOKUP(B2628,'[1]новый без картинок'!$A$5:$F$2672,6,0)</f>
        <v>90</v>
      </c>
    </row>
    <row r="2629" spans="1:14" ht="149.44999999999999" customHeight="1" x14ac:dyDescent="0.2">
      <c r="A2629" s="3">
        <v>2627</v>
      </c>
      <c r="B2629" s="3">
        <v>179343</v>
      </c>
      <c r="C2629" s="4" t="str">
        <f>HYPERLINK("http://optservis.net:5080/photo?tov_code_internet=179343","Увеличить")</f>
        <v>Увеличить</v>
      </c>
      <c r="D2629" s="3" t="s">
        <v>5323</v>
      </c>
      <c r="E2629" s="3" t="s">
        <v>5324</v>
      </c>
      <c r="F2629" s="3" t="s">
        <v>5321</v>
      </c>
      <c r="G2629" s="3" t="s">
        <v>349</v>
      </c>
      <c r="H2629" s="3">
        <v>1</v>
      </c>
      <c r="I2629" s="3">
        <v>1</v>
      </c>
      <c r="J2629" s="3" t="s">
        <v>18</v>
      </c>
      <c r="K2629" s="5">
        <v>0.05</v>
      </c>
      <c r="L2629" s="6">
        <v>4690654010980</v>
      </c>
      <c r="M2629" s="7" t="s">
        <v>5325</v>
      </c>
      <c r="N2629" s="8">
        <f>VLOOKUP(B2629,'[1]новый без картинок'!$A$5:$F$2672,6,0)</f>
        <v>255</v>
      </c>
    </row>
    <row r="2630" spans="1:14" ht="151.15" customHeight="1" x14ac:dyDescent="0.2">
      <c r="A2630" s="3">
        <v>2628</v>
      </c>
      <c r="B2630" s="3">
        <v>206495</v>
      </c>
      <c r="C2630" s="4" t="str">
        <f>HYPERLINK("http://optservis.net:5080/photo?tov_code_internet=206495","Увеличить")</f>
        <v>Увеличить</v>
      </c>
      <c r="D2630" s="3" t="s">
        <v>5326</v>
      </c>
      <c r="E2630" s="3" t="s">
        <v>5327</v>
      </c>
      <c r="F2630" s="3" t="s">
        <v>5328</v>
      </c>
      <c r="G2630" s="3" t="s">
        <v>5291</v>
      </c>
      <c r="H2630" s="3">
        <v>1</v>
      </c>
      <c r="I2630" s="3">
        <v>1</v>
      </c>
      <c r="J2630" s="3" t="s">
        <v>18</v>
      </c>
      <c r="K2630" s="5">
        <v>0.04</v>
      </c>
      <c r="L2630" s="6">
        <v>4690654017897</v>
      </c>
      <c r="M2630" s="7" t="s">
        <v>5329</v>
      </c>
      <c r="N2630" s="8">
        <f>VLOOKUP(B2630,'[1]новый без картинок'!$A$5:$F$2672,6,0)</f>
        <v>278</v>
      </c>
    </row>
    <row r="2631" spans="1:14" ht="149.44999999999999" customHeight="1" x14ac:dyDescent="0.2">
      <c r="A2631" s="3">
        <v>2629</v>
      </c>
      <c r="B2631" s="3">
        <v>151576</v>
      </c>
      <c r="C2631" s="4" t="str">
        <f>HYPERLINK("http://optservis.net:5080/photo?tov_code_internet=151576","Увеличить")</f>
        <v>Увеличить</v>
      </c>
      <c r="D2631" s="3" t="s">
        <v>5330</v>
      </c>
      <c r="E2631" s="3"/>
      <c r="F2631" s="3" t="s">
        <v>5331</v>
      </c>
      <c r="G2631" s="3" t="s">
        <v>5332</v>
      </c>
      <c r="H2631" s="3">
        <v>1</v>
      </c>
      <c r="I2631" s="3">
        <v>1</v>
      </c>
      <c r="J2631" s="3" t="s">
        <v>18</v>
      </c>
      <c r="K2631" s="5">
        <v>0.05</v>
      </c>
      <c r="L2631" s="6">
        <v>0</v>
      </c>
      <c r="M2631" s="7" t="s">
        <v>5333</v>
      </c>
      <c r="N2631" s="8">
        <f>VLOOKUP(B2631,'[1]новый без картинок'!$A$5:$F$2672,6,0)</f>
        <v>131</v>
      </c>
    </row>
    <row r="2632" spans="1:14" ht="151.15" customHeight="1" x14ac:dyDescent="0.2">
      <c r="A2632" s="3">
        <v>2630</v>
      </c>
      <c r="B2632" s="3">
        <v>188441</v>
      </c>
      <c r="C2632" s="4" t="str">
        <f>HYPERLINK("http://optservis.net:5080/photo?tov_code_internet=188441","Увеличить")</f>
        <v>Увеличить</v>
      </c>
      <c r="D2632" s="3" t="s">
        <v>5334</v>
      </c>
      <c r="E2632" s="3" t="s">
        <v>5335</v>
      </c>
      <c r="F2632" s="3" t="s">
        <v>5336</v>
      </c>
      <c r="G2632" s="3" t="s">
        <v>5337</v>
      </c>
      <c r="H2632" s="3">
        <v>1</v>
      </c>
      <c r="I2632" s="3">
        <v>1</v>
      </c>
      <c r="J2632" s="3" t="s">
        <v>18</v>
      </c>
      <c r="K2632" s="5">
        <v>0.05</v>
      </c>
      <c r="L2632" s="6">
        <v>4690654012748</v>
      </c>
      <c r="M2632" s="7" t="s">
        <v>5338</v>
      </c>
      <c r="N2632" s="8">
        <f>VLOOKUP(B2632,'[1]новый без картинок'!$A$5:$F$2672,6,0)</f>
        <v>291</v>
      </c>
    </row>
    <row r="2633" spans="1:14" ht="151.15" customHeight="1" x14ac:dyDescent="0.2">
      <c r="A2633" s="3">
        <v>2631</v>
      </c>
      <c r="B2633" s="3">
        <v>188442</v>
      </c>
      <c r="C2633" s="4" t="str">
        <f>HYPERLINK("http://optservis.net:5080/photo?tov_code_internet=188442","Увеличить")</f>
        <v>Увеличить</v>
      </c>
      <c r="D2633" s="3" t="s">
        <v>5339</v>
      </c>
      <c r="E2633" s="3" t="s">
        <v>5340</v>
      </c>
      <c r="F2633" s="3" t="s">
        <v>5336</v>
      </c>
      <c r="G2633" s="3" t="s">
        <v>5337</v>
      </c>
      <c r="H2633" s="3">
        <v>1</v>
      </c>
      <c r="I2633" s="3">
        <v>1</v>
      </c>
      <c r="J2633" s="3" t="s">
        <v>18</v>
      </c>
      <c r="K2633" s="5">
        <v>0.03</v>
      </c>
      <c r="L2633" s="6">
        <v>4690654012731</v>
      </c>
      <c r="M2633" s="7" t="s">
        <v>5341</v>
      </c>
      <c r="N2633" s="8">
        <f>VLOOKUP(B2633,'[1]новый без картинок'!$A$5:$F$2672,6,0)</f>
        <v>222</v>
      </c>
    </row>
    <row r="2634" spans="1:14" ht="138.6" customHeight="1" x14ac:dyDescent="0.2">
      <c r="A2634" s="3">
        <v>2632</v>
      </c>
      <c r="B2634" s="3">
        <v>986303</v>
      </c>
      <c r="C2634" s="4" t="str">
        <f>HYPERLINK("http://optservis.net:5080/photo?tov_code_internet=986303","Увеличить")</f>
        <v>Увеличить</v>
      </c>
      <c r="D2634" s="3" t="s">
        <v>4383</v>
      </c>
      <c r="E2634" s="3" t="s">
        <v>4384</v>
      </c>
      <c r="F2634" s="3" t="s">
        <v>5342</v>
      </c>
      <c r="G2634" s="3" t="s">
        <v>4369</v>
      </c>
      <c r="H2634" s="3">
        <v>1</v>
      </c>
      <c r="I2634" s="3">
        <v>1</v>
      </c>
      <c r="J2634" s="3" t="s">
        <v>18</v>
      </c>
      <c r="K2634" s="5">
        <v>0.03</v>
      </c>
      <c r="L2634" s="6">
        <v>4640020778570</v>
      </c>
      <c r="M2634" s="7" t="s">
        <v>5343</v>
      </c>
      <c r="N2634" s="8">
        <f>VLOOKUP(B2634,'[1]новый без картинок'!$A$5:$F$2672,6,0)</f>
        <v>169</v>
      </c>
    </row>
    <row r="2635" spans="1:14" ht="151.15" customHeight="1" x14ac:dyDescent="0.2">
      <c r="A2635" s="3">
        <v>2633</v>
      </c>
      <c r="B2635" s="3">
        <v>191240</v>
      </c>
      <c r="C2635" s="4" t="str">
        <f>HYPERLINK("http://optservis.net:5080/photo?tov_code_internet=191240","Увеличить")</f>
        <v>Увеличить</v>
      </c>
      <c r="D2635" s="3" t="s">
        <v>5344</v>
      </c>
      <c r="E2635" s="3" t="s">
        <v>4395</v>
      </c>
      <c r="F2635" s="3" t="s">
        <v>5345</v>
      </c>
      <c r="G2635" s="3" t="s">
        <v>5291</v>
      </c>
      <c r="H2635" s="3">
        <v>1</v>
      </c>
      <c r="I2635" s="3">
        <v>1</v>
      </c>
      <c r="J2635" s="3" t="s">
        <v>18</v>
      </c>
      <c r="K2635" s="5">
        <v>0.03</v>
      </c>
      <c r="L2635" s="6">
        <v>4690654014506</v>
      </c>
      <c r="M2635" s="7" t="s">
        <v>5346</v>
      </c>
      <c r="N2635" s="8">
        <f>VLOOKUP(B2635,'[1]новый без картинок'!$A$5:$F$2672,6,0)</f>
        <v>140</v>
      </c>
    </row>
    <row r="2636" spans="1:14" ht="151.15" customHeight="1" x14ac:dyDescent="0.2">
      <c r="A2636" s="3">
        <v>2634</v>
      </c>
      <c r="B2636" s="3">
        <v>206496</v>
      </c>
      <c r="C2636" s="4" t="str">
        <f>HYPERLINK("http://optservis.net:5080/photo?tov_code_internet=206496","Увеличить")</f>
        <v>Увеличить</v>
      </c>
      <c r="D2636" s="3" t="s">
        <v>5347</v>
      </c>
      <c r="E2636" s="3" t="s">
        <v>5348</v>
      </c>
      <c r="F2636" s="3" t="s">
        <v>5349</v>
      </c>
      <c r="G2636" s="3" t="s">
        <v>5291</v>
      </c>
      <c r="H2636" s="3">
        <v>1</v>
      </c>
      <c r="I2636" s="3">
        <v>1</v>
      </c>
      <c r="J2636" s="3" t="s">
        <v>18</v>
      </c>
      <c r="K2636" s="5">
        <v>0.02</v>
      </c>
      <c r="L2636" s="6">
        <v>4690654017903</v>
      </c>
      <c r="M2636" s="7" t="s">
        <v>5350</v>
      </c>
      <c r="N2636" s="8">
        <f>VLOOKUP(B2636,'[1]новый без картинок'!$A$5:$F$2672,6,0)</f>
        <v>211</v>
      </c>
    </row>
    <row r="2637" spans="1:14" ht="138.6" customHeight="1" x14ac:dyDescent="0.2">
      <c r="A2637" s="3">
        <v>2635</v>
      </c>
      <c r="B2637" s="3">
        <v>988328</v>
      </c>
      <c r="C2637" s="4" t="str">
        <f>HYPERLINK("http://optservis.net:5080/photo?tov_code_internet=988328","Увеличить")</f>
        <v>Увеличить</v>
      </c>
      <c r="D2637" s="3" t="s">
        <v>5347</v>
      </c>
      <c r="E2637" s="3" t="s">
        <v>4402</v>
      </c>
      <c r="F2637" s="3" t="s">
        <v>3746</v>
      </c>
      <c r="G2637" s="3" t="s">
        <v>5291</v>
      </c>
      <c r="H2637" s="3">
        <v>1</v>
      </c>
      <c r="I2637" s="3">
        <v>1</v>
      </c>
      <c r="J2637" s="3" t="s">
        <v>18</v>
      </c>
      <c r="K2637" s="5">
        <v>0.02</v>
      </c>
      <c r="L2637" s="6">
        <v>4690654998189</v>
      </c>
      <c r="M2637" s="7" t="s">
        <v>5351</v>
      </c>
      <c r="N2637" s="8">
        <f>VLOOKUP(B2637,'[1]новый без картинок'!$A$5:$F$2672,6,0)</f>
        <v>168</v>
      </c>
    </row>
    <row r="2638" spans="1:14" ht="151.15" customHeight="1" x14ac:dyDescent="0.2">
      <c r="A2638" s="3">
        <v>2636</v>
      </c>
      <c r="B2638" s="3">
        <v>988394</v>
      </c>
      <c r="C2638" s="4" t="str">
        <f>HYPERLINK("http://optservis.net:5080/photo?tov_code_internet=988394","Увеличить")</f>
        <v>Увеличить</v>
      </c>
      <c r="D2638" s="3" t="s">
        <v>5347</v>
      </c>
      <c r="E2638" s="3" t="s">
        <v>4402</v>
      </c>
      <c r="F2638" s="3" t="s">
        <v>5352</v>
      </c>
      <c r="G2638" s="3" t="s">
        <v>5291</v>
      </c>
      <c r="H2638" s="3">
        <v>1</v>
      </c>
      <c r="I2638" s="3">
        <v>1</v>
      </c>
      <c r="J2638" s="3" t="s">
        <v>18</v>
      </c>
      <c r="K2638" s="5">
        <v>0.03</v>
      </c>
      <c r="L2638" s="6">
        <v>4690654999162</v>
      </c>
      <c r="M2638" s="7" t="s">
        <v>5351</v>
      </c>
      <c r="N2638" s="8">
        <f>VLOOKUP(B2638,'[1]новый без картинок'!$A$5:$F$2672,6,0)</f>
        <v>192</v>
      </c>
    </row>
    <row r="2639" spans="1:14" ht="151.15" customHeight="1" x14ac:dyDescent="0.2">
      <c r="A2639" s="3">
        <v>2637</v>
      </c>
      <c r="B2639" s="3">
        <v>988406</v>
      </c>
      <c r="C2639" s="4" t="str">
        <f>HYPERLINK("http://optservis.net:5080/photo?tov_code_internet=988406","Увеличить")</f>
        <v>Увеличить</v>
      </c>
      <c r="D2639" s="3" t="s">
        <v>5347</v>
      </c>
      <c r="E2639" s="3" t="s">
        <v>4402</v>
      </c>
      <c r="F2639" s="3" t="s">
        <v>5353</v>
      </c>
      <c r="G2639" s="3" t="s">
        <v>5291</v>
      </c>
      <c r="H2639" s="3">
        <v>1</v>
      </c>
      <c r="I2639" s="3">
        <v>1</v>
      </c>
      <c r="J2639" s="3" t="s">
        <v>18</v>
      </c>
      <c r="K2639" s="5">
        <v>0.03</v>
      </c>
      <c r="L2639" s="6">
        <v>4690654999223</v>
      </c>
      <c r="M2639" s="7" t="s">
        <v>5351</v>
      </c>
      <c r="N2639" s="8">
        <f>VLOOKUP(B2639,'[1]новый без картинок'!$A$5:$F$2672,6,0)</f>
        <v>169</v>
      </c>
    </row>
    <row r="2640" spans="1:14" ht="138.6" customHeight="1" x14ac:dyDescent="0.2">
      <c r="A2640" s="3">
        <v>2638</v>
      </c>
      <c r="B2640" s="3">
        <v>206494</v>
      </c>
      <c r="C2640" s="4" t="str">
        <f>HYPERLINK("http://optservis.net:5080/photo?tov_code_internet=206494","Увеличить")</f>
        <v>Увеличить</v>
      </c>
      <c r="D2640" s="3" t="s">
        <v>5354</v>
      </c>
      <c r="E2640" s="3" t="s">
        <v>5355</v>
      </c>
      <c r="F2640" s="3" t="s">
        <v>5356</v>
      </c>
      <c r="G2640" s="3" t="s">
        <v>5291</v>
      </c>
      <c r="H2640" s="3">
        <v>1</v>
      </c>
      <c r="I2640" s="3">
        <v>1</v>
      </c>
      <c r="J2640" s="3" t="s">
        <v>18</v>
      </c>
      <c r="K2640" s="5">
        <v>0.03</v>
      </c>
      <c r="L2640" s="6">
        <v>4690654017927</v>
      </c>
      <c r="M2640" s="7" t="s">
        <v>5357</v>
      </c>
      <c r="N2640" s="8">
        <f>VLOOKUP(B2640,'[1]новый без картинок'!$A$5:$F$2672,6,0)</f>
        <v>221</v>
      </c>
    </row>
    <row r="2641" spans="1:14" ht="138.6" customHeight="1" x14ac:dyDescent="0.2">
      <c r="A2641" s="3">
        <v>2639</v>
      </c>
      <c r="B2641" s="3">
        <v>206493</v>
      </c>
      <c r="C2641" s="4" t="str">
        <f>HYPERLINK("http://optservis.net:5080/photo?tov_code_internet=206493","Увеличить")</f>
        <v>Увеличить</v>
      </c>
      <c r="D2641" s="3" t="s">
        <v>5354</v>
      </c>
      <c r="E2641" s="3" t="s">
        <v>5355</v>
      </c>
      <c r="F2641" s="3" t="s">
        <v>5358</v>
      </c>
      <c r="G2641" s="3" t="s">
        <v>5291</v>
      </c>
      <c r="H2641" s="3">
        <v>1</v>
      </c>
      <c r="I2641" s="3">
        <v>1</v>
      </c>
      <c r="J2641" s="3" t="s">
        <v>18</v>
      </c>
      <c r="K2641" s="5">
        <v>0.03</v>
      </c>
      <c r="L2641" s="6">
        <v>4690654017910</v>
      </c>
      <c r="M2641" s="7" t="s">
        <v>5359</v>
      </c>
      <c r="N2641" s="8">
        <f>VLOOKUP(B2641,'[1]новый без картинок'!$A$5:$F$2672,6,0)</f>
        <v>268</v>
      </c>
    </row>
    <row r="2642" spans="1:14" ht="151.15" customHeight="1" x14ac:dyDescent="0.2">
      <c r="A2642" s="3">
        <v>2640</v>
      </c>
      <c r="B2642" s="3">
        <v>987606</v>
      </c>
      <c r="C2642" s="4" t="str">
        <f>HYPERLINK("http://optservis.net:5080/photo?tov_code_internet=987606","Увеличить")</f>
        <v>Увеличить</v>
      </c>
      <c r="D2642" s="3" t="s">
        <v>5360</v>
      </c>
      <c r="E2642" s="3" t="s">
        <v>4427</v>
      </c>
      <c r="F2642" s="3" t="s">
        <v>5361</v>
      </c>
      <c r="G2642" s="3" t="s">
        <v>5291</v>
      </c>
      <c r="H2642" s="3">
        <v>1</v>
      </c>
      <c r="I2642" s="3">
        <v>1</v>
      </c>
      <c r="J2642" s="3" t="s">
        <v>18</v>
      </c>
      <c r="K2642" s="5">
        <v>7.0000000000000007E-2</v>
      </c>
      <c r="L2642" s="6">
        <v>4603001126005</v>
      </c>
      <c r="M2642" s="7" t="s">
        <v>5362</v>
      </c>
      <c r="N2642" s="8">
        <f>VLOOKUP(B2642,'[1]новый без картинок'!$A$5:$F$2672,6,0)</f>
        <v>211</v>
      </c>
    </row>
    <row r="2643" spans="1:14" ht="151.15" customHeight="1" x14ac:dyDescent="0.2">
      <c r="A2643" s="3">
        <v>2641</v>
      </c>
      <c r="B2643" s="3">
        <v>988323</v>
      </c>
      <c r="C2643" s="4" t="str">
        <f>HYPERLINK("http://optservis.net:5080/photo?tov_code_internet=988323","Увеличить")</f>
        <v>Увеличить</v>
      </c>
      <c r="D2643" s="3" t="s">
        <v>5360</v>
      </c>
      <c r="E2643" s="3" t="s">
        <v>4427</v>
      </c>
      <c r="F2643" s="3" t="s">
        <v>3746</v>
      </c>
      <c r="G2643" s="3" t="s">
        <v>5291</v>
      </c>
      <c r="H2643" s="3">
        <v>1</v>
      </c>
      <c r="I2643" s="3">
        <v>1</v>
      </c>
      <c r="J2643" s="3" t="s">
        <v>18</v>
      </c>
      <c r="K2643" s="5">
        <v>0.05</v>
      </c>
      <c r="L2643" s="6">
        <v>4603001133850</v>
      </c>
      <c r="M2643" s="7" t="s">
        <v>5363</v>
      </c>
      <c r="N2643" s="8">
        <f>VLOOKUP(B2643,'[1]новый без картинок'!$A$5:$F$2672,6,0)</f>
        <v>211</v>
      </c>
    </row>
    <row r="2644" spans="1:14" ht="151.15" customHeight="1" x14ac:dyDescent="0.2">
      <c r="A2644" s="3">
        <v>2642</v>
      </c>
      <c r="B2644" s="3">
        <v>988381</v>
      </c>
      <c r="C2644" s="4" t="str">
        <f>HYPERLINK("http://optservis.net:5080/photo?tov_code_internet=988381","Увеличить")</f>
        <v>Увеличить</v>
      </c>
      <c r="D2644" s="3" t="s">
        <v>5360</v>
      </c>
      <c r="E2644" s="3" t="s">
        <v>4427</v>
      </c>
      <c r="F2644" s="3" t="s">
        <v>5352</v>
      </c>
      <c r="G2644" s="3" t="s">
        <v>5291</v>
      </c>
      <c r="H2644" s="3">
        <v>1</v>
      </c>
      <c r="I2644" s="3">
        <v>1</v>
      </c>
      <c r="J2644" s="3" t="s">
        <v>18</v>
      </c>
      <c r="K2644" s="5">
        <v>0.05</v>
      </c>
      <c r="L2644" s="6">
        <v>4603001134185</v>
      </c>
      <c r="M2644" s="7" t="s">
        <v>5363</v>
      </c>
      <c r="N2644" s="8">
        <f>VLOOKUP(B2644,'[1]новый без картинок'!$A$5:$F$2672,6,0)</f>
        <v>241</v>
      </c>
    </row>
    <row r="2645" spans="1:14" ht="151.15" customHeight="1" x14ac:dyDescent="0.2">
      <c r="A2645" s="3">
        <v>2643</v>
      </c>
      <c r="B2645" s="3">
        <v>987620</v>
      </c>
      <c r="C2645" s="4" t="str">
        <f>HYPERLINK("http://optservis.net:5080/photo?tov_code_internet=987620","Увеличить")</f>
        <v>Увеличить</v>
      </c>
      <c r="D2645" s="3" t="s">
        <v>4426</v>
      </c>
      <c r="E2645" s="3" t="s">
        <v>4427</v>
      </c>
      <c r="F2645" s="3" t="s">
        <v>5364</v>
      </c>
      <c r="G2645" s="3" t="s">
        <v>4369</v>
      </c>
      <c r="H2645" s="3">
        <v>1</v>
      </c>
      <c r="I2645" s="3">
        <v>1</v>
      </c>
      <c r="J2645" s="3" t="s">
        <v>18</v>
      </c>
      <c r="K2645" s="5">
        <v>0.05</v>
      </c>
      <c r="L2645" s="6">
        <v>4603001121581</v>
      </c>
      <c r="M2645" s="7" t="s">
        <v>4430</v>
      </c>
      <c r="N2645" s="8">
        <f>VLOOKUP(B2645,'[1]новый без картинок'!$A$5:$F$2672,6,0)</f>
        <v>329</v>
      </c>
    </row>
    <row r="2646" spans="1:14" ht="151.15" customHeight="1" x14ac:dyDescent="0.2">
      <c r="A2646" s="3">
        <v>2644</v>
      </c>
      <c r="B2646" s="3">
        <v>206499</v>
      </c>
      <c r="C2646" s="4" t="str">
        <f>HYPERLINK("http://optservis.net:5080/photo?tov_code_internet=206499","Увеличить")</f>
        <v>Увеличить</v>
      </c>
      <c r="D2646" s="3" t="s">
        <v>5365</v>
      </c>
      <c r="E2646" s="3" t="s">
        <v>5366</v>
      </c>
      <c r="F2646" s="3" t="s">
        <v>5367</v>
      </c>
      <c r="G2646" s="3" t="s">
        <v>5291</v>
      </c>
      <c r="H2646" s="3">
        <v>1</v>
      </c>
      <c r="I2646" s="3">
        <v>1</v>
      </c>
      <c r="J2646" s="3" t="s">
        <v>18</v>
      </c>
      <c r="K2646" s="5">
        <v>0.02</v>
      </c>
      <c r="L2646" s="6">
        <v>4690654017965</v>
      </c>
      <c r="M2646" s="7" t="s">
        <v>5368</v>
      </c>
      <c r="N2646" s="8">
        <f>VLOOKUP(B2646,'[1]новый без картинок'!$A$5:$F$2672,6,0)</f>
        <v>147</v>
      </c>
    </row>
    <row r="2647" spans="1:14" ht="151.15" customHeight="1" x14ac:dyDescent="0.2">
      <c r="A2647" s="3">
        <v>2645</v>
      </c>
      <c r="B2647" s="3">
        <v>157315</v>
      </c>
      <c r="C2647" s="4" t="str">
        <f>HYPERLINK("http://optservis.net:5080/photo?tov_code_internet=157315","Увеличить")</f>
        <v>Увеличить</v>
      </c>
      <c r="D2647" s="3" t="s">
        <v>5365</v>
      </c>
      <c r="E2647" s="3" t="s">
        <v>5369</v>
      </c>
      <c r="F2647" s="3" t="s">
        <v>5370</v>
      </c>
      <c r="G2647" s="3" t="s">
        <v>5291</v>
      </c>
      <c r="H2647" s="3">
        <v>1</v>
      </c>
      <c r="I2647" s="3">
        <v>1</v>
      </c>
      <c r="J2647" s="3" t="s">
        <v>18</v>
      </c>
      <c r="K2647" s="5">
        <v>0.02</v>
      </c>
      <c r="L2647" s="6">
        <v>4690654008451</v>
      </c>
      <c r="M2647" s="7" t="s">
        <v>5371</v>
      </c>
      <c r="N2647" s="8">
        <f>VLOOKUP(B2647,'[1]новый без картинок'!$A$5:$F$2672,6,0)</f>
        <v>85</v>
      </c>
    </row>
    <row r="2648" spans="1:14" ht="151.15" customHeight="1" x14ac:dyDescent="0.2">
      <c r="A2648" s="3">
        <v>2646</v>
      </c>
      <c r="B2648" s="3">
        <v>206498</v>
      </c>
      <c r="C2648" s="4" t="str">
        <f>HYPERLINK("http://optservis.net:5080/photo?tov_code_internet=206498","Увеличить")</f>
        <v>Увеличить</v>
      </c>
      <c r="D2648" s="3" t="s">
        <v>5372</v>
      </c>
      <c r="E2648" s="3" t="s">
        <v>5373</v>
      </c>
      <c r="F2648" s="3" t="s">
        <v>5374</v>
      </c>
      <c r="G2648" s="3" t="s">
        <v>5291</v>
      </c>
      <c r="H2648" s="3">
        <v>1</v>
      </c>
      <c r="I2648" s="3">
        <v>1</v>
      </c>
      <c r="J2648" s="3" t="s">
        <v>18</v>
      </c>
      <c r="K2648" s="5">
        <v>0.02</v>
      </c>
      <c r="L2648" s="6">
        <v>4690654017958</v>
      </c>
      <c r="M2648" s="7" t="s">
        <v>5375</v>
      </c>
      <c r="N2648" s="8">
        <f>VLOOKUP(B2648,'[1]новый без картинок'!$A$5:$F$2672,6,0)</f>
        <v>169</v>
      </c>
    </row>
    <row r="2649" spans="1:14" ht="149.44999999999999" customHeight="1" x14ac:dyDescent="0.2">
      <c r="A2649" s="3">
        <v>2647</v>
      </c>
      <c r="B2649" s="3">
        <v>157320</v>
      </c>
      <c r="C2649" s="4" t="str">
        <f>HYPERLINK("http://optservis.net:5080/photo?tov_code_internet=157320","Увеличить")</f>
        <v>Увеличить</v>
      </c>
      <c r="D2649" s="3" t="s">
        <v>5372</v>
      </c>
      <c r="E2649" s="3" t="s">
        <v>5376</v>
      </c>
      <c r="F2649" s="3" t="s">
        <v>5377</v>
      </c>
      <c r="G2649" s="3" t="s">
        <v>5291</v>
      </c>
      <c r="H2649" s="3">
        <v>1</v>
      </c>
      <c r="I2649" s="3">
        <v>1</v>
      </c>
      <c r="J2649" s="3" t="s">
        <v>18</v>
      </c>
      <c r="K2649" s="5">
        <v>0.02</v>
      </c>
      <c r="L2649" s="6">
        <v>4690654008635</v>
      </c>
      <c r="M2649" s="7" t="s">
        <v>5378</v>
      </c>
      <c r="N2649" s="8">
        <f>VLOOKUP(B2649,'[1]новый без картинок'!$A$5:$F$2672,6,0)</f>
        <v>96</v>
      </c>
    </row>
    <row r="2650" spans="1:14" ht="138.6" customHeight="1" x14ac:dyDescent="0.2">
      <c r="A2650" s="3">
        <v>2648</v>
      </c>
      <c r="B2650" s="3">
        <v>981580</v>
      </c>
      <c r="C2650" s="4" t="str">
        <f>HYPERLINK("http://optservis.net:5080/photo?tov_code_internet=981580","Увеличить")</f>
        <v>Увеличить</v>
      </c>
      <c r="D2650" s="3" t="s">
        <v>5379</v>
      </c>
      <c r="E2650" s="3" t="s">
        <v>5380</v>
      </c>
      <c r="F2650" s="3" t="s">
        <v>5381</v>
      </c>
      <c r="G2650" s="3" t="s">
        <v>5291</v>
      </c>
      <c r="H2650" s="3">
        <v>1</v>
      </c>
      <c r="I2650" s="3">
        <v>1</v>
      </c>
      <c r="J2650" s="3" t="s">
        <v>18</v>
      </c>
      <c r="K2650" s="5">
        <v>0.02</v>
      </c>
      <c r="L2650" s="6">
        <v>4640020778532</v>
      </c>
      <c r="M2650" s="7" t="s">
        <v>5382</v>
      </c>
      <c r="N2650" s="8">
        <f>VLOOKUP(B2650,'[1]новый без картинок'!$A$5:$F$2672,6,0)</f>
        <v>79</v>
      </c>
    </row>
    <row r="2651" spans="1:14" ht="151.15" customHeight="1" x14ac:dyDescent="0.2">
      <c r="A2651" s="3">
        <v>2649</v>
      </c>
      <c r="B2651" s="3">
        <v>206500</v>
      </c>
      <c r="C2651" s="4" t="str">
        <f>HYPERLINK("http://optservis.net:5080/photo?tov_code_internet=206500","Увеличить")</f>
        <v>Увеличить</v>
      </c>
      <c r="D2651" s="3" t="s">
        <v>5383</v>
      </c>
      <c r="E2651" s="3" t="s">
        <v>5384</v>
      </c>
      <c r="F2651" s="3" t="s">
        <v>5385</v>
      </c>
      <c r="G2651" s="3" t="s">
        <v>5291</v>
      </c>
      <c r="H2651" s="3">
        <v>1</v>
      </c>
      <c r="I2651" s="3">
        <v>1</v>
      </c>
      <c r="J2651" s="3" t="s">
        <v>18</v>
      </c>
      <c r="K2651" s="5">
        <v>0.01</v>
      </c>
      <c r="L2651" s="6">
        <v>4690654017934</v>
      </c>
      <c r="M2651" s="7" t="s">
        <v>5386</v>
      </c>
      <c r="N2651" s="8">
        <f>VLOOKUP(B2651,'[1]новый без картинок'!$A$5:$F$2672,6,0)</f>
        <v>147</v>
      </c>
    </row>
    <row r="2652" spans="1:14" ht="151.15" customHeight="1" x14ac:dyDescent="0.2">
      <c r="A2652" s="3">
        <v>2650</v>
      </c>
      <c r="B2652" s="3">
        <v>206516</v>
      </c>
      <c r="C2652" s="4" t="str">
        <f>HYPERLINK("http://optservis.net:5080/photo?tov_code_internet=206516","Увеличить")</f>
        <v>Увеличить</v>
      </c>
      <c r="D2652" s="3" t="s">
        <v>5383</v>
      </c>
      <c r="E2652" s="3" t="s">
        <v>5384</v>
      </c>
      <c r="F2652" s="3" t="s">
        <v>5328</v>
      </c>
      <c r="G2652" s="3" t="s">
        <v>5291</v>
      </c>
      <c r="H2652" s="3">
        <v>1</v>
      </c>
      <c r="I2652" s="3">
        <v>1</v>
      </c>
      <c r="J2652" s="3" t="s">
        <v>18</v>
      </c>
      <c r="K2652" s="5">
        <v>0.01</v>
      </c>
      <c r="L2652" s="6">
        <v>4690654017941</v>
      </c>
      <c r="M2652" s="7" t="s">
        <v>5386</v>
      </c>
      <c r="N2652" s="8">
        <f>VLOOKUP(B2652,'[1]новый без картинок'!$A$5:$F$2672,6,0)</f>
        <v>147</v>
      </c>
    </row>
    <row r="2653" spans="1:14" ht="139.5" customHeight="1" x14ac:dyDescent="0.2">
      <c r="A2653" s="3">
        <v>2651</v>
      </c>
      <c r="B2653" s="3">
        <v>171204</v>
      </c>
      <c r="C2653" s="4" t="str">
        <f>HYPERLINK("http://optservis.net:5080/photo?tov_code_internet=171204","Увеличить")</f>
        <v>Увеличить</v>
      </c>
      <c r="D2653" s="3" t="s">
        <v>5383</v>
      </c>
      <c r="E2653" s="3" t="s">
        <v>5387</v>
      </c>
      <c r="F2653" s="3" t="s">
        <v>5370</v>
      </c>
      <c r="G2653" s="3" t="s">
        <v>5291</v>
      </c>
      <c r="H2653" s="3">
        <v>1</v>
      </c>
      <c r="I2653" s="3">
        <v>1</v>
      </c>
      <c r="J2653" s="3" t="s">
        <v>18</v>
      </c>
      <c r="K2653" s="5">
        <v>0.02</v>
      </c>
      <c r="L2653" s="6">
        <v>4690654009182</v>
      </c>
      <c r="M2653" s="7" t="s">
        <v>5388</v>
      </c>
      <c r="N2653" s="8">
        <f>VLOOKUP(B2653,'[1]новый без картинок'!$A$5:$F$2672,6,0)</f>
        <v>94</v>
      </c>
    </row>
    <row r="2654" spans="1:14" ht="151.15" customHeight="1" x14ac:dyDescent="0.2">
      <c r="A2654" s="3">
        <v>2652</v>
      </c>
      <c r="B2654" s="3">
        <v>171205</v>
      </c>
      <c r="C2654" s="4" t="str">
        <f>HYPERLINK("http://optservis.net:5080/photo?tov_code_internet=171205","Увеличить")</f>
        <v>Увеличить</v>
      </c>
      <c r="D2654" s="3" t="s">
        <v>5383</v>
      </c>
      <c r="E2654" s="3" t="s">
        <v>5387</v>
      </c>
      <c r="F2654" s="3" t="s">
        <v>5377</v>
      </c>
      <c r="G2654" s="3" t="s">
        <v>5291</v>
      </c>
      <c r="H2654" s="3">
        <v>1</v>
      </c>
      <c r="I2654" s="3">
        <v>1</v>
      </c>
      <c r="J2654" s="3" t="s">
        <v>18</v>
      </c>
      <c r="K2654" s="5">
        <v>0.01</v>
      </c>
      <c r="L2654" s="6">
        <v>4690654009199</v>
      </c>
      <c r="M2654" s="7" t="s">
        <v>5388</v>
      </c>
      <c r="N2654" s="8">
        <f>VLOOKUP(B2654,'[1]новый без картинок'!$A$5:$F$2672,6,0)</f>
        <v>94</v>
      </c>
    </row>
    <row r="2655" spans="1:14" ht="151.15" customHeight="1" x14ac:dyDescent="0.2">
      <c r="A2655" s="3">
        <v>2653</v>
      </c>
      <c r="B2655" s="3">
        <v>988325</v>
      </c>
      <c r="C2655" s="4" t="str">
        <f>HYPERLINK("http://optservis.net:5080/photo?tov_code_internet=988325","Увеличить")</f>
        <v>Увеличить</v>
      </c>
      <c r="D2655" s="3" t="s">
        <v>5389</v>
      </c>
      <c r="E2655" s="3" t="s">
        <v>4395</v>
      </c>
      <c r="F2655" s="3" t="s">
        <v>3746</v>
      </c>
      <c r="G2655" s="3" t="s">
        <v>5291</v>
      </c>
      <c r="H2655" s="3">
        <v>1</v>
      </c>
      <c r="I2655" s="3">
        <v>1</v>
      </c>
      <c r="J2655" s="3" t="s">
        <v>18</v>
      </c>
      <c r="K2655" s="5">
        <v>0.03</v>
      </c>
      <c r="L2655" s="6">
        <v>4690654999230</v>
      </c>
      <c r="M2655" s="7" t="s">
        <v>5346</v>
      </c>
      <c r="N2655" s="8">
        <f>VLOOKUP(B2655,'[1]новый без картинок'!$A$5:$F$2672,6,0)</f>
        <v>140</v>
      </c>
    </row>
    <row r="2656" spans="1:14" ht="149.44999999999999" customHeight="1" x14ac:dyDescent="0.2">
      <c r="A2656" s="3">
        <v>2654</v>
      </c>
      <c r="B2656" s="3">
        <v>987601</v>
      </c>
      <c r="C2656" s="4" t="str">
        <f>HYPERLINK("http://optservis.net:5080/photo?tov_code_internet=987601","Увеличить")</f>
        <v>Увеличить</v>
      </c>
      <c r="D2656" s="3" t="s">
        <v>5389</v>
      </c>
      <c r="E2656" s="3" t="s">
        <v>4395</v>
      </c>
      <c r="F2656" s="3" t="s">
        <v>5352</v>
      </c>
      <c r="G2656" s="3" t="s">
        <v>5291</v>
      </c>
      <c r="H2656" s="3">
        <v>1</v>
      </c>
      <c r="I2656" s="3">
        <v>1</v>
      </c>
      <c r="J2656" s="3" t="s">
        <v>18</v>
      </c>
      <c r="K2656" s="5">
        <v>0.02</v>
      </c>
      <c r="L2656" s="6">
        <v>4603001134321</v>
      </c>
      <c r="M2656" s="7" t="s">
        <v>5346</v>
      </c>
      <c r="N2656" s="8">
        <f>VLOOKUP(B2656,'[1]новый без картинок'!$A$5:$F$2672,6,0)</f>
        <v>163</v>
      </c>
    </row>
    <row r="2657" spans="1:14" ht="138.6" customHeight="1" x14ac:dyDescent="0.2">
      <c r="A2657" s="3">
        <v>2655</v>
      </c>
      <c r="B2657" s="3">
        <v>988400</v>
      </c>
      <c r="C2657" s="4" t="str">
        <f>HYPERLINK("http://optservis.net:5080/photo?tov_code_internet=988400","Увеличить")</f>
        <v>Увеличить</v>
      </c>
      <c r="D2657" s="3" t="s">
        <v>5389</v>
      </c>
      <c r="E2657" s="3" t="s">
        <v>4395</v>
      </c>
      <c r="F2657" s="3" t="s">
        <v>5353</v>
      </c>
      <c r="G2657" s="3" t="s">
        <v>5291</v>
      </c>
      <c r="H2657" s="3">
        <v>1</v>
      </c>
      <c r="I2657" s="3">
        <v>1</v>
      </c>
      <c r="J2657" s="3" t="s">
        <v>18</v>
      </c>
      <c r="K2657" s="5">
        <v>0.04</v>
      </c>
      <c r="L2657" s="6">
        <v>4603001134338</v>
      </c>
      <c r="M2657" s="7" t="s">
        <v>5346</v>
      </c>
      <c r="N2657" s="8">
        <f>VLOOKUP(B2657,'[1]новый без картинок'!$A$5:$F$2672,6,0)</f>
        <v>140</v>
      </c>
    </row>
    <row r="2658" spans="1:14" ht="149.44999999999999" customHeight="1" x14ac:dyDescent="0.2">
      <c r="A2658" s="3">
        <v>2656</v>
      </c>
      <c r="B2658" s="3">
        <v>161824</v>
      </c>
      <c r="C2658" s="4" t="str">
        <f>HYPERLINK("http://optservis.net:5080/photo?tov_code_internet=161824","Увеличить")</f>
        <v>Увеличить</v>
      </c>
      <c r="D2658" s="3" t="s">
        <v>5390</v>
      </c>
      <c r="E2658" s="3"/>
      <c r="F2658" s="3" t="s">
        <v>5391</v>
      </c>
      <c r="G2658" s="3" t="s">
        <v>1469</v>
      </c>
      <c r="H2658" s="3">
        <v>1</v>
      </c>
      <c r="I2658" s="3">
        <v>1</v>
      </c>
      <c r="J2658" s="3" t="s">
        <v>18</v>
      </c>
      <c r="K2658" s="5">
        <v>0</v>
      </c>
      <c r="L2658" s="6">
        <v>0</v>
      </c>
      <c r="M2658" s="7" t="s">
        <v>5392</v>
      </c>
      <c r="N2658" s="8">
        <f>VLOOKUP(B2658,'[1]новый без картинок'!$A$5:$F$2672,6,0)</f>
        <v>1000</v>
      </c>
    </row>
    <row r="2659" spans="1:14" ht="151.15" customHeight="1" x14ac:dyDescent="0.2">
      <c r="A2659" s="3">
        <v>2657</v>
      </c>
      <c r="B2659" s="3">
        <v>161825</v>
      </c>
      <c r="C2659" s="4" t="str">
        <f>HYPERLINK("http://optservis.net:5080/photo?tov_code_internet=161825","Увеличить")</f>
        <v>Увеличить</v>
      </c>
      <c r="D2659" s="3" t="s">
        <v>5393</v>
      </c>
      <c r="E2659" s="3"/>
      <c r="F2659" s="3" t="s">
        <v>5394</v>
      </c>
      <c r="G2659" s="3" t="s">
        <v>1469</v>
      </c>
      <c r="H2659" s="3">
        <v>1</v>
      </c>
      <c r="I2659" s="3">
        <v>1</v>
      </c>
      <c r="J2659" s="3" t="s">
        <v>18</v>
      </c>
      <c r="K2659" s="5">
        <v>0</v>
      </c>
      <c r="L2659" s="6">
        <v>0</v>
      </c>
      <c r="M2659" s="7" t="s">
        <v>5395</v>
      </c>
      <c r="N2659" s="8">
        <f>VLOOKUP(B2659,'[1]новый без картинок'!$A$5:$F$2672,6,0)</f>
        <v>885</v>
      </c>
    </row>
    <row r="2660" spans="1:14" ht="151.15" customHeight="1" x14ac:dyDescent="0.2">
      <c r="A2660" s="3">
        <v>2658</v>
      </c>
      <c r="B2660" s="3">
        <v>161826</v>
      </c>
      <c r="C2660" s="4" t="str">
        <f>HYPERLINK("http://optservis.net:5080/photo?tov_code_internet=161826","Увеличить")</f>
        <v>Увеличить</v>
      </c>
      <c r="D2660" s="3" t="s">
        <v>5396</v>
      </c>
      <c r="E2660" s="3"/>
      <c r="F2660" s="3" t="s">
        <v>165</v>
      </c>
      <c r="G2660" s="3" t="s">
        <v>5189</v>
      </c>
      <c r="H2660" s="3">
        <v>1</v>
      </c>
      <c r="I2660" s="3">
        <v>1</v>
      </c>
      <c r="J2660" s="3" t="s">
        <v>18</v>
      </c>
      <c r="K2660" s="5">
        <v>0</v>
      </c>
      <c r="L2660" s="6">
        <v>0</v>
      </c>
      <c r="M2660" s="7" t="s">
        <v>5397</v>
      </c>
      <c r="N2660" s="8">
        <f>VLOOKUP(B2660,'[1]новый без картинок'!$A$5:$F$2672,6,0)</f>
        <v>705</v>
      </c>
    </row>
    <row r="2661" spans="1:14" ht="151.15" customHeight="1" x14ac:dyDescent="0.2">
      <c r="A2661" s="3">
        <v>2659</v>
      </c>
      <c r="B2661" s="3">
        <v>161827</v>
      </c>
      <c r="C2661" s="4" t="str">
        <f>HYPERLINK("http://optservis.net:5080/photo?tov_code_internet=161827","Увеличить")</f>
        <v>Увеличить</v>
      </c>
      <c r="D2661" s="3" t="s">
        <v>5398</v>
      </c>
      <c r="E2661" s="3"/>
      <c r="F2661" s="3" t="s">
        <v>5399</v>
      </c>
      <c r="G2661" s="3" t="s">
        <v>1469</v>
      </c>
      <c r="H2661" s="3">
        <v>1</v>
      </c>
      <c r="I2661" s="3">
        <v>1</v>
      </c>
      <c r="J2661" s="3" t="s">
        <v>18</v>
      </c>
      <c r="K2661" s="5">
        <v>0</v>
      </c>
      <c r="L2661" s="6">
        <v>0</v>
      </c>
      <c r="M2661" s="7" t="s">
        <v>5400</v>
      </c>
      <c r="N2661" s="8">
        <f>VLOOKUP(B2661,'[1]новый без картинок'!$A$5:$F$2672,6,0)</f>
        <v>885</v>
      </c>
    </row>
    <row r="2662" spans="1:14" ht="149.44999999999999" customHeight="1" x14ac:dyDescent="0.2">
      <c r="A2662" s="3">
        <v>2660</v>
      </c>
      <c r="B2662" s="3">
        <v>161828</v>
      </c>
      <c r="C2662" s="4" t="str">
        <f>HYPERLINK("http://optservis.net:5080/photo?tov_code_internet=161828","Увеличить")</f>
        <v>Увеличить</v>
      </c>
      <c r="D2662" s="3" t="s">
        <v>5401</v>
      </c>
      <c r="E2662" s="3"/>
      <c r="F2662" s="3" t="s">
        <v>5402</v>
      </c>
      <c r="G2662" s="3" t="s">
        <v>5189</v>
      </c>
      <c r="H2662" s="3">
        <v>1</v>
      </c>
      <c r="I2662" s="3">
        <v>1</v>
      </c>
      <c r="J2662" s="3" t="s">
        <v>18</v>
      </c>
      <c r="K2662" s="5">
        <v>0</v>
      </c>
      <c r="L2662" s="6">
        <v>0</v>
      </c>
      <c r="M2662" s="7" t="s">
        <v>5403</v>
      </c>
      <c r="N2662" s="8">
        <f>VLOOKUP(B2662,'[1]новый без картинок'!$A$5:$F$2672,6,0)</f>
        <v>611</v>
      </c>
    </row>
    <row r="2663" spans="1:14" ht="153" customHeight="1" x14ac:dyDescent="0.2">
      <c r="A2663" s="3">
        <v>2661</v>
      </c>
      <c r="B2663" s="3">
        <v>192142</v>
      </c>
      <c r="C2663" s="4" t="str">
        <f>HYPERLINK("http://optservis.net:5080/photo?tov_code_internet=192142","Увеличить")</f>
        <v>Увеличить</v>
      </c>
      <c r="D2663" s="3" t="s">
        <v>5404</v>
      </c>
      <c r="E2663" s="3" t="s">
        <v>5405</v>
      </c>
      <c r="F2663" s="3" t="s">
        <v>280</v>
      </c>
      <c r="G2663" s="3" t="s">
        <v>488</v>
      </c>
      <c r="H2663" s="3">
        <v>1</v>
      </c>
      <c r="I2663" s="3">
        <v>1</v>
      </c>
      <c r="J2663" s="3" t="s">
        <v>18</v>
      </c>
      <c r="K2663" s="5">
        <v>0.2</v>
      </c>
      <c r="L2663" s="6">
        <v>4690654009496</v>
      </c>
      <c r="M2663" s="7" t="s">
        <v>5406</v>
      </c>
      <c r="N2663" s="8">
        <f>VLOOKUP(B2663,'[1]новый без картинок'!$A$5:$F$2672,6,0)</f>
        <v>343</v>
      </c>
    </row>
    <row r="2664" spans="1:14" ht="153" customHeight="1" x14ac:dyDescent="0.2">
      <c r="A2664" s="3">
        <v>2662</v>
      </c>
      <c r="B2664" s="3">
        <v>192149</v>
      </c>
      <c r="C2664" s="4" t="str">
        <f>HYPERLINK("http://optservis.net:5080/photo?tov_code_internet=192149","Увеличить")</f>
        <v>Увеличить</v>
      </c>
      <c r="D2664" s="3" t="s">
        <v>5407</v>
      </c>
      <c r="E2664" s="3" t="s">
        <v>5408</v>
      </c>
      <c r="F2664" s="3" t="s">
        <v>68</v>
      </c>
      <c r="G2664" s="3" t="s">
        <v>17</v>
      </c>
      <c r="H2664" s="3">
        <v>1</v>
      </c>
      <c r="I2664" s="3">
        <v>1</v>
      </c>
      <c r="J2664" s="3" t="s">
        <v>18</v>
      </c>
      <c r="K2664" s="5">
        <v>0.2</v>
      </c>
      <c r="L2664" s="6">
        <v>4690654009533</v>
      </c>
      <c r="M2664" s="7" t="s">
        <v>5409</v>
      </c>
      <c r="N2664" s="8">
        <f>VLOOKUP(B2664,'[1]новый без картинок'!$A$5:$F$2672,6,0)</f>
        <v>365</v>
      </c>
    </row>
    <row r="2665" spans="1:14" ht="153" customHeight="1" x14ac:dyDescent="0.2">
      <c r="A2665" s="3">
        <v>2663</v>
      </c>
      <c r="B2665" s="3">
        <v>192150</v>
      </c>
      <c r="C2665" s="4" t="str">
        <f>HYPERLINK("http://optservis.net:5080/photo?tov_code_internet=192150","Увеличить")</f>
        <v>Увеличить</v>
      </c>
      <c r="D2665" s="3" t="s">
        <v>5407</v>
      </c>
      <c r="E2665" s="3" t="s">
        <v>5408</v>
      </c>
      <c r="F2665" s="3" t="s">
        <v>20</v>
      </c>
      <c r="G2665" s="3" t="s">
        <v>17</v>
      </c>
      <c r="H2665" s="3">
        <v>1</v>
      </c>
      <c r="I2665" s="3">
        <v>1</v>
      </c>
      <c r="J2665" s="3" t="s">
        <v>18</v>
      </c>
      <c r="K2665" s="5">
        <v>0.2</v>
      </c>
      <c r="L2665" s="6">
        <v>4690654009540</v>
      </c>
      <c r="M2665" s="7" t="s">
        <v>5409</v>
      </c>
      <c r="N2665" s="8">
        <f>VLOOKUP(B2665,'[1]новый без картинок'!$A$5:$F$2672,6,0)</f>
        <v>365</v>
      </c>
    </row>
    <row r="2666" spans="1:14" ht="153" customHeight="1" x14ac:dyDescent="0.2">
      <c r="A2666" s="3">
        <v>2664</v>
      </c>
      <c r="B2666" s="3">
        <v>192160</v>
      </c>
      <c r="C2666" s="4" t="str">
        <f>HYPERLINK("http://optservis.net:5080/photo?tov_code_internet=192160","Увеличить")</f>
        <v>Увеличить</v>
      </c>
      <c r="D2666" s="3" t="s">
        <v>5410</v>
      </c>
      <c r="E2666" s="3" t="s">
        <v>5411</v>
      </c>
      <c r="F2666" s="3" t="s">
        <v>280</v>
      </c>
      <c r="G2666" s="3" t="s">
        <v>488</v>
      </c>
      <c r="H2666" s="3">
        <v>1</v>
      </c>
      <c r="I2666" s="3">
        <v>1</v>
      </c>
      <c r="J2666" s="3" t="s">
        <v>18</v>
      </c>
      <c r="K2666" s="5">
        <v>0.2</v>
      </c>
      <c r="L2666" s="6">
        <v>4690654009557</v>
      </c>
      <c r="M2666" s="7" t="s">
        <v>5412</v>
      </c>
      <c r="N2666" s="8">
        <f>VLOOKUP(B2666,'[1]новый без картинок'!$A$5:$F$2672,6,0)</f>
        <v>399</v>
      </c>
    </row>
    <row r="2667" spans="1:14" ht="153" customHeight="1" x14ac:dyDescent="0.2">
      <c r="A2667" s="3">
        <v>2665</v>
      </c>
      <c r="B2667" s="3">
        <v>192162</v>
      </c>
      <c r="C2667" s="4" t="str">
        <f>HYPERLINK("http://optservis.net:5080/photo?tov_code_internet=192162","Увеличить")</f>
        <v>Увеличить</v>
      </c>
      <c r="D2667" s="3" t="s">
        <v>5410</v>
      </c>
      <c r="E2667" s="3" t="s">
        <v>5411</v>
      </c>
      <c r="F2667" s="3" t="s">
        <v>165</v>
      </c>
      <c r="G2667" s="3" t="s">
        <v>488</v>
      </c>
      <c r="H2667" s="3">
        <v>1</v>
      </c>
      <c r="I2667" s="3">
        <v>1</v>
      </c>
      <c r="J2667" s="3" t="s">
        <v>18</v>
      </c>
      <c r="K2667" s="5">
        <v>0.2</v>
      </c>
      <c r="L2667" s="6">
        <v>4690654009564</v>
      </c>
      <c r="M2667" s="7" t="s">
        <v>5413</v>
      </c>
      <c r="N2667" s="8">
        <f>VLOOKUP(B2667,'[1]новый без картинок'!$A$5:$F$2672,6,0)</f>
        <v>399</v>
      </c>
    </row>
    <row r="2668" spans="1:14" ht="153" customHeight="1" x14ac:dyDescent="0.2">
      <c r="A2668" s="3">
        <v>2666</v>
      </c>
      <c r="B2668" s="3">
        <v>192145</v>
      </c>
      <c r="C2668" s="4" t="str">
        <f>HYPERLINK("http://optservis.net:5080/photo?tov_code_internet=192145","Увеличить")</f>
        <v>Увеличить</v>
      </c>
      <c r="D2668" s="3" t="s">
        <v>5414</v>
      </c>
      <c r="E2668" s="3" t="s">
        <v>5415</v>
      </c>
      <c r="F2668" s="3" t="s">
        <v>280</v>
      </c>
      <c r="G2668" s="3" t="s">
        <v>488</v>
      </c>
      <c r="H2668" s="3">
        <v>1</v>
      </c>
      <c r="I2668" s="3">
        <v>1</v>
      </c>
      <c r="J2668" s="3" t="s">
        <v>18</v>
      </c>
      <c r="K2668" s="5">
        <v>0.2</v>
      </c>
      <c r="L2668" s="6">
        <v>4690654009519</v>
      </c>
      <c r="M2668" s="7" t="s">
        <v>5416</v>
      </c>
      <c r="N2668" s="8">
        <f>VLOOKUP(B2668,'[1]новый без картинок'!$A$5:$F$2672,6,0)</f>
        <v>377</v>
      </c>
    </row>
    <row r="2669" spans="1:14" ht="153" customHeight="1" x14ac:dyDescent="0.2">
      <c r="A2669" s="3">
        <v>2667</v>
      </c>
      <c r="B2669" s="3">
        <v>192148</v>
      </c>
      <c r="C2669" s="4" t="str">
        <f>HYPERLINK("http://optservis.net:5080/photo?tov_code_internet=192148","Увеличить")</f>
        <v>Увеличить</v>
      </c>
      <c r="D2669" s="3" t="s">
        <v>5414</v>
      </c>
      <c r="E2669" s="3" t="s">
        <v>5415</v>
      </c>
      <c r="F2669" s="3" t="s">
        <v>165</v>
      </c>
      <c r="G2669" s="3" t="s">
        <v>488</v>
      </c>
      <c r="H2669" s="3">
        <v>1</v>
      </c>
      <c r="I2669" s="3">
        <v>1</v>
      </c>
      <c r="J2669" s="3" t="s">
        <v>18</v>
      </c>
      <c r="K2669" s="5">
        <v>0.2</v>
      </c>
      <c r="L2669" s="6">
        <v>4690654009526</v>
      </c>
      <c r="M2669" s="7" t="s">
        <v>5416</v>
      </c>
      <c r="N2669" s="8">
        <f>VLOOKUP(B2669,'[1]новый без картинок'!$A$5:$F$2672,6,0)</f>
        <v>377</v>
      </c>
    </row>
    <row r="2670" spans="1:14" ht="153" customHeight="1" x14ac:dyDescent="0.2">
      <c r="A2670" s="3">
        <v>2668</v>
      </c>
      <c r="B2670" s="3">
        <v>183719</v>
      </c>
      <c r="C2670" s="4" t="str">
        <f>HYPERLINK("http://optservis.net:5080/photo?tov_code_internet=183719","Увеличить")</f>
        <v>Увеличить</v>
      </c>
      <c r="D2670" s="3" t="s">
        <v>5417</v>
      </c>
      <c r="E2670" s="3" t="s">
        <v>5418</v>
      </c>
      <c r="F2670" s="3" t="s">
        <v>4203</v>
      </c>
      <c r="G2670" s="3" t="s">
        <v>17</v>
      </c>
      <c r="H2670" s="3">
        <v>1</v>
      </c>
      <c r="I2670" s="3">
        <v>1</v>
      </c>
      <c r="J2670" s="3" t="s">
        <v>18</v>
      </c>
      <c r="K2670" s="5">
        <v>0.02</v>
      </c>
      <c r="L2670" s="6">
        <v>4690654011925</v>
      </c>
      <c r="M2670" s="7" t="s">
        <v>5419</v>
      </c>
      <c r="N2670" s="8">
        <f>VLOOKUP(B2670,'[1]новый без картинок'!$A$5:$F$2672,6,0)</f>
        <v>77</v>
      </c>
    </row>
    <row r="2671" spans="1:14" ht="151.15" customHeight="1" x14ac:dyDescent="0.2">
      <c r="A2671" s="3">
        <v>2669</v>
      </c>
      <c r="B2671" s="3">
        <v>193267</v>
      </c>
      <c r="C2671" s="4" t="str">
        <f>HYPERLINK("http://optservis.net:5080/photo?tov_code_internet=193267","Увеличить")</f>
        <v>Увеличить</v>
      </c>
      <c r="D2671" s="3" t="s">
        <v>5420</v>
      </c>
      <c r="E2671" s="3" t="s">
        <v>5421</v>
      </c>
      <c r="F2671" s="3" t="s">
        <v>5422</v>
      </c>
      <c r="G2671" s="3" t="s">
        <v>1001</v>
      </c>
      <c r="H2671" s="3">
        <v>0.5</v>
      </c>
      <c r="I2671" s="3">
        <v>0</v>
      </c>
      <c r="J2671" s="3" t="s">
        <v>18</v>
      </c>
      <c r="K2671" s="5">
        <v>0.21</v>
      </c>
      <c r="L2671" s="6">
        <v>4690654014346</v>
      </c>
      <c r="M2671" s="7" t="s">
        <v>5423</v>
      </c>
      <c r="N2671" s="8">
        <f>VLOOKUP(B2671,'[1]новый без картинок'!$A$5:$F$2672,6,0)</f>
        <v>914</v>
      </c>
    </row>
    <row r="2672" spans="1:14" ht="151.15" customHeight="1" x14ac:dyDescent="0.2">
      <c r="A2672" s="3">
        <v>2670</v>
      </c>
      <c r="B2672" s="3">
        <v>193268</v>
      </c>
      <c r="C2672" s="4" t="str">
        <f>HYPERLINK("http://optservis.net:5080/photo?tov_code_internet=193268","Увеличить")</f>
        <v>Увеличить</v>
      </c>
      <c r="D2672" s="3" t="s">
        <v>5424</v>
      </c>
      <c r="E2672" s="3" t="s">
        <v>5425</v>
      </c>
      <c r="F2672" s="3" t="s">
        <v>5426</v>
      </c>
      <c r="G2672" s="3" t="s">
        <v>1001</v>
      </c>
      <c r="H2672" s="3">
        <v>0.5</v>
      </c>
      <c r="I2672" s="3">
        <v>0</v>
      </c>
      <c r="J2672" s="3" t="s">
        <v>18</v>
      </c>
      <c r="K2672" s="5">
        <v>0.15</v>
      </c>
      <c r="L2672" s="6">
        <v>4690654014360</v>
      </c>
      <c r="M2672" s="7" t="s">
        <v>5427</v>
      </c>
      <c r="N2672" s="8">
        <f>VLOOKUP(B2672,'[1]новый без картинок'!$A$5:$F$2672,6,0)</f>
        <v>1131</v>
      </c>
    </row>
    <row r="2673" spans="1:14" ht="151.15" customHeight="1" x14ac:dyDescent="0.2">
      <c r="A2673" s="3">
        <v>2671</v>
      </c>
      <c r="B2673" s="3">
        <v>202919</v>
      </c>
      <c r="C2673" s="4" t="str">
        <f>HYPERLINK("http://optservis.net:5080/photo?tov_code_internet=202919","Увеличить")</f>
        <v>Увеличить</v>
      </c>
      <c r="D2673" s="3" t="s">
        <v>5424</v>
      </c>
      <c r="E2673" s="3" t="s">
        <v>5425</v>
      </c>
      <c r="F2673" s="3" t="s">
        <v>5428</v>
      </c>
      <c r="G2673" s="3" t="s">
        <v>1001</v>
      </c>
      <c r="H2673" s="3">
        <v>0.5</v>
      </c>
      <c r="I2673" s="3">
        <v>0</v>
      </c>
      <c r="J2673" s="3" t="s">
        <v>18</v>
      </c>
      <c r="K2673" s="5">
        <v>0.15</v>
      </c>
      <c r="L2673" s="6">
        <v>4690654016456</v>
      </c>
      <c r="M2673" s="7" t="s">
        <v>5429</v>
      </c>
      <c r="N2673" s="8">
        <f>VLOOKUP(B2673,'[1]новый без картинок'!$A$5:$F$2672,6,0)</f>
        <v>988</v>
      </c>
    </row>
    <row r="2674" spans="1:14" ht="138.6" customHeight="1" x14ac:dyDescent="0.2">
      <c r="A2674" s="3">
        <v>2672</v>
      </c>
      <c r="B2674" s="3">
        <v>213017</v>
      </c>
      <c r="C2674" s="4" t="str">
        <f>HYPERLINK("http://optservis.net:5080/photo?tov_code_internet=213017","Увеличить")</f>
        <v>Увеличить</v>
      </c>
      <c r="D2674" s="3" t="s">
        <v>5430</v>
      </c>
      <c r="E2674" s="3" t="s">
        <v>5431</v>
      </c>
      <c r="F2674" s="3" t="s">
        <v>5432</v>
      </c>
      <c r="G2674" s="3" t="s">
        <v>1001</v>
      </c>
      <c r="H2674" s="3">
        <v>0.5</v>
      </c>
      <c r="I2674" s="3">
        <v>0</v>
      </c>
      <c r="J2674" s="3" t="s">
        <v>18</v>
      </c>
      <c r="K2674" s="5">
        <v>0.13</v>
      </c>
      <c r="L2674" s="6">
        <v>4690654020576</v>
      </c>
      <c r="M2674" s="7" t="s">
        <v>5433</v>
      </c>
      <c r="N2674" s="8">
        <f>VLOOKUP(B2674,'[1]новый без картинок'!$A$5:$F$2672,6,0)</f>
        <v>1076</v>
      </c>
    </row>
    <row r="2675" spans="1:14" ht="151.15" customHeight="1" x14ac:dyDescent="0.2">
      <c r="A2675" s="3">
        <v>2673</v>
      </c>
      <c r="B2675" s="3">
        <v>193270</v>
      </c>
      <c r="C2675" s="4" t="str">
        <f>HYPERLINK("http://optservis.net:5080/photo?tov_code_internet=193270","Увеличить")</f>
        <v>Увеличить</v>
      </c>
      <c r="D2675" s="3" t="s">
        <v>5430</v>
      </c>
      <c r="E2675" s="3" t="s">
        <v>5431</v>
      </c>
      <c r="F2675" s="3" t="s">
        <v>5434</v>
      </c>
      <c r="G2675" s="3" t="s">
        <v>1001</v>
      </c>
      <c r="H2675" s="3">
        <v>0.5</v>
      </c>
      <c r="I2675" s="3">
        <v>0</v>
      </c>
      <c r="J2675" s="3" t="s">
        <v>18</v>
      </c>
      <c r="K2675" s="5">
        <v>0.13</v>
      </c>
      <c r="L2675" s="6">
        <v>4690654014384</v>
      </c>
      <c r="M2675" s="7" t="s">
        <v>5433</v>
      </c>
      <c r="N2675" s="8">
        <f>VLOOKUP(B2675,'[1]новый без картинок'!$A$5:$F$2672,6,0)</f>
        <v>1076</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user1</cp:lastModifiedBy>
  <dcterms:created xsi:type="dcterms:W3CDTF">2022-05-24T07:01:19Z</dcterms:created>
  <dcterms:modified xsi:type="dcterms:W3CDTF">2022-05-24T07:02:14Z</dcterms:modified>
</cp:coreProperties>
</file>